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EC95F497-7E09-244C-887F-95A4E3236BDD}"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T60" i="1"/>
  <c r="BT61" i="1"/>
  <c r="BF62" i="1"/>
  <c r="BT62" i="1"/>
  <c r="BF63" i="1"/>
  <c r="BT63" i="1"/>
  <c r="BF64" i="1"/>
  <c r="BT64" i="1"/>
  <c r="BF65" i="1"/>
  <c r="BT65" i="1"/>
  <c r="BF66" i="1"/>
  <c r="BT66" i="1"/>
  <c r="BF67" i="1"/>
  <c r="BT67" i="1"/>
  <c r="BF68" i="1"/>
  <c r="BT68" i="1"/>
  <c r="BF69" i="1"/>
  <c r="BT69" i="1"/>
  <c r="BF70" i="1"/>
  <c r="BT70" i="1"/>
  <c r="BF71" i="1"/>
  <c r="BT71" i="1"/>
  <c r="BF72" i="1"/>
  <c r="BT72"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T107" i="1"/>
  <c r="BF108" i="1"/>
  <c r="BT108" i="1"/>
  <c r="BT109"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T130" i="1"/>
  <c r="BT131" i="1"/>
  <c r="BT132" i="1"/>
  <c r="BT133" i="1"/>
  <c r="BT134" i="1"/>
  <c r="BT135" i="1"/>
  <c r="BT136" i="1"/>
  <c r="BT137" i="1"/>
  <c r="BT138" i="1"/>
  <c r="BT139" i="1"/>
  <c r="BT140" i="1"/>
  <c r="BT141" i="1"/>
  <c r="BT142" i="1"/>
  <c r="BT143" i="1"/>
  <c r="BT144" i="1"/>
  <c r="BT145" i="1"/>
  <c r="BT146" i="1"/>
  <c r="BF147" i="1"/>
  <c r="BT147" i="1"/>
  <c r="BT148" i="1"/>
  <c r="BF149" i="1"/>
  <c r="BT149" i="1"/>
  <c r="BF150" i="1"/>
  <c r="BT150" i="1"/>
  <c r="BF151" i="1"/>
  <c r="BT151" i="1"/>
  <c r="BF152" i="1"/>
  <c r="BT152" i="1"/>
  <c r="BT153" i="1"/>
  <c r="BT154" i="1"/>
  <c r="BF155" i="1"/>
  <c r="BT155" i="1"/>
  <c r="BT156" i="1"/>
  <c r="BF157" i="1"/>
  <c r="BT157" i="1"/>
  <c r="BF158" i="1"/>
  <c r="BT158" i="1"/>
  <c r="BT159" i="1"/>
  <c r="BF160" i="1"/>
  <c r="BT160" i="1"/>
  <c r="BF161" i="1"/>
  <c r="BT161" i="1"/>
  <c r="BF162" i="1"/>
  <c r="BT162" i="1"/>
  <c r="BF163" i="1"/>
  <c r="BT163" i="1"/>
  <c r="BF164" i="1"/>
  <c r="BT164" i="1"/>
  <c r="BF165" i="1"/>
  <c r="BT165" i="1"/>
  <c r="BT166" i="1"/>
  <c r="BF167" i="1"/>
  <c r="BT167" i="1"/>
  <c r="BF168" i="1"/>
  <c r="BT168" i="1"/>
  <c r="BF169" i="1"/>
  <c r="BT169" i="1"/>
  <c r="BF170" i="1"/>
  <c r="BT170" i="1"/>
  <c r="BF171" i="1"/>
  <c r="BT171" i="1"/>
  <c r="BF172" i="1"/>
  <c r="BT172" i="1"/>
  <c r="BF173" i="1"/>
  <c r="BT173" i="1"/>
  <c r="BT174" i="1"/>
  <c r="BF175" i="1"/>
  <c r="BT175" i="1"/>
  <c r="BT176" i="1"/>
  <c r="BF177" i="1"/>
  <c r="BT177" i="1"/>
  <c r="BF178" i="1"/>
  <c r="BT178" i="1"/>
  <c r="BT179" i="1"/>
  <c r="BF180" i="1"/>
  <c r="BT180" i="1"/>
  <c r="BF181" i="1"/>
  <c r="BT181" i="1"/>
  <c r="BF182" i="1"/>
  <c r="BT182" i="1"/>
  <c r="BF183" i="1"/>
  <c r="BT183" i="1"/>
  <c r="BT184" i="1"/>
  <c r="BF185" i="1"/>
  <c r="BT185" i="1"/>
  <c r="BF186" i="1"/>
  <c r="BT186" i="1"/>
  <c r="BF187" i="1"/>
  <c r="BT187"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T231" i="1"/>
  <c r="BF232" i="1"/>
  <c r="BT232" i="1"/>
  <c r="BF233" i="1"/>
  <c r="BT233" i="1"/>
  <c r="BF234" i="1"/>
  <c r="BT234" i="1"/>
  <c r="BF235" i="1"/>
  <c r="BT235" i="1"/>
  <c r="BF236" i="1"/>
  <c r="BT236" i="1"/>
  <c r="BT237" i="1"/>
  <c r="BF238" i="1"/>
  <c r="BT238" i="1"/>
  <c r="BF239" i="1"/>
  <c r="BT239" i="1"/>
  <c r="BF240" i="1"/>
  <c r="BT240" i="1"/>
  <c r="BT241" i="1"/>
  <c r="BF242" i="1"/>
  <c r="BT242" i="1"/>
  <c r="BF243" i="1"/>
  <c r="BT243" i="1"/>
  <c r="BF244" i="1"/>
  <c r="BT244" i="1"/>
  <c r="BF245" i="1"/>
  <c r="BT245" i="1"/>
  <c r="BF246" i="1"/>
  <c r="BT246" i="1"/>
  <c r="BF247" i="1"/>
  <c r="BT247" i="1"/>
  <c r="BF248" i="1"/>
  <c r="BT248" i="1"/>
  <c r="BT249" i="1"/>
  <c r="BF250" i="1"/>
  <c r="BT250" i="1"/>
  <c r="BF251" i="1"/>
  <c r="BT251" i="1"/>
  <c r="BF252" i="1"/>
  <c r="BT252" i="1"/>
  <c r="BF253" i="1"/>
  <c r="BT253" i="1"/>
  <c r="BF254" i="1"/>
  <c r="BT254" i="1"/>
  <c r="BF255" i="1"/>
  <c r="BT255" i="1"/>
  <c r="BF256" i="1"/>
  <c r="BT256"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T271" i="1"/>
  <c r="BT272" i="1"/>
  <c r="BT273" i="1"/>
  <c r="BT274" i="1"/>
  <c r="BT275" i="1"/>
  <c r="BF276" i="1"/>
  <c r="BT276" i="1"/>
  <c r="BF277" i="1"/>
  <c r="BT277" i="1"/>
  <c r="BT278" i="1"/>
  <c r="BF279" i="1"/>
  <c r="BT279" i="1"/>
  <c r="BT280" i="1"/>
  <c r="BT281"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T344" i="1"/>
  <c r="BF345" i="1"/>
  <c r="BT345"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T381" i="1"/>
  <c r="BT382" i="1"/>
  <c r="BT383" i="1"/>
  <c r="BF384" i="1"/>
  <c r="BT384" i="1"/>
  <c r="BF385" i="1"/>
  <c r="BT385" i="1"/>
  <c r="BF386" i="1"/>
  <c r="BT386" i="1"/>
  <c r="BF387" i="1"/>
  <c r="BT387" i="1"/>
  <c r="BT388" i="1"/>
  <c r="BF389" i="1"/>
  <c r="BT389" i="1"/>
  <c r="BT390" i="1"/>
  <c r="BT391" i="1"/>
  <c r="BT392" i="1"/>
  <c r="BT393" i="1"/>
  <c r="BT394" i="1"/>
  <c r="BT395" i="1"/>
  <c r="BT396" i="1"/>
  <c r="BT397" i="1"/>
  <c r="BT398" i="1"/>
  <c r="BT399"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T463" i="1"/>
  <c r="BT464" i="1"/>
  <c r="BT465" i="1"/>
  <c r="BT466" i="1"/>
  <c r="BT467" i="1"/>
  <c r="BT468" i="1"/>
  <c r="BT469" i="1"/>
  <c r="BT470" i="1"/>
  <c r="BF471" i="1"/>
  <c r="BT471" i="1"/>
  <c r="BF472" i="1"/>
  <c r="BT472" i="1"/>
  <c r="BF473" i="1"/>
  <c r="BT473" i="1"/>
  <c r="BF474" i="1"/>
  <c r="BT474" i="1"/>
  <c r="BF475" i="1"/>
  <c r="BT475" i="1"/>
  <c r="BT476" i="1"/>
  <c r="BT477" i="1"/>
  <c r="BT478" i="1"/>
  <c r="BT479" i="1"/>
  <c r="BT480" i="1"/>
  <c r="BT481" i="1"/>
  <c r="BT482" i="1"/>
  <c r="BT483" i="1"/>
  <c r="BT484" i="1"/>
  <c r="BT485" i="1"/>
  <c r="BT486" i="1"/>
  <c r="BF487" i="1"/>
  <c r="BT487" i="1"/>
  <c r="BF488" i="1"/>
  <c r="BT488" i="1"/>
  <c r="BF489" i="1"/>
  <c r="BT489" i="1"/>
  <c r="BF490" i="1"/>
  <c r="BT490" i="1"/>
  <c r="BF491" i="1"/>
  <c r="BT491" i="1"/>
  <c r="BF492" i="1"/>
  <c r="BT492" i="1"/>
  <c r="BF493" i="1"/>
  <c r="BT493" i="1"/>
  <c r="BF494" i="1"/>
  <c r="BT494" i="1"/>
  <c r="BF495" i="1"/>
  <c r="BT495" i="1"/>
  <c r="BF496" i="1"/>
  <c r="BT496" i="1"/>
  <c r="BT497" i="1"/>
  <c r="BT498" i="1"/>
  <c r="BT499" i="1"/>
  <c r="BF500" i="1"/>
  <c r="BT500" i="1"/>
  <c r="BT501" i="1"/>
  <c r="BF502" i="1"/>
  <c r="BT502" i="1"/>
  <c r="BT503" i="1"/>
  <c r="BT504" i="1"/>
  <c r="BT505" i="1"/>
  <c r="BT506" i="1"/>
  <c r="BT507" i="1"/>
  <c r="BT508" i="1"/>
  <c r="BT509" i="1"/>
  <c r="BT510"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T626" i="1"/>
  <c r="BT627"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T655" i="1"/>
  <c r="BF656" i="1"/>
  <c r="BT656" i="1"/>
  <c r="BF657" i="1"/>
  <c r="BT657"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T705"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T719" i="1"/>
  <c r="BF720" i="1"/>
  <c r="BT720" i="1"/>
  <c r="BF721" i="1"/>
  <c r="BT721" i="1"/>
  <c r="BF722" i="1"/>
  <c r="BT722" i="1"/>
  <c r="BT723" i="1"/>
  <c r="BF724" i="1"/>
  <c r="BT724" i="1"/>
  <c r="BF725" i="1"/>
  <c r="BT725" i="1"/>
  <c r="BF726" i="1"/>
  <c r="BT726" i="1"/>
  <c r="BT727" i="1"/>
  <c r="BT728" i="1"/>
  <c r="BT729" i="1"/>
  <c r="BT730" i="1"/>
  <c r="BT731" i="1"/>
  <c r="BT732" i="1"/>
  <c r="BT733" i="1"/>
  <c r="BT734" i="1"/>
  <c r="BT735" i="1"/>
  <c r="BT736" i="1"/>
  <c r="BT737" i="1"/>
  <c r="BT738" i="1"/>
  <c r="BT739" i="1"/>
  <c r="BT740" i="1"/>
  <c r="BT741" i="1"/>
  <c r="BT742" i="1"/>
  <c r="BT743" i="1"/>
  <c r="BT744" i="1"/>
  <c r="BT745" i="1"/>
  <c r="BT746" i="1"/>
  <c r="BT747" i="1"/>
  <c r="BT748" i="1"/>
  <c r="BF749" i="1"/>
  <c r="BT749" i="1"/>
  <c r="BF750" i="1"/>
  <c r="BT750" i="1"/>
  <c r="BF751" i="1"/>
  <c r="BT751" i="1"/>
  <c r="BF752" i="1"/>
  <c r="BT752" i="1"/>
  <c r="BF753" i="1"/>
  <c r="BT753" i="1"/>
  <c r="BF754" i="1"/>
  <c r="BT754" i="1"/>
  <c r="BT755" i="1"/>
  <c r="BT756" i="1"/>
  <c r="BF757" i="1"/>
  <c r="BT757" i="1"/>
  <c r="BF758" i="1"/>
  <c r="BT758" i="1"/>
  <c r="BT759" i="1"/>
  <c r="BF760" i="1"/>
  <c r="BT760" i="1"/>
  <c r="BT761" i="1"/>
  <c r="BT762" i="1"/>
  <c r="BT763" i="1"/>
  <c r="BF764" i="1"/>
  <c r="BT764" i="1"/>
  <c r="BF765" i="1"/>
  <c r="BT765" i="1"/>
  <c r="BT766" i="1"/>
  <c r="BF767" i="1"/>
  <c r="BT767" i="1"/>
  <c r="BF768" i="1"/>
  <c r="BT768" i="1"/>
  <c r="BF769" i="1"/>
  <c r="BT769" i="1"/>
  <c r="BF770" i="1"/>
  <c r="BT770" i="1"/>
  <c r="BF771" i="1"/>
  <c r="BT771" i="1"/>
  <c r="BT772" i="1"/>
  <c r="BF773" i="1"/>
  <c r="BT773" i="1"/>
  <c r="BF774" i="1"/>
  <c r="BT774" i="1"/>
  <c r="BF775" i="1"/>
  <c r="BT775"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T828" i="1"/>
  <c r="BF829" i="1"/>
  <c r="BT829" i="1"/>
  <c r="BF830" i="1"/>
  <c r="BT830" i="1"/>
  <c r="BF831" i="1"/>
  <c r="BT831" i="1"/>
  <c r="BF832" i="1"/>
  <c r="BT832" i="1"/>
  <c r="BF833" i="1"/>
  <c r="BT833"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T901" i="1"/>
  <c r="BF902" i="1"/>
  <c r="BT902" i="1"/>
  <c r="BF903" i="1"/>
  <c r="BT903" i="1"/>
  <c r="BF904" i="1"/>
  <c r="BT904" i="1"/>
  <c r="BF905" i="1"/>
  <c r="BT905" i="1"/>
  <c r="BF906" i="1"/>
  <c r="BT906" i="1"/>
  <c r="BF907" i="1"/>
  <c r="BT907" i="1"/>
  <c r="BT908" i="1"/>
  <c r="BF909" i="1"/>
  <c r="BT909" i="1"/>
  <c r="BF910" i="1"/>
  <c r="BT910" i="1"/>
  <c r="BT911"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T928" i="1"/>
  <c r="BT929" i="1"/>
  <c r="BF930" i="1"/>
  <c r="BT930" i="1"/>
  <c r="BF931" i="1"/>
  <c r="BT931" i="1"/>
  <c r="BF932" i="1"/>
  <c r="BT932" i="1"/>
  <c r="BF933" i="1"/>
  <c r="BT933" i="1"/>
  <c r="BF934" i="1"/>
  <c r="BT934" i="1"/>
  <c r="BF935" i="1"/>
  <c r="BT935" i="1"/>
  <c r="BF936" i="1"/>
  <c r="BT936" i="1"/>
  <c r="BT937" i="1"/>
  <c r="BT938" i="1"/>
  <c r="BT939" i="1"/>
  <c r="BT940" i="1"/>
  <c r="BT941"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<sst xmlns="http://schemas.openxmlformats.org/spreadsheetml/2006/main" count="59820" uniqueCount="17502">
  <si>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</si>
  <si>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</si>
  <si>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</si>
  <si>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</si>
  <si>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</si>
  <si>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</si>
  <si>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</si>
  <si>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</si>
  <si>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</si>
  <si>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</si>
  <si>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</si>
  <si>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</si>
  <si>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</si>
  <si>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</si>
  <si>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</si>
  <si>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</si>
  <si>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</si>
  <si>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</si>
  <si>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</si>
  <si>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</si>
  <si>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</si>
  <si>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</si>
  <si>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</si>
  <si>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</si>
  <si>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</si>
  <si>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</si>
  <si>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</si>
  <si>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</si>
  <si>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</si>
  <si>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</si>
  <si>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</si>
  <si>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</si>
  <si>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</si>
  <si>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</si>
  <si>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</si>
  <si>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</si>
  <si>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</si>
  <si>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</si>
  <si>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</si>
  <si>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</si>
  <si>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</si>
  <si>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</si>
  <si>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</si>
  <si>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</si>
  <si>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</si>
  <si>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</si>
  <si>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</si>
  <si>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</si>
  <si>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</si>
  <si>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</si>
  <si>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</si>
  <si>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</si>
  <si>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</si>
  <si>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</si>
  <si>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</si>
  <si>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</si>
  <si>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</si>
  <si>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</si>
  <si>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</si>
  <si>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</si>
  <si>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</si>
  <si>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</si>
  <si>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</si>
  <si>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</si>
  <si>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</si>
  <si>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</si>
  <si>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</si>
  <si>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</si>
  <si>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</si>
  <si>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</si>
  <si>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</si>
  <si>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</si>
  <si>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</si>
  <si>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Mayzaud, P; Lacombre, S; Boutoute, M</t>
  </si>
  <si>
    <t/>
  </si>
  <si>
    <t>Mayzaud, P.; Lacombre, S.; Boutoute, M.</t>
  </si>
  <si>
    <t>Seasonal and growth stage changes in lipid and fatty acid composition in the multigeneration copepod Drepanopus pectinatus from Iles Kerguelen</t>
  </si>
  <si>
    <t>ANTARCTIC SCIENCE</t>
  </si>
  <si>
    <t>English</t>
  </si>
  <si>
    <t>Article</t>
  </si>
  <si>
    <t>energy store; life cycle; lipid dynamics; sub-Antarctic copepod; survival</t>
  </si>
  <si>
    <t>ANTARCTIC COPEPODS; WAX ESTERS; CALANUS-PROPINQUUS; CALANOIDES-ACUTUS; STORAGE; ZOOPLANKTON; MESOZOOPLANKTON; COMMUNITY; CYCLE</t>
  </si>
  <si>
    <t>Changes in adult weight, lipid and fatty acid composition per lipid class were studied over a complete seasonal cycle in Drepanopus pectinatus Brady. This copepod displayed a strong seasonality in adult individual weight and total lipid content. Stages C3 to adult from a summer cohort were compared in terms of lipid and fatty acid structure. Changes in lipid content were related to wax esters and polar lipids (PL) while triacylglycerols (TAG) and cholesterol remained minor constituents except at the end of winter. Changes in fatty acid composition of different lipid classes showed that food limitation in winter was high enough to affect 22:6n-3 (DHA) content in PL, and provoke accumulation of maximal percentages of bacterial marker as branched acids. Composition of TAG followed closely the changes in trophic interactions as diatom and flagellate markers dominated in spring and summer while bacterial and detritus particle markers dominated in late winter. The composition of wax esters followed the same seasonal succession but with a lower level of turn over time and shifted characteristics (bacterial markers) from winter to spring individuals when compared to TAG. Ontogenetic changes showed high triacylglycerols content in younger C3 stages and increasing wax esters with increasing developmental stages. Fatty acid composition of PL showed low percentages of EPA and DHA in stage C3, and recovery of high levels of DHA for stage C4 or 20:5n-3 (EPA) at stage C5. The same trend was observed for 18:4n-3. The reverse pattern was noted for the n-6 polyunsaturated acids (PUFA) suggesting a greater requirement in younger stages. Fatty acid partitioning between neutral and PL suggested essential fatty acids selective incorporation from neutral classes into membrane lipids.</t>
  </si>
  <si>
    <t>[Mayzaud, P.; Lacombre, S.; Boutoute, M.] Univ Paris 06, CNRS, UMR 7093, Lab Oceanog Villefranche, F-06230 Villefranche Sur Mer, France</t>
  </si>
  <si>
    <t>Centre National de la Recherche Scientifique (CNRS); CNRS - National Institute for Earth Sciences &amp; Astronomy (INSU); Sorbonne Universite</t>
  </si>
  <si>
    <t>Mayzaud, P (corresponding author), Univ Paris 06, CNRS, UMR 7093, Lab Oceanog Villefranche, F-06230 Villefranche Sur Mer, France.</t>
  </si>
  <si>
    <t>mayzaud@obs-vlfr.fr</t>
  </si>
  <si>
    <t>CNRS [1069]; IPEV Interactions Oiseaux-Zooplancton (IOZ) [166]; Europe Noe MARBEF; CNRS UMR [7093]; Institut Francais pour la Recherche et la Technologie Polaires</t>
  </si>
  <si>
    <t>CNRS(Centre National de la Recherche Scientifique (CNRS)); IPEV Interactions Oiseaux-Zooplancton (IOZ); Europe Noe MARBEF; CNRS UMR(Centre National de la Recherche Scientifique (CNRS)); Institut Francais pour la Recherche et la Technologie Polaires</t>
  </si>
  <si>
    <t>The study was part of the IOZ programme financially supported by a grant from the Groupement de Recherche en Environnement 1069 Ecosystemes Polaires et Anthropisation from the CNRS, from IPEV Interactions Oiseaux-Zooplancton 166 (IOZ), from Europe Noe MARBEF and by CNRS UMR 7093. Fieldwork was supported financially and logistically by the Institut Francais pour la Recherche et la Technologie Polaires. The authors would like to thank Dr J. Dolan for his editorial comments and Dr F. Alonzo for his help during the fieldwork. The work would have been difficult without the help at sea of the captain and the crew from the RV La Curieuse. The technical help from P. Le Jeune, G. Roudaut and N. Coffineau was greatly appreciated.</t>
  </si>
  <si>
    <t>CAMBRIDGE UNIV PRESS</t>
  </si>
  <si>
    <t>NEW YORK</t>
  </si>
  <si>
    <t>32 AVENUE OF THE AMERICAS, NEW YORK, NY 10013-2473 USA</t>
  </si>
  <si>
    <t>0954-1020</t>
  </si>
  <si>
    <t>1365-2079</t>
  </si>
  <si>
    <t>ANTARCT SCI</t>
  </si>
  <si>
    <t>Antarct. Sci.</t>
  </si>
  <si>
    <t>FEB</t>
  </si>
  <si>
    <t>10.1017/S0954102010000519</t>
  </si>
  <si>
    <t>Environmental Sciences; Geography, Physical; Geosciences, Multidisciplinary</t>
  </si>
  <si>
    <t>Science Citation Index Expanded (SCI-EXPANDED)</t>
  </si>
  <si>
    <t>Environmental Sciences &amp; Ecology; Physical Geography; Geology</t>
  </si>
  <si>
    <t>722WI</t>
  </si>
  <si>
    <t>2024-04-21</t>
  </si>
  <si>
    <t>WOS:000287465600002</t>
  </si>
  <si>
    <t>Kuhn, KL; Near, TJ; Detrich, HW; Eastman, JT</t>
  </si>
  <si>
    <t>Kuhn, Kristen L.; Near, Thomas J.; Detrich, H. William, III; Eastman, Joseph T.</t>
  </si>
  <si>
    <t>Biology of the Antarctic dragonfish Vomeridens infuscipinnis (Notothenioidei: Bathydraconidae)</t>
  </si>
  <si>
    <t>bone and cartilage histology; buoyancy; diet; meristics; reproduction; somatic lipid; vomerine teeth</t>
  </si>
  <si>
    <t>WEDDELL-SEA; ROSS SEA; GENE-SEQUENCES; FISH FAUNA; BUOYANCY; MITOCHONDRIAL; REPRODUCTION; PERCIFORMES; TELEOSTEI; SPECIALIZATION</t>
  </si>
  <si>
    <t>Nineteen specimens of the rare dragonfish Vomeridens infuscipinnis were evaluated for meristic counts, morphometric measurements, vomerine teeth and the supratemporal canal, anatomical and histological observations of bone, cartilage and lipid, diet, and reproductive status. Seven individuals were measured for buoyancy. All specimens had small vomerine teeth that varied in number. There was also variability in the arrangement of the supratemporal pores and canals. Vomeridens possess a body with little bone and considerable amounts of cartilage and lipid. A mean percentage buoyancy of 1.61% indicated that Vomeridens is nearly neutrally buoyant. Inferences from measurements of buoyancy and from morphological data suggest that Vomeridens lives in an epibenthic water column habitat at 400-900 m. Facilitated by its reduced body density, Vomeridens are likely to forage in the water column by hovering above the substrate. The stomach contents consisted of krill (Euphausia superba), some as large as 46-50 mm. The absolute and relative fecundity in seven female was 1576-2296 oocytes (mean 1889) and 21.3-28.9 oocytes g(-1) body weight (mean 25.3), respectively. The reproductive effort in terms of egg diameter, GSI, and absolute and relative fecundity is similar to that for other bathydraconids.</t>
  </si>
  <si>
    <t>[Eastman, Joseph T.] Ohio Univ, Dept Biomed Sci, Athens, OH 45701 USA; [Kuhn, Kristen L.; Near, Thomas J.] Yale Univ, Dept Ecol &amp; Evolutionary Biol, New Haven, CT 06520 USA; [Kuhn, Kristen L.; Near, Thomas J.] Yale Univ, Peabody Museum Nat Hist, New Haven, CT 06520 USA; [Detrich, H. William, III] Northeastern Univ, Dept Biol, Boston, MA 02115 USA</t>
  </si>
  <si>
    <t>University System of Ohio; Ohio University; Yale University; Yale University; Northeastern University</t>
  </si>
  <si>
    <t>Eastman, JT (corresponding author), Ohio Univ, Dept Biomed Sci, Athens, OH 45701 USA.</t>
  </si>
  <si>
    <t>eastman@ohiou.edu</t>
  </si>
  <si>
    <t>Near, Thomas J./K-1204-2012; Eastman, Joseph T./O-6150-2019; Eastman, Joseph T/A-9786-2008</t>
  </si>
  <si>
    <t>Near, Thomas J./0000-0002-7398-6670; Eastman, Joseph T./0000-0003-3868-261X;</t>
  </si>
  <si>
    <t>NSF [ANT-0436190, ANT-0839007, ANT-0635470]; Directorate For Geosciences; Office of Polar Programs (OPP) [0944517] Funding Source: National Science Foundation</t>
  </si>
  <si>
    <t>NSF(National Science Foundation (NSF)); Directorate For Geosciences; Office of Polar Programs (OPP)(National Science Foundation (NSF)NSF - Directorate for Geosciences (GEO))</t>
  </si>
  <si>
    <t>We thank the personnel of the Office of Polar Programs of the National Science Foundation, of Raytheon Polar Services Company, and of the ARSV Laurence M. Gould, without whose support this work could not have been accomplished. We thank Ofer Gon for kindly allowing us to examine the data used for his description of Vomeridens in Fishes of the Southern Ocean. Dr Grant Ballard kindly provided the base map for Fig. 2. We are grateful to Danette Pratt for assembling the figures. We also thank the referees, Drs Esteban Barrera-Oro and Mario La Mesa, for their improvements to the manuscript. This work was supported by NSF grants ANT-0436190 (JTE), ANT-0839007 (TJN) and ANT-0635470 (HWD).</t>
  </si>
  <si>
    <t>10.1017/S095410201000060X</t>
  </si>
  <si>
    <t>WOS:000287465600003</t>
  </si>
  <si>
    <t>Mendonça, ED; La Scala, N; Panosso, AR; Simas, FNB; Schaefer, CEGR</t>
  </si>
  <si>
    <t>Mendonca, Eduardo de Sa; La Scala, Newton, Jr.; Panosso, Alan Rodrigo; Simas, Felipe N. B.; Schaefer, Carlos E. G. R.</t>
  </si>
  <si>
    <t>Spatial variability models of CO2 emissions from soils colonized by grass (Deschampsia antarctica) and moss (Sanionia uncinata) in Admiralty Bay, King George Island</t>
  </si>
  <si>
    <t>Cryosols; geostatistics; greenhouse gases; maritime Antarctic; soil carbon; soil respiration</t>
  </si>
  <si>
    <t>TEMPORAL VARIATION; CLIMATE-CHANGE; MARITIME ANTARCTICA; VASCULAR PLANTS; RAIN-FOREST; RESPIRATION; CARBON; TUNDRA; PLANTATION; RESPONSES</t>
  </si>
  <si>
    <t>Soil CO2 emission is an important part of the terrestrial carbon cycling and is influenced by several factors, such as type and distribution of vegetation. In this work we evaluated the spatial variability of soil CO2 emission in terrestrial ecosystems of maritime Antarctica, under two contrasting vegetation covers: 1) grass areas of Deschampsia antarctica Desv., and 2) moss carpets of Sanionia uncinata (Hedw.) Loeske. Highest mean emission was obtained for the Deschampsia (4.13 mu mol m(-2) s(-1)) developed on organic-rich soil with a strong penguin influence. The overall results indicate that soil temperature is not directly related to the spatial pattern of soil CO2 emission at the sites studied. Emission adjusted models were Gaussian and exponential with ranges varying from 1.3 to 2.8 m, depending on the studied site and vegetation cover.</t>
  </si>
  <si>
    <t>[La Scala, Newton, Jr.; Panosso, Alan Rodrigo] Univ Estadual Paulista, FCAV, BR-14884900 Jaboticabal, SP, Brazil; [Mendonca, Eduardo de Sa] Univ Fed Espirito Santo, Dept Plant Prod, BR-29500000 Alegre, ES, Brazil; [Simas, Felipe N. B.; Schaefer, Carlos E. G. R.] Univ Fed Vicosa, Dept Soil Sci, BR-36570000 Vicosa, MG, Brazil; [Mendonca, Eduardo de Sa] Univ Fed Vicosa, Soil &amp; Plant Nutr Postgrad Program, BR-36570000 Vicosa, MG, Brazil</t>
  </si>
  <si>
    <t>Universidade Estadual Paulista; Universidade Federal do Espirito Santo; Universidade Federal de Vicosa; Universidade Federal de Vicosa</t>
  </si>
  <si>
    <t>La Scala, N (corresponding author), Univ Estadual Paulista, FCAV, Via Acesso Prof Paulo Donato Castellane S-N, BR-14884900 Jaboticabal, SP, Brazil.</t>
  </si>
  <si>
    <t>lascala@fcav.unesp.br</t>
  </si>
  <si>
    <t>Schaefer, Carlos Ernesto/AAY-4977-2020; Panosso, Alan R/B-6772-2013; Criosfera, Inct/J-8639-2013; Panosso, Alan/AFV-5432-2022; La Scala Jr., Newton/C-4398-2012</t>
  </si>
  <si>
    <t>Ernesto Goncalves Reynaud Schaefer, Carlos/0000-0001-7060-1598; Panosso, Alan Rodrigo/0000-0001-9916-1696; La Scala Jr., Newton/0000-0002-1575-9875; Ernesto Goncalves Reynaud Schaefer, Carlos/0000-0001-5735-3227</t>
  </si>
  <si>
    <t>CNPq (Conselho Nacional de Desenvolvimento Cientifico e Tecnologico); FAPESP (Fundacao de Amparo a Pesquisa do Estado de Sao Paulo), Brazil</t>
  </si>
  <si>
    <t>CNPq (Conselho Nacional de Desenvolvimento Cientifico e Tecnologico)(Conselho Nacional de Desenvolvimento Cientifico e Tecnologico (CNPQ)); FAPESP (Fundacao de Amparo a Pesquisa do Estado de Sao Paulo), Brazil(Fundacao de Amparo a Pesquisa do Estado de Sao Paulo (FAPESP))</t>
  </si>
  <si>
    <t>We acknowledge CNPq (Conselho Nacional de Desenvolvimento Cientifico e Tecnologico) and FAPESP (Fundacao de Amparo a Pesquisa do Estado de Sao Paulo), Brazil, for financial support. This work is a contribution of INCT-Criosfera TERRANTAR group.</t>
  </si>
  <si>
    <t>10.1017/S0954102010000581</t>
  </si>
  <si>
    <t>Green Submitted</t>
  </si>
  <si>
    <t>WOS:000287465600004</t>
  </si>
  <si>
    <t>Cozzi, S; Cantoni, C</t>
  </si>
  <si>
    <t>Cozzi, Stefano; Cantoni, Carolina</t>
  </si>
  <si>
    <t>Stable isotope (δ13C and δ15N) composition of particulate organic matter, nutrients and dissolved organic matter during spring ice retreat at Terra Nova Bay</t>
  </si>
  <si>
    <t>Antarctic; dissolved inorganic nutrients; DOM; Gerlache Inlet; landfast ice; POM; Ross Sea</t>
  </si>
  <si>
    <t>ANNUAL SEA-ICE; ROSS SEA; WEDDELL SEA; MARINE PLANKTON; PACK ICE; CARBON; NITROGEN; FRACTIONATION; ANTARCTICA; TEMPERATURE</t>
  </si>
  <si>
    <t>Concentration and isotope composition of particulate organic matter were analysed from five coastal sites on the annual fast ice and in the underlying water column at Terra Nova Bay. The highest increases of POC (&lt; 2767 mu M C) and PON (&lt; 420 mu M N) were reached in bottom ice and the unconsolidated platelet layer, linked with a large accumulation of nutrients and dissolved organic matter. Isotope POM composition in ice habitats was highly varied (delta C-13(POC): -30.7 to -15.0 parts per thousand, delta N-15(PON): 1.8-9.9 parts per thousand). Constant negative delta C-13(POC) (&gt; -29.3 parts per thousand) and positive delta N-15(PON) (&lt; 9.4 parts per thousand) values characterized the upper ice horizons, indicating the prevalence of aged detritus in these assemblages. By contrast, isotope composition (delta C-13(POC): -15.0 to -29.7 parts per thousand, delta N-15(PON): 1.8-9.6 parts per thousand) and POC/PON ratios (6.2-12.6) changed markedly in bottom ice and interstitial water, even on short time scales, because of the combined effects of internal growth and mixing among freshly produced biomass. Sea ice breakout caused a large settling of particulates in the water column. It changed delta C-13(POC) (from 7.9 to 1.8 parts per thousand) and delta N-15(PON) (7.9-1.8 parts per thousand) values in suspended particulate matter, indicating that inputs from fast ice strongly affect the isotopic signature of the particulate assemblage Antarctic coastal waters.</t>
  </si>
  <si>
    <t>[Cozzi, Stefano; Cantoni, Carolina] CNR, ISMAR, Ist Sci Marine, I-34123 Trieste, Italy</t>
  </si>
  <si>
    <t>Consiglio Nazionale delle Ricerche (CNR); Istituto di Scienze Marine (ISMAR-CNR)</t>
  </si>
  <si>
    <t>Cozzi, S (corresponding author), CNR, ISMAR, Ist Sci Marine, Viale Romolo Gessi 2, I-34123 Trieste, Italy.</t>
  </si>
  <si>
    <t>stefano.cozzi@ts.ismar.cnr.it</t>
  </si>
  <si>
    <t>Cantoni, Carolina/Q-2294-2018; Cozzi, Stefano/G-1511-2011</t>
  </si>
  <si>
    <t>Cozzi, Stefano/0000-0003-0116-742X; Cantoni, Carolina/0000-0002-3253-1768</t>
  </si>
  <si>
    <t>Programma Nazionale di Ricerca in Antartide</t>
  </si>
  <si>
    <t>This study was funded by Programma Nazionale di Ricerca in Antartide and carried out in the framework of SEAROWS research project (Sea-ice Ecology in the Antarctic: ROss and Weddell Seas). We thank the logistic support of the Italian Station Mario Zucchelli at Terra Nova Bay, the colleagues involved in the field activity and the reviewers for their useful criticism and comments.</t>
  </si>
  <si>
    <t>10.1017/S0954102010000611</t>
  </si>
  <si>
    <t>WOS:000287465600006</t>
  </si>
  <si>
    <t>Evans, CW; Gubala, V; Nooney, R; Williams, DE; Brimble, MA; Devries, AL</t>
  </si>
  <si>
    <t>Evans, Clive W.; Gubala, Vladimir; Nooney, Robert; Williams, David E.; Brimble, Margaret A.; Devries, Arthur L.</t>
  </si>
  <si>
    <t>How do Antarctic notothenioid fishes cope with internal ice? A novel function for antifreeze glycoproteins</t>
  </si>
  <si>
    <t>AFGP; nanoparticles; notothenioid; Pagothenia borchgrevinki; phagocytosis</t>
  </si>
  <si>
    <t>FREEZING AVOIDANCE; GLYCOPEPTIDES; NANOPARTICLES; RESISTANCE; MECHANISM</t>
  </si>
  <si>
    <t>Antarctic fishes survive freezing through the secretion of antifreeze glycoproteins (AFGPs), which bind to ice crystals to inhibit their growth. This mode of action implies that ice crystals must be present internally for AFGPs to function. The entry and internal accumulation of ice is likely to be lethal, however, so how do fishes survive in its presence? We propose a novel function for the interaction between internal ice and AFGPs, namely the promotion of ice uptake by splenic phagocytes. We show here that i) external mucus of Antarctic notothenioids contains AFGPs and thus has a potential protective role against ice entry, ii) AFGPs are distributed widely through the extracellular space ensuring that they are likely to come into immediate contact with ice that penetrates their protective barriers, and iii) using AFGP-coated nanoparticles as a proxy for AFGP adsorbed onto ice, we suggest that internal ice crystals are removed from the circulation through phagocytosis, primarily in the spleen. We argue that intracellular sequestration in the spleen minimizes the risks associated with circulating ice and enables the fish to store the ice until it can be dealt with at a later date, possibly by melting during a seasonal warming event.</t>
  </si>
  <si>
    <t>[Evans, Clive W.; Brimble, Margaret A.] Univ Auckland, Sch Biol Sci, Auckland 1142, New Zealand; [Gubala, Vladimir; Nooney, Robert] Dublin City Univ, Biomed Diagnost Inst, Dublin 9, Ireland; [Williams, David E.; Brimble, Margaret A.] Univ Auckland, Dept Chem, Auckland 1142, New Zealand; [Williams, David E.] Univ Auckland, MacDiarmid Inst Adv Mat &amp; Nanotechnol, Auckland 1142, New Zealand; [Devries, Arthur L.] Univ Illinois, Dept Anim Biol, Urbana, IL 61801 USA</t>
  </si>
  <si>
    <t>University of Auckland; Dublin City University; University of Auckland; University of Auckland; University of Illinois System; University of Illinois Urbana-Champaign</t>
  </si>
  <si>
    <t>Evans, CW (corresponding author), Univ Auckland, Sch Biol Sci, Private Bag 92019, Auckland 1142, New Zealand.</t>
  </si>
  <si>
    <t>c.evans@auckland.ac.nz</t>
  </si>
  <si>
    <t>Evans, Clive/AAZ-4699-2021; Williams, David E/B-3222-2012</t>
  </si>
  <si>
    <t>Williams, David E/0000-0003-4123-5626; Brimble, Margaret/0000-0002-7086-4096; Evans, Clive/0000-0003-2888-842X; Gubala, Vladimir/0000-0001-6301-3632</t>
  </si>
  <si>
    <t>Human Frontier Science Programme [RGP003/2009-C]; Science Foundation Ireland [05/CE3/B754]; University of Auckland</t>
  </si>
  <si>
    <t>Human Frontier Science Programme(Human Frontier Science Program); Science Foundation Ireland(Science Foundation Ireland); University of Auckland</t>
  </si>
  <si>
    <t>This research was supported by grants from the Human Frontier Science Programme (RGP003/2009-C) to MAB and ALD, the Science Foundation Ireland (05/CE3/B754) to VG and RN, and the Faculty Research Development Fund (University of Auckland) to CWE. We thank Martin Middleditch and Natasha Lucas for mass spectrometry analysis, Jennifer Chen for histological preparation, Antarctica New Zealand for logistical support, and staff and colleagues at Scott Base (Antarctica) for their assistance in the field. We are grateful to Vivian Ward for assistance with the images. The constructive comments of the reviewers are also gratefully acknowledged.</t>
  </si>
  <si>
    <t>10.1017/S0954102010000635</t>
  </si>
  <si>
    <t>Green Accepted</t>
  </si>
  <si>
    <t>WOS:000287465600007</t>
  </si>
  <si>
    <t>Zhu, RB; Sun, JJ; Liu, YS; Gong, ZJ; Sun, LG</t>
  </si>
  <si>
    <t>Zhu, Renbin; Sun, Jianjun; Liu, Yashu; Gong, Zhijun; Sun, Liguang</t>
  </si>
  <si>
    <t>Potential ammonia emissions from penguin guano, ornithogenic soils and seal colony soils in coastal Antarctica: effects of freezing-thawing cycles and selected environmental variables</t>
  </si>
  <si>
    <t>Adelie penguin guano; NH3 emissions</t>
  </si>
  <si>
    <t>ATMOSPHERIC AMMONIA; NITROUS-OXIDE; MARITIME ANTARCTICA; VICTORIA LAND; CRYOSOLS; ROOKERIES; VOLATILIZATION; CLASSIFICATION; VEGETATION; METHANE</t>
  </si>
  <si>
    <t>Very little attention has been paid to quantifying ammonia (NH3) emissions from Antarctic marine animal excreta. In this paper, penguin guano and ornithogenic soils from four penguin colonies and seal colony soils were collected in coastal Antarctica, and laboratory experiments were conducted to investigate potential NH3 emissions and effects of environmental factors on NH3 fluxes. Ammonia fluxes were extremely low from the frozen samples. Significantly enhanced NH3 emissions were observed following thawing. The mean fluxes were 7.66 +/- 4.33 mg NH3 kg(-1) h(-1) from emperor penguin guano, 1.31 +/- 0.64 mg NH3 kg(-1) h(-1) from Adelie penguin guano and 0.33 +/- 0.39 mg NH3 kg(-1) h(-1) from seal colony soils during the thawing period. Ammonia emissions from penguin guano were higher than those from ornithogenic soils during freezing-thawing cycles (FTCs). The temperature, pH, total nitrogen (TN) and drying-wetting conversion had an important effect on NH3 fluxes. For the first time, we provide a quantitative relationship between NH3 flux and temperature, TN and pH. Our results show that marine animal excreta and ornithogenic soils are significant NH3 emission sources. In coastal Antarctica, FTC-induced NH3 emissions might account for a large proportion of annual flux from marine animal colonies due to high freezing-thawing frequency.</t>
  </si>
  <si>
    <t>[Zhu, Renbin; Sun, Jianjun; Liu, Yashu; Gong, Zhijun; Sun, Liguang] Univ Sci &amp; Technol China, Inst Polar Environm, Hefei City 230026, Anhui Province, Peoples R China</t>
  </si>
  <si>
    <t>Chinese Academy of Sciences; University of Science &amp; Technology of China, CAS</t>
  </si>
  <si>
    <t>Zhu, RB (corresponding author), Univ Sci &amp; Technol China, Inst Polar Environm, Hefei City 230026, Anhui Province, Peoples R China.</t>
  </si>
  <si>
    <t>zhurb@ustc.eclu.cn</t>
  </si>
  <si>
    <t>CAS [KZCX2-YW-QN510]; Key Laboratory for Polar Sciences of State Oceanic Bureau [KP2008004]</t>
  </si>
  <si>
    <t>CAS(Chinese Academy of Sciences); Key Laboratory for Polar Sciences of State Oceanic Bureau</t>
  </si>
  <si>
    <t>This work was supported by the Project of Knowledge Innovation of CAS (KZCX2-YW-QN510) and the Open Project of Key Laboratory for Polar Sciences of State Oceanic Bureau (KP2008004). We sincerely acknowledge the members of the 22nd Chinese Antarctic Research Expedition for assistance with the sample collection. The constructive comments of the reviewers are also gratefully acknowledged.</t>
  </si>
  <si>
    <t>10.1017/S0954102010000623</t>
  </si>
  <si>
    <t>WOS:000287465600009</t>
  </si>
  <si>
    <t>Guerrero-Kommritz, J</t>
  </si>
  <si>
    <t>Guerrero-Kommritz, Juergen</t>
  </si>
  <si>
    <t>Short Note Seasonal distribution of early life stages in squid of the Lazarev Sea, Antarctica</t>
  </si>
  <si>
    <t>GALITEUTHIS-GLACIALIS; SOUTHERN-OCEAN; WEDDELL SEA</t>
  </si>
  <si>
    <t>[Guerrero-Kommritz, Juergen] Biozentrum Grindel, D-20146 Hamburg, Germany; [Guerrero-Kommritz, Juergen] Zool Museum, D-20146 Hamburg, Germany</t>
  </si>
  <si>
    <t>University of Hamburg</t>
  </si>
  <si>
    <t>Guerrero-Kommritz, J (corresponding author), Biozentrum Grindel, Martin Luther King Pl 3, D-20146 Hamburg, Germany.</t>
  </si>
  <si>
    <t>greledone@hotmail.com</t>
  </si>
  <si>
    <t>10.1017/S0954102010000672</t>
  </si>
  <si>
    <t>WOS:000287465600010</t>
  </si>
  <si>
    <t>Morgan, DJ; Putkonen, J; Balco, G; Stone, J</t>
  </si>
  <si>
    <t>Morgan, Daniel J.; Putkonen, Jaakko; Balco, Greg; Stone, John</t>
  </si>
  <si>
    <t>Degradation of glacial deposits quantified with cosmogenic nuclides, Quartermain Mountains, Antarctica</t>
  </si>
  <si>
    <t>EARTH SURFACE PROCESSES AND LANDFORMS</t>
  </si>
  <si>
    <t>cosmogenic nuclides; Antarctica; landscape evolution; erosion rate; sublimation rate</t>
  </si>
  <si>
    <t>MCMURDO DRY VALLEYS; SOUTHERN VICTORIA LAND; SURFACE EXPOSURE AGES; IN-SITU; BEACON VALLEY; TRANSANTARCTIC-MOUNTAINS; ICE-SHEET; LANDSCAPE EVOLUTION; EAST ANTARCTICA; CLIMATE-CHANGE</t>
  </si>
  <si>
    <t>Many glacial deposits in the Quartermain Mountains, Antarctica present two apparent contradictions regarding the degradation of unconsolidated deposits. The glacial deposits are up to millions of years old, yet they have maintained their meter-scale morphology despite the fact that bedrock and regolith erosion rates in the Quartermain Mountains have been measured at 0.1-4.0 m Ma(-1). Additionally, ground ice persists in some Miocene-aged soils in the Quartermain Mountains even though modeled and measured sublimation rates of ice in Antarctic soils suggest that without any recharge mechanisms ground ice should sublimate in the upper few meters of soil on the order of 10(3) to 10(5) years. This paper presents results from using the concentration of cosmogenic nuclides beryllium-10 (Be-10) and aluminum-26 (Al-26) in bulk sediment samples from depth profiles of three glacial deposits in the Quartermain Mountains. The measured nuclide concentrations are lower than expected for the known ages of the deposits, erosion alone does not always explain these concentrations, and deflation of the tills by the sublimation of ice coupled with erosion of the overlying till can explain some of the nuclide concentration profiles. The degradation rates that best match the data range 0.7-12 m Ma(-1) for sublimation of ice with initial debris concentrations ranging 12-45% and erosion of the overlying till at rates of 0.4-1.2 m Ma(-1). Overturning of the tills by cryoturbation, vertical mixing, or soil creep is not indicated by the cosmogenic nuclide profiles, and degradation appears to be limited to within a few centimeters of the surface. Erosion of these tills without vertical mixing may partially explain how some glacial deposits in the Quartermain Mountains maintain their morphology and contain ground ice close to the surface for millions of years. Copyright (C) 2010 John Wiley &amp; Sons, Ltd.</t>
  </si>
  <si>
    <t>[Morgan, Daniel J.] Vanderbilt Univ, Dept Earth &amp; Environm Sci, Nashville, TN 37235 USA; [Putkonen, Jaakko] Univ N Dakota, Dept Geol &amp; Geol Engn, Grand Forks, ND 58201 USA; [Balco, Greg] Berkeley Geochronol Ctr, Berkeley, CA USA; [Stone, John] Univ Washington, Dept Earth &amp; Space Sci, Seattle, WA 98195 USA</t>
  </si>
  <si>
    <t>Vanderbilt University; University of North Dakota Grand Forks; Berkeley Geochronolgy Center; University of Washington; University of Washington Seattle</t>
  </si>
  <si>
    <t>Morgan, DJ (corresponding author), Vanderbilt Univ, Dept Earth &amp; Environm Sci, 2301 Vanderbilt Pl,Stn B 35-1805, Nashville, TN 37235 USA.</t>
  </si>
  <si>
    <t>Dan.morgan@vanderbilt.edu</t>
  </si>
  <si>
    <t>Morgan, Daniel/V-1505-2019</t>
  </si>
  <si>
    <t>US National Science Foundation [OPP-338224]; Division Of Earth Sciences; Directorate For Geosciences [0851981] Funding Source: National Science Foundation; EPSCoR; Office Of The Director [0814442] Funding Source: National Science Foundation</t>
  </si>
  <si>
    <t>US National Science Foundation(National Science Foundation (NSF)); Division Of Earth Sciences; Directorate For Geosciences(National Science Foundation (NSF)NSF - Directorate for Geosciences (GEO)); EPSCoR; Office Of The Director(National Science Foundation (NSF)NSF - Office of the Director (OD)NSF - Office of Integrative Activities (OIA))</t>
  </si>
  <si>
    <t>This research was supported by US National Science Foundation grant OPP-338224. We thank J. Connolly, K. Craig, B. O'Donnell, and N. Turpen for assistance in the field, and Raytheon Polar Services for logistical support. This manuscript was greatly improved by the comments of three anonymous reviewers.</t>
  </si>
  <si>
    <t>WILEY</t>
  </si>
  <si>
    <t>HOBOKEN</t>
  </si>
  <si>
    <t>111 RIVER ST, HOBOKEN 07030-5774, NJ USA</t>
  </si>
  <si>
    <t>0197-9337</t>
  </si>
  <si>
    <t>1096-9837</t>
  </si>
  <si>
    <t>EARTH SURF PROC LAND</t>
  </si>
  <si>
    <t>Earth Surf. Process. Landf.</t>
  </si>
  <si>
    <t>10.1002/esp.2039</t>
  </si>
  <si>
    <t>Geography, Physical; Geosciences, Multidisciplinary</t>
  </si>
  <si>
    <t>Physical Geography; Geology</t>
  </si>
  <si>
    <t>718VH</t>
  </si>
  <si>
    <t>WOS:000287154000007</t>
  </si>
  <si>
    <t>Chang, YS; Rosati, A; Zhang, SQ</t>
  </si>
  <si>
    <t>Chang, You-Soon; Rosati, Anthony; Zhang, Shaoqing</t>
  </si>
  <si>
    <t>A construction of pseudo salinity profiles for the global ocean: Method and evaluation</t>
  </si>
  <si>
    <t>JOURNAL OF GEOPHYSICAL RESEARCH-OCEANS</t>
  </si>
  <si>
    <t>COUPLED CLIMATE MODELS; SEA-LEVEL; DATA ASSIMILATION; TROPICAL PACIFIC; TEMPERATURE; VARIABILITY; SIMULATION</t>
  </si>
  <si>
    <t>This study demonstrates a reconstruction of salinity profiles for the global ocean for the period 1993-2008. All available temperature-salinity (T-S) profiles from the Global Temperature-Salinity Profile Program and Argo data are divided into two subsets; one half is used for producing the vertical coupled T-S empirical orthogonal function (EOF) modes, and the other half is used for the verification. We employed a weighted least-squares method that minimizes the misfits between the predetermined EOF structures and independent observed temperature and altimetry data. Verification shows that the South Indian and North Atlantic oceans maintain good correlations to 900 m depth between the observed and reconstructed salinity with altimetry data. Meanwhile, the Pacific and Antarctic oceans below 500 m shows significant negative correlations which are associated with the relationship between steric height and salinity variability in these basins. In order to guarantee general agreement with observations for all ocean depths, we calculate a regional correlation index considering the impact of altimetry data and employ it for our final products. Except for the surface ocean, the pseudo salinity profiles show general improvements compared to the existing climatology and the reanalysis outputs from the Geophysical Fluid Dynamics Laboratory's ensemble coupled data assimilation system. Near the surface layer, reanalysis outputs show a relatively high performance due to the coupling between the atmosphere and ocean. An assimilation system produces reliable surface flux variability not accounted for the construction of the global pseudo salinity profiles. These results encourage the application of the global pseudo salinity profiles into an assimilation system for the 20th century when the observed salinity data are sparse.</t>
  </si>
  <si>
    <t>[Chang, You-Soon; Rosati, Anthony; Zhang, Shaoqing] Princeton Univ, NOAA, Geophys Fluid Dynam Lab, Princeton, NJ 08540 USA; [Chang, You-Soon] Univ Corp Atmospher Res, Boulder, CO USA</t>
  </si>
  <si>
    <t>Princeton University; National Oceanic Atmospheric Admin (NOAA) - USA; National Center Atmospheric Research (NCAR) - USA</t>
  </si>
  <si>
    <t>Chang, YS (corresponding author), Princeton Univ, NOAA, Geophys Fluid Dynam Lab, Forrestal Campus,201 Forrestal Rd, Princeton, NJ 08540 USA.</t>
  </si>
  <si>
    <t>you-soon.chang@noaa.gov</t>
  </si>
  <si>
    <t>Zhang, Shaoqing/X-3124-2019</t>
  </si>
  <si>
    <t>National Oceanic and Atmospheric Administration's Geophysical Fluid Dynamics Laboratory (NOAA/GFDL)</t>
  </si>
  <si>
    <t>National Oceanic and Atmospheric Administration's Geophysical Fluid Dynamics Laboratory (NOAA/GFDL)(National Oceanic Atmospheric Admin (NOAA) - USA)</t>
  </si>
  <si>
    <t>This research was supported by the Visiting Scientist Program at the National Oceanic and Atmospheric Administration's Geophysical Fluid Dynamics Laboratory (NOAA/GFDL), administered by the University Corporation for Atmospheric Research (UCAR). We acknowledge the international Argo and GTSPP program for the rich publicly available database. Argo is a pilot program of the Global Ocean Observing System. The altimeter products were produced by SSALTO/DUACS and distributed by Aviso with support from CNES. We thank A. T. Wittenberg and M. J. Harrison for their comments on the earlier version of this paper. Suggestions made by anonymous reviewers were very constructive in the revision of this paper.</t>
  </si>
  <si>
    <t>AMER GEOPHYSICAL UNION</t>
  </si>
  <si>
    <t>WASHINGTON</t>
  </si>
  <si>
    <t>2000 FLORIDA AVE NW, WASHINGTON, DC 20009 USA</t>
  </si>
  <si>
    <t>2169-9275</t>
  </si>
  <si>
    <t>2169-9291</t>
  </si>
  <si>
    <t>J GEOPHYS RES-OCEANS</t>
  </si>
  <si>
    <t>J. Geophys. Res.-Oceans</t>
  </si>
  <si>
    <t>FEB 1</t>
  </si>
  <si>
    <t>C02002</t>
  </si>
  <si>
    <t>10.1029/2010JC006386</t>
  </si>
  <si>
    <t>Oceanography</t>
  </si>
  <si>
    <t>717GU</t>
  </si>
  <si>
    <t>Bronze</t>
  </si>
  <si>
    <t>WOS:000287032400002</t>
  </si>
  <si>
    <t>Huang, T; Sun, LG; Wang, YH; Kong, DM</t>
  </si>
  <si>
    <t>Huang, Tao; Sun, Liguang; Wang, Yuhong; Kong, Deming</t>
  </si>
  <si>
    <t>Late Holocene Ad,lie penguin population dynamics at Zolotov Island, Vestfold Hills, Antarctica</t>
  </si>
  <si>
    <t>JOURNAL OF PALEOLIMNOLOGY</t>
  </si>
  <si>
    <t>Adelie penguin; Antarctic climates; Ice core; Ornithogenic sediments; Western Antarctic Peninsula; Little Ice Age</t>
  </si>
  <si>
    <t>SEA-ICE EXTENT; CLIMATE-CHANGE; EASTERN ANTARCTICA; PALEONTOLOGICAL EVIDENCE; DIATOM ASSEMBLAGES; PENINSULA REGION; ADELIE PENGUINS; LAKE-SEDIMENTS; TRACE-ELEMENTS; ARDLEY ISLAND</t>
  </si>
  <si>
    <t>We inferred late Holocene Ad,lie penguin occupation history and population dynamics on Zolotov Island, Vestfold Hills, Antarctica, using geochemical data from a dated ornithogenic sediment core (ZOL4). Radiocarbon dates on fossil penguin bones in the core indicate that Ad,lie penguins occupied the island as early as 1,800 years before present (yr BP), following the retreat of the Sorsdal glacier. This occupation began similar to 1,200 years later than that observed at Ardley Island and King George Island, in the South Shetland Islands. Phosphorus was identified as the most indicative bio-element for penguin guano in core ZOL4, and was used to infer past penguin population dynamics. Around 1,800 years ago, the Ad,lie penguin populations at both Zolotov Island and Ardley Island increased rapidly and reached their highest levels similar to 1,000 yr BP. For the past similar to 900 years, the penguin populations at Zolotov Island have shown a general rising trend, with fluctuations, while those at Ardley Island have shown a moderate decreasing trend. The Ad,lie penguin populations at both Ardley Island and Zolotov Island showed a clear decline similar to 300 years ago, which we interpret as a response to the Little Ice Age, or a neoglacial cooling event.</t>
  </si>
  <si>
    <t>[Huang, Tao; Sun, Liguang; Wang, Yuhong; Kong, Deming] Univ Sci &amp; Technol China, Inst Polar Environm, Hefei 230026, Peoples R China; [Wang, Yuhong] NIH, Bethesda, MD 20892 USA</t>
  </si>
  <si>
    <t>Chinese Academy of Sciences; University of Science &amp; Technology of China, CAS; National Institutes of Health (NIH) - USA</t>
  </si>
  <si>
    <t>Sun, LG (corresponding author), Univ Sci &amp; Technol China, Inst Polar Environm, Hefei 230026, Peoples R China.</t>
  </si>
  <si>
    <t>slg@ustc.edu.cn</t>
  </si>
  <si>
    <t>Huang, Tao/B-5915-2009</t>
  </si>
  <si>
    <t>Huang, Tao/0000-0001-5035-1632</t>
  </si>
  <si>
    <t>National Natural Science Foundation of China [40730107]; National Science and Technology Supporting Program [2006BAB18B07]; Major State Basic Research and Development Program of China (973 program) [2010CB428902]; Australian Antarctic Division Science Project [AAD2873]</t>
  </si>
  <si>
    <t>National Natural Science Foundation of China(National Natural Science Foundation of China (NSFC)); National Science and Technology Supporting Program; Major State Basic Research and Development Program of China (973 program)(National Basic Research Program of China); Australian Antarctic Division Science Project</t>
  </si>
  <si>
    <t>This study was funded by the National Natural Science Foundation of China (No. 40730107), the National Science and Technology Supporting Program (2006BAB18B07), the Major State Basic Research and Development Program of China (973 program, No. 2010CB428902) and the Australian Antarctic Division Science Project (AAD2873). We thank the Chinese Arctic and Antarctic Administration, Polar Research Institute of China, Australian Antarctic Division for logistical support in field, Dr. Renbin Zhu for collection of samples and Dr. William Cooper for assistance with radiocarbon dating. We especially thank the reviewers for their critical comments and Dr. Dominic Hodgson and Dr. Mark Brenner for their help in improving this manuscript.</t>
  </si>
  <si>
    <t>SPRINGER</t>
  </si>
  <si>
    <t>DORDRECHT</t>
  </si>
  <si>
    <t>VAN GODEWIJCKSTRAAT 30, 3311 GZ DORDRECHT, NETHERLANDS</t>
  </si>
  <si>
    <t>0921-2728</t>
  </si>
  <si>
    <t>J PALEOLIMNOL</t>
  </si>
  <si>
    <t>J. Paleolimn.</t>
  </si>
  <si>
    <t>10.1007/s10933-011-9497-x</t>
  </si>
  <si>
    <t>Environmental Sciences; Geosciences, Multidisciplinary; Limnology</t>
  </si>
  <si>
    <t>Environmental Sciences &amp; Ecology; Geology; Marine &amp; Freshwater Biology</t>
  </si>
  <si>
    <t>712OV</t>
  </si>
  <si>
    <t>WOS:000286677000011</t>
  </si>
  <si>
    <t>Han, SJ; Park, H; Lee, SG; Lee, HK; Yim, JH</t>
  </si>
  <si>
    <t>Han, Se Jong; Park, Heeyong; Lee, Sung Gu; Lee, Hong Kum; Yim, Joung Han</t>
  </si>
  <si>
    <t>Optimization of cold-active chitinase production from the Antarctic bacterium, Sanguibacter antarcticus KOPRI 21702</t>
  </si>
  <si>
    <t>APPLIED MICROBIOLOGY AND BIOTECHNOLOGY</t>
  </si>
  <si>
    <t>Antarctic bacterium; Cold-active; Endochitinase; Sanguibacter antarcticus; Statistical optimization</t>
  </si>
  <si>
    <t>MOLECULAR ANALYSIS; SEQUENCES; GENES</t>
  </si>
  <si>
    <t>In the present study, cultivation conditions and medium components were optimized using statistical design and analysis to enhance the production of Chi21702, a cold-active extracellular chitinase from the Antarctic bacterium Sanguibacter antarcticus KOPRI 21702. Identification of significant carbon sources and other key elements was performed using a statistical design technique. Chitin and glycerol were selected as main carbon sources, and the ratio of complex nitrogen sources to carbon sources was determined to be 0.5. Among 15 mineral components included in basal medium, NaCl, Fe(C6H5O7), and MgCl2 were found to have the most influence on Chi21702 production. The optimal parameters of temperature, initial pH, and dissolved oxygen level were found to be 25A degrees C, 6.5, and above 30% of air saturation, respectively. The maximum Chi21702 activity obtained under the optimized conditions was 90 U/L. Through statistical optimization methods, a 7.5-fold increase in Chi21702 production was achieved over unoptimized conditions. Chi21702 showed relatively high activity, even at low temperatures close to 0A degrees C. The information obtained in the present study could be applied to the production of cold-active endochitinase on a large scale, suitable for a process at low temperature in industry.</t>
  </si>
  <si>
    <t>[Han, Se Jong; Park, Heeyong; Lee, Sung Gu; Lee, Hong Kum; Yim, Joung Han] Korea Polar Res Inst, Div Life Sci, Inchon 406840, South Korea</t>
  </si>
  <si>
    <t>Korea Institute of Ocean Science &amp; Technology (KIOST); Korea Polar Research Institute (KOPRI)</t>
  </si>
  <si>
    <t>Yim, JH (corresponding author), Korea Polar Res Inst, Div Life Sci, Inchon 406840, South Korea.</t>
  </si>
  <si>
    <t>jhyim@kopri.re.kr</t>
  </si>
  <si>
    <t>HAN, Se Jong/0000-0001-9576-2179</t>
  </si>
  <si>
    <t>Korea Polar Research Institute [PE10050]</t>
  </si>
  <si>
    <t>Korea Polar Research Institute(Korea Polar Research Institute of Marine Research Placement (KOPRI))</t>
  </si>
  <si>
    <t>This research was supported by a grant from the Korea Polar Research Institute (PE10050).</t>
  </si>
  <si>
    <t>ONE NEW YORK PLAZA, SUITE 4600, NEW YORK, NY, UNITED STATES</t>
  </si>
  <si>
    <t>0175-7598</t>
  </si>
  <si>
    <t>1432-0614</t>
  </si>
  <si>
    <t>APPL MICROBIOL BIOT</t>
  </si>
  <si>
    <t>Appl. Microbiol. Biotechnol.</t>
  </si>
  <si>
    <t>10.1007/s00253-010-2890-y</t>
  </si>
  <si>
    <t>Biotechnology &amp; Applied Microbiology</t>
  </si>
  <si>
    <t>709HP</t>
  </si>
  <si>
    <t>WOS:000286429400014</t>
  </si>
  <si>
    <t>Chattopadhyay, MK; Raghu, G; Sharma, YVRK; Biju, AR; Rajasekharan, MV; Shivaji, S</t>
  </si>
  <si>
    <t>Chattopadhyay, M. K.; Raghu, G.; Sharma, Y. V. R. K.; Biju, A. R.; Rajasekharan, M. V.; Shivaji, S.</t>
  </si>
  <si>
    <t>Increase in Oxidative Stress at Low Temperature in an Antarctic Bacterium</t>
  </si>
  <si>
    <t>CURRENT MICROBIOLOGY</t>
  </si>
  <si>
    <t>IDENTIFICATION; PSEUDOMONAS; ADAPTATION; GROWTH</t>
  </si>
  <si>
    <t>Association between cold stress and oxidative stress was demonstrated by measuring the activity of two antioxidant enzymes and the level of free radicals generated in two batches of cells of an Antarctic bacterium Pseudomonas fluorescens MTCC 667, grown at 22 and 4A degrees C. Increase in oxidative stress in cells grown at low temperature was evidenced by increase in the activity of an enzyme and also in the amount of free radicals generated, in the cold-grown cells. The association between cold stress and oxidative stress demonstrated in this investigation bolsters the concept of interlinked stress response in bacteria.</t>
  </si>
  <si>
    <t>[Chattopadhyay, M. K.; Raghu, G.; Sharma, Y. V. R. K.; Shivaji, S.] Ctr Cellular &amp; Mol Biol, CSIR, Hyderabad 500007, Andhra Pradesh, India; [Biju, A. R.; Rajasekharan, M. V.] Univ Hyderabad, Sch Chem, Hyderabad 500046, Andhra Pradesh, India</t>
  </si>
  <si>
    <t>Council of Scientific &amp; Industrial Research (CSIR) - India; CSIR - Centre for Cellular &amp; Molecular Biology (CCMB); University of Hyderabad</t>
  </si>
  <si>
    <t>Chattopadhyay, MK (corresponding author), Ctr Cellular &amp; Mol Biol, CSIR, Hyderabad 500007, Andhra Pradesh, India.</t>
  </si>
  <si>
    <t>mkc@ccmb.res.in; mvrsc@uohyd.ernet.in</t>
  </si>
  <si>
    <t>Biju, A R/KCY-9360-2024; Gogada, Raghu/AGQ-4931-2022; Gogada, Raghu/AAG-6624-2019</t>
  </si>
  <si>
    <t>Gogada, Raghu/0000-0003-0933-7999; shivaji, sisinthy/0000-0003-0376-4658; M V, Rajasekharan/0000-0002-2072-727X</t>
  </si>
  <si>
    <t>Council of Scientific and Industrial Research, New Delhi, India; University Grants Commission, New Delhi, India</t>
  </si>
  <si>
    <t>Council of Scientific and Industrial Research, New Delhi, India(Council of Scientific &amp; Industrial Research (CSIR) - India); University Grants Commission, New Delhi, India(University Grants Commission, India)</t>
  </si>
  <si>
    <t>The investigators are thankful to the Council of Scientific and Industrial Research, New Delhi, India and University Grants Commission, New Delhi, India for providing funds for this investigation. The technical help provided by Mr C. Suresh, University of Hyderabad, India in recording the EPR spectra, is also sincerely acknowledged.</t>
  </si>
  <si>
    <t>233 SPRING ST, NEW YORK, NY 10013 USA</t>
  </si>
  <si>
    <t>0343-8651</t>
  </si>
  <si>
    <t>CURR MICROBIOL</t>
  </si>
  <si>
    <t>Curr. Microbiol.</t>
  </si>
  <si>
    <t>10.1007/s00284-010-9742-y</t>
  </si>
  <si>
    <t>Microbiology</t>
  </si>
  <si>
    <t>706GH</t>
  </si>
  <si>
    <t>WOS:000286205500033</t>
  </si>
  <si>
    <t>Grist, EPM; Jackson, GD; Meekan, MG</t>
  </si>
  <si>
    <t>Grist, Eric P. M.; Jackson, George D.; Meekan, Mark G.</t>
  </si>
  <si>
    <t>Does a snapshot show the whole picture? Intrinsic limitations to growth inference of the short lived and fast growing</t>
  </si>
  <si>
    <t>ENVIRONMENTAL BIOLOGY OF FISHES</t>
  </si>
  <si>
    <t>Longitudinal data; Growth patterns; Regression curve</t>
  </si>
  <si>
    <t>LIFE-HISTORY; SQUID GROWTH; MODELS; SPRATELLOIDES; TEMPERATURE; HYPOTHESIS; SPACE; SIZE; TIME; AGE</t>
  </si>
  <si>
    <t>Individual growth patterns in ecology are often determined from population field data through the use of regression and model selection inference analyses. However, such approaches are typically unable to provide insight into dynamic processes when based upon collections of 'snapshot' data that consist of only a single observation for each individual. We caution how model selection inference from size-at-age data may lead to growth models that are mis-specified in the case of species such as squid and fishes that display fast and variable growth and for which, field data of the early part of the lifespan are typically sparse and difficult to obtain.</t>
  </si>
  <si>
    <t>[Grist, Eric P. M.] WCA Environm Ltd, Faringdon SN7 7YR, Oxon, England; [Jackson, George D.] Univ Tasmania, Inst Antarctic &amp; So Ocean Studies, Hobart, Tas 7001, Australia; [Meekan, Mark G.] Univ Western Australia MO96, Australian Inst Marine Sci, Crawley, WA 6009, Australia</t>
  </si>
  <si>
    <t>University of Tasmania; Australian Institute of Marine Science; University of Western Australia</t>
  </si>
  <si>
    <t>Grist, EPM (corresponding author), WCA Environm Ltd, Brunel House,Volunteer Way, Faringdon SN7 7YR, Oxon, England.</t>
  </si>
  <si>
    <t>ericgrist@googlemail.com</t>
  </si>
  <si>
    <t>Jackson, George D/AAI-7315-2021</t>
  </si>
  <si>
    <t>Meekan, Mark/0000-0002-3067-9427</t>
  </si>
  <si>
    <t>0378-1909</t>
  </si>
  <si>
    <t>1573-5133</t>
  </si>
  <si>
    <t>ENVIRON BIOL FISH</t>
  </si>
  <si>
    <t>Environ. Biol. Fishes</t>
  </si>
  <si>
    <t>10.1007/s10641-010-9723-9</t>
  </si>
  <si>
    <t>Ecology; Marine &amp; Freshwater Biology</t>
  </si>
  <si>
    <t>Environmental Sciences &amp; Ecology; Marine &amp; Freshwater Biology</t>
  </si>
  <si>
    <t>708VM</t>
  </si>
  <si>
    <t>WOS:000286392400001</t>
  </si>
  <si>
    <t>Lascaux, F; Masciadri, E; Hagelin, S</t>
  </si>
  <si>
    <t>Lascaux, F.; Masciadri, E.; Hagelin, S.</t>
  </si>
  <si>
    <t>Mesoscale optical turbulence simulations above Dome C, Dome A and South Pole</t>
  </si>
  <si>
    <t>MONTHLY NOTICES OF THE ROYAL ASTRONOMICAL SOCIETY</t>
  </si>
  <si>
    <t>turbulence; atmospheric effects; site testing</t>
  </si>
  <si>
    <t>ATMOSPHERIC NUMERICAL-MODEL; MESO-NH; SURFACE-LAYER; SITE; PARAMETERIZATION; ANTARCTICA</t>
  </si>
  <si>
    <t>In two recent papers, themesoscalemodel Meso-NH, jointly with theAstro-Meso-NH package, has been validated at Dome C, Antarctica, for the characterization of optical turbulence. It has been shown that the meteorological parameters (temperature and wind speed, on which the optical turbulence depends) as well as the C-N(2) profiles above Dome C were correctly reproduced statistically. The three most important derived parameters that characterize the optical turbulence above the Internal Antarctic Plateau - the surface-layer thickness, the seeing in the free atmosphere and the seeing in the total atmosphere - were shown to be in very good agreement with observations. Validation of C-N(2) has been performed using all the measurements of the optical turbulence vertical distribution obtained in winter so far. In this paper, in order to investigate the ability of the model to discriminate between different turbulence conditions for site testing, we extend the study to two other potential astronomical sites in Antarctica: Dome A and South Pole, which we expect to be characterized by different turbulence conditions. The optical turbulence has been calculated above these two sites for the same 15 nights studied for Dome C and a comparison between the three sites has been performed. The ability of the Meso-NH model to discriminate between different types of optical turbulence behaviour is confirmed, and it is evident that the three sites considered have different characteristics as regards the seeing and the surface-layer thickness.</t>
  </si>
  <si>
    <t>[Lascaux, F.; Masciadri, E.; Hagelin, S.] Osserv Astrofis Arcetri, INAF, I-50125 Florence, Italy; [Hagelin, S.] Uppsala Univ, Dept Earth Sci, S-75236 Uppsala, Sweden</t>
  </si>
  <si>
    <t>Istituto Nazionale Astrofisica (INAF); Uppsala University</t>
  </si>
  <si>
    <t>Lascaux, F (corresponding author), Osserv Astrofis Arcetri, INAF, Largo Enrico Fermi 5, I-50125 Florence, Italy.</t>
  </si>
  <si>
    <t>lascaux@arcetri.astro.it; masciadri@arcetri.astro.it</t>
  </si>
  <si>
    <t>Hagelin, Susanna/AAA-2956-2021; Masciadri, Elena/AAC-5611-2021; Lascaux, Franck/AAK-4581-2021</t>
  </si>
  <si>
    <t>Hagelin, Susanna/0000-0003-3167-3016; Masciadri, Elena/0000-0002-0450-4092; Lascaux, Franck/0000-0002-0099-0740</t>
  </si>
  <si>
    <t>Marie Curie Excellence Grant (FOROT) [MEXT-CT-2005-023878]</t>
  </si>
  <si>
    <t>Marie Curie Excellence Grant (FOROT)(European Union (EU))</t>
  </si>
  <si>
    <t>ECMWF products are extracted from the catalogue MARS, http://www.ecmwf.int, and access to these data was authorized by the Meteorologic Service of the Italian Air Force. This study has been funded by the Marie Curie Excellence Grant (FOROT) - MEXT-CT-2005-023878.</t>
  </si>
  <si>
    <t>WILEY-BLACKWELL</t>
  </si>
  <si>
    <t>MALDEN</t>
  </si>
  <si>
    <t>COMMERCE PLACE, 350 MAIN ST, MALDEN 02148, MA USA</t>
  </si>
  <si>
    <t>0035-8711</t>
  </si>
  <si>
    <t>MON NOT R ASTRON SOC</t>
  </si>
  <si>
    <t>Mon. Not. Roy. Astron. Soc.</t>
  </si>
  <si>
    <t>10.1111/j.1365-2966.2010.17709.x</t>
  </si>
  <si>
    <t>Astronomy &amp; Astrophysics</t>
  </si>
  <si>
    <t>710QF</t>
  </si>
  <si>
    <t>Green Submitted, Bronze</t>
  </si>
  <si>
    <t>WOS:000286525600072</t>
  </si>
  <si>
    <t>Gillett, NP; Arora, VK; Zickfeld, K; Marshall, SJ; Merryfield, AJ</t>
  </si>
  <si>
    <t>Gillett, Nathan P.; Arora, Vivek K.; Zickfeld, Kirsten; Marshall, Shawn J.; Merryfield, Andwilliam J.</t>
  </si>
  <si>
    <t>Ongoing climate change following a complete cessation of carbon dioxide emissions</t>
  </si>
  <si>
    <t>NATURE GEOSCIENCE</t>
  </si>
  <si>
    <t>ICE SHELVES; OCEAN; SURFACE; MODEL</t>
  </si>
  <si>
    <t>A threat of irreversible damage should prompt action to mitigate climate change, according to the United Nations Framework Convention on Climate Change, which serves as a basis for international climate policy. CO2-induced climate change is known to be largely irreversible on timescales of many centuries(1), as simulated global mean temperature remains approximately constant for such periods following a complete cessation of carbon dioxide emissions while thermosteric sea level continues to rise(1-6). Here we use simulations with the Canadian Earth System Model to show that ongoing regional changes in temperature and precipitation are significant, following a complete cessation of carbon dioxide emissions in 2100, despite almost constant global mean temperatures. Moreover, our projections show warming at intermediate depths in the Southern Ocean that is many times larger by the year 3000 than that realized in 2100. We suggest that a warming of the intermediate-depth ocean around Antarctica at the scale simulated for the year 3000 could lead to the collapse of the West Antarctic Ice Sheet, which would be associated with a rise in sea level of several metres(2,7,8).</t>
  </si>
  <si>
    <t>[Gillett, Nathan P.; Arora, Vivek K.; Zickfeld, Kirsten; Merryfield, Andwilliam J.] Univ Victoria, Environm Canada, Canadian Ctr Climate Modelling &amp; Anal, STN CSC, Victoria, BC V8W 3V6, Canada; [Marshall, Shawn J.] Univ Calgary, Dept Geog, Calgary, AB T2N 1N4, Canada</t>
  </si>
  <si>
    <t>University of Victoria; Environment &amp; Climate Change Canada; Canadian Centre for Climate Modelling &amp; Analysis (CCCma); University of Calgary</t>
  </si>
  <si>
    <t>Gillett, NP (corresponding author), Univ Victoria, Environm Canada, Canadian Ctr Climate Modelling &amp; Anal, STN CSC, Victoria, BC V8W 3V6, Canada.</t>
  </si>
  <si>
    <t>nathan.gillett@ec.gc.ca</t>
  </si>
  <si>
    <t>Zickfeld, Kirsten/JVN-0763-2024</t>
  </si>
  <si>
    <t>NATURE PORTFOLIO</t>
  </si>
  <si>
    <t>BERLIN</t>
  </si>
  <si>
    <t>HEIDELBERGER PLATZ 3, BERLIN, 14197, GERMANY</t>
  </si>
  <si>
    <t>1752-0894</t>
  </si>
  <si>
    <t>1752-0908</t>
  </si>
  <si>
    <t>NAT GEOSCI</t>
  </si>
  <si>
    <t>Nat. Geosci.</t>
  </si>
  <si>
    <t>10.1038/NGEO1047</t>
  </si>
  <si>
    <t>Geosciences, Multidisciplinary</t>
  </si>
  <si>
    <t>Geology</t>
  </si>
  <si>
    <t>713GN</t>
  </si>
  <si>
    <t>WOS:000286723300010</t>
  </si>
  <si>
    <t>Stoddart, M</t>
  </si>
  <si>
    <t>Stoddart, Michael</t>
  </si>
  <si>
    <t>CAML - a stepping stone to future programmes</t>
  </si>
  <si>
    <t>Editorial Material</t>
  </si>
  <si>
    <t>Univ Tasmania, Hobart, Tas 7001, Australia</t>
  </si>
  <si>
    <t>University of Tasmania</t>
  </si>
  <si>
    <t>Stoddart, M (corresponding author), Univ Tasmania, Hobart, Tas 7001, Australia.</t>
  </si>
  <si>
    <t>10.1017/S0954102011000010</t>
  </si>
  <si>
    <t>WOS:000287465600001</t>
  </si>
  <si>
    <t>Hendry, KR; Leng, MJ; Robinson, LF; Sloane, HJ; Blusztjan, J; Rickaby, REM; Georg, RB; Halliday, AN</t>
  </si>
  <si>
    <t>Hendry, Katharine R.; Leng, Melanie J.; Robinson, Laura F.; Sloane, Hilary J.; Blusztjan, Jerzy; Rickaby, Rosalind E. M.; Georg, R. Bastian; Halliday, Alex N.</t>
  </si>
  <si>
    <t>Silicon isotopes in Antarctic sponges: an interlaboratory comparison</t>
  </si>
  <si>
    <t>biogeochemistry; calibration; nutrient; porifera; silicic acid; Southern Ocean</t>
  </si>
  <si>
    <t>BIOGENIC SILICA; SOUTHERN-OCEAN; FRACTIONATION; DIATOMS; HOMOGENEITY; SPICULES; OXYGEN; CYCLE; OPAL</t>
  </si>
  <si>
    <t>Cycling of deepwater silicon (Si) within the Southern Ocean, and its transport into other ocean basins, may be an important player in the uptake of atmospheric carbon, and global climate. Recent work has shown that the Si isotope (denoted by delta Si-29 or delta Si-30) composition of deep sea sponges reflects the availability of dissolved Si during growth, and is a potential proxy for past deep and intermediate water silicic acid concentrations. As with any geochemical tool, it is essential to ensure analytical precision and accuracy, and consistency between methodologies and laboratories. Analytical bias may exist between laboratories, and sponge material may have matrix effects leading to offsets between samples and standards. Here, we report an interlaboratory evaluation of Si isotopes in Antarctic and sub-Antarctic sponges. We review independent methods for measuring Si isotopes in sponge spicules. Our results show that separate subsamples of non-homogenized sponges measured by three methods yield isotopic values within analytical error for over 80% of specimens. The relationship between delta Si-29 and delta Si-30 in sponges is consistent with kinetic fractionation during biomineralization. Sponge Si isotope analyses show potential as palaeoceaongraphic archives, and we suggest Southern Ocean sponge material would form a useful additional reference standard for future spicule analyses.</t>
  </si>
  <si>
    <t>[Hendry, Katharine R.; Robinson, Laura F.; Blusztjan, Jerzy] Woods Hole Oceanog Inst, Dept Marine Chem &amp; Geochem, Woods Hole, MA 02543 USA; [Leng, Melanie J.; Sloane, Hilary J.] British Geol Survey, NERC, Isotope Geosci Lab, Keyworth NG12 5GG, Notts, England; [Hendry, Katharine R.; Rickaby, Rosalind E. M.; Georg, R. Bastian; Halliday, Alex N.] Univ Oxford, Dept Earth Sci, Oxford OX1 3PR, England; [Georg, R. Bastian] Trent Univ, Worsfold Water Qual Ctr, Peterborough, ON K9J 7B8, Canada</t>
  </si>
  <si>
    <t>Woods Hole Oceanographic Institution; UK Research &amp; Innovation (UKRI); Natural Environment Research Council (NERC); NERC British Geological Survey; University of Oxford; Trent University</t>
  </si>
  <si>
    <t>Hendry, KR (corresponding author), Woods Hole Oceanog Inst, Dept Marine Chem &amp; Geochem, Woods Hole, MA 02543 USA.</t>
  </si>
  <si>
    <t>khendry@whoi.edu</t>
  </si>
  <si>
    <t>; Hendry, Katharine/E-4793-2011</t>
  </si>
  <si>
    <t>Georg, Bastian/0000-0002-3109-1860; Robinson, Laura/0000-0001-6811-0140; Sloane, Hilary/0000-0001-7965-5429; Leng, Melanie/0000-0003-1115-5166; Hendry, Katharine/0000-0002-0790-5895; Rickaby, Rosalind/0000-0002-6095-8419</t>
  </si>
  <si>
    <t>NSF Office of Polar Programs (OPP) Antarctic Sciences [NBP0805, ANT-0636787]; WHOI; Natural Environment Research Council (NERC) [NE/F005296/1]; Antarctic Science Bursary; NERC [NE/F003986/1, nigl010001, NE/F005296/1] Funding Source: UKRI; Natural Environment Research Council [NE/F003986/1, nigl010001, NE/F005296/1] Funding Source: researchfish; Division Of Ocean Sciences; Directorate For Geosciences [1029986] Funding Source: National Science Foundation; Division Of Polar Programs; Directorate For Geosciences [0902957] Funding Source: National Science Foundation</t>
  </si>
  <si>
    <t>NSF Office of Polar Programs (OPP) Antarctic Sciences(National Science Foundation (NSF)); WHOI; Natural Environment Research Council (NERC)(UK Research &amp; Innovation (UKRI)Natural Environment Research Council (NERC)); Antarctic Science Bursary; NERC(UK Research &amp; Innovation (UKRI)Natural Environment Research Council (NERC)); Natural Environment Research Council(UK Research &amp; Innovation (UKRI)Natural Environment Research Council (NERC)); Division Of Ocean Sciences; Directorate For Geosciences(National Science Foundation (NSF)NSF - Directorate for Geosciences (GEO)); Division Of Polar Programs; Directorate For Geosciences(National Science Foundation (NSF)NSF - Directorate for Geosciences (GEO))</t>
  </si>
  <si>
    <t>The authors would like to thank the captain and crew of the RV Nathaniel B. Palmer (cruise NBP0805; Program Manager Thomas Wagner). Thanks also to Rhian Waller (University of Hawaii), Laura Schejter (INIDEP, Argentina), Jade Berman (University of Victoria, Wellington) and Andy Clarke (British Antarctic Survey) for sponge samples and help with identification. Thanks to Maureen Auro and Scot Birdwhistell (WHOI) for assistance in the laboratory, and Tim Eglinton, Daniel Montlucon and Carl Johnson for analysis of spicule organic matter content. Thanks to David Walton, Michael Ellwood, Martin Wille and an anonymous reviewer for constructive comments on the manuscript. Cruise NBP0805 was funded by NSF Office of Polar Programs (OPP) Antarctic Sciences (grant number ANT-0636787). KH is funded by a Doherty Postdoctoral Scholarship at WHOI, and the work has also been funded by the Natural Environment Research Council (NERC) grant NE/F005296/1 and an Antarctic Science Bursary. The authors declare no competing financial interests.</t>
  </si>
  <si>
    <t>10.1017/S0954102010000593</t>
  </si>
  <si>
    <t>Green Accepted, Green Submitted</t>
  </si>
  <si>
    <t>WOS:000287465600005</t>
  </si>
  <si>
    <t>Favero-Longo, SE; Cannone, N; Worland, MR; Convey, P; Piervittori, R; Guglielmin, M</t>
  </si>
  <si>
    <t>Favero-Longo, Sergio E.; Cannone, Nicoletta; Worland, M. Roger; Convey, Peter; Piervittori, Rosanna; Guglielmin, Mauro</t>
  </si>
  <si>
    <t>Changes in lichen diversity and community structure with fur seal population increase on Signy Island, South Orkney Islands</t>
  </si>
  <si>
    <t>community change; habitat disturbance; nitrophilous lichens; pinnipeds; terricolous-muscicolous lichens; vegetation trampling</t>
  </si>
  <si>
    <t>ANTARCTIC CLIMATE-CHANGE; TERRESTRIAL ECOSYSTEMS; ACTIVE LAYER; VEGETATION; BIODIVERSITY; IMPACTS; NUTRIENTS; DYNAMICS; GROWTH; CATTLE</t>
  </si>
  <si>
    <t>Signy Island has experienced a dramatic increase in fur seal numbers over recent decades, which has led to the devastation of lowland terrestrial vegetation, with the eradication of moss turfs and carpets being the most prominent feature. Here we demonstrate that fur seals also affect the other major component of this region's typical cryptogamic vegetation, the lichens, although with a lower decrease in variability and abundance than for bryophytes. Classification (UPGMA) and ordination (Principal Coordinate Analysis) of vegetation data highlight differences in composition and abundance of lichen communities between areas invaded by fur seals and contiguous areas protected from these animals. Multivariate analysis relating lichen communities to environmental parameters, including animal abundance and soil chemistry (Canonical Correspondence Analysis), suggests that fur seal trampling results in the destruction of muscicolous-terricolous lichens, including several cosmopolitan and bipolar fruticose species. In addition, animal excretion favours an increase in nitrophilous crustose species, a group which typically characterizes areas influenced by seabirds and includes several Antarctic endemics. The potential effect of such animal-driven changes in vegetation on the fragile terrestrial ecosystem (e.g. through modification of the ground surface temperature) confirms the importance of indirect environmental processes in Antarctica.</t>
  </si>
  <si>
    <t>[Favero-Longo, Sergio E.; Piervittori, Rosanna] Univ Turin, Dipartimento Biol Vegetale, I-10125 Turin, Italy; [Cannone, Nicoletta] Univ Insubria, Dipartimento Sci Chim &amp; Ambientali, I-22100 Como, Italy; [Worland, M. Roger; Convey, Peter] British Antarctic Survey, NERC, Cambridge CB3 0ET, England; [Guglielmin, Mauro] Univ Insubria, Dipartimento Biol Strutturale &amp; Funz, I-21100 Varese, Italy</t>
  </si>
  <si>
    <t>University of Turin; University of Insubria; UK Research &amp; Innovation (UKRI); Natural Environment Research Council (NERC); NERC British Antarctic Survey; University of Insubria</t>
  </si>
  <si>
    <t>Favero-Longo, SE (corresponding author), Univ Turin, Dipartimento Biol Vegetale, Viale Mattioli 25, I-10125 Turin, Italy.</t>
  </si>
  <si>
    <t>sergio.favero@unito.it</t>
  </si>
  <si>
    <t>Convey, Peter/AAV-5728-2020; Cannone, Nicoletta/W-8651-2019</t>
  </si>
  <si>
    <t>Convey, Peter/0000-0001-8497-9903; Cannone, Nicoletta/0000-0002-3390-3965; Favero Longo, Sergio Enrico/0000-0001-7129-5975; Piervittori, Rosanna/0000-0001-9994-9571</t>
  </si>
  <si>
    <t>PNRA (Progetto Nazionale di Ricerca in Antartide); NERC [bas0100025] Funding Source: UKRI; Natural Environment Research Council [bas0100025] Funding Source: researchfish</t>
  </si>
  <si>
    <t>PNRA (Progetto Nazionale di Ricerca in Antartide); NERC(UK Research &amp; Innovation (UKRI)Natural Environment Research Council (NERC)); Natural Environment Research Council(UK Research &amp; Innovation (UKRI)Natural Environment Research Council (NERC))</t>
  </si>
  <si>
    <t>The authors wish to thank PNRA (Progetto Nazionale di Ricerca in Antartide) for providing funding and BAS (British Antarctic Survey) for logistical support to make this research possible. This paper is also a contribution to the BAS 'Polar Science for Planet Earth' and SCAR 'Evolution and Biodiversity in Antarctica' programmes.</t>
  </si>
  <si>
    <t>10.1017/S0954102010000684</t>
  </si>
  <si>
    <t>WOS:000287465600008</t>
  </si>
  <si>
    <t>Beaman, RJ; O'Brien, PE; Post, AL; De Santis, L</t>
  </si>
  <si>
    <t>Beaman, Robin J.; O'Brien, Philip E.; Post, Alexandra L.; De Santis, Laura</t>
  </si>
  <si>
    <t>A new high-resolution bathymetry model for the Terre Adelie and George V continental margin, East Antarctica</t>
  </si>
  <si>
    <t>CEAMARC; geomorphology; habitat; multibeam sonar; singlebeam echosounder</t>
  </si>
  <si>
    <t>ICE-SHEET; WEST ANTARCTICA; SEDIMENTARY PROCESSES; LAND SHELF; SEA; MORPHOLOGY; PENINSULA; FACIES; SLOPE; BELLINGSHAUSEN</t>
  </si>
  <si>
    <t>The Collaborative East Antarctic Marine Census (CEAMARC) surveys to the Terre Adelie and George V continental margin highlight the requirement for a revised high-resolution bathymetry model that can be used as a spatial tool for improving information on the physical environment of the region. We have combined shiptrack singlebeam and multibeam bathymetry, coastline data, and land and ice sheet topographic data to develop a new regional-scale bathymetry grid, called GVdem (short for George V digital elevation model). The GVdem grid spans an area between 138-148 degrees E and 63-69 degrees S, with a cell pixel size of 0.001-arcdegree (c. 100 m). The revised digital elevation model is a large improvement over previously available regional-scale grids from the area, and highlights seabed physiographic detail not formerly observed in this part of East Antarctica. In particular, the extent and complexity of the rugged inner-shelf valleys are revealed, and their spatial relationship with large shelf basins and adjacent flat-topped banks. The new grid also reveals further insight into the spatial distribution of the submarine canyons found on the continental slope.</t>
  </si>
  <si>
    <t>[Beaman, Robin J.] James Cook Univ, Cairns, Qld 4870, Australia; [O'Brien, Philip E.; Post, Alexandra L.] Geosci Australia, Canberra, ACT 2601, Australia; [De Santis, Laura] Ist Nazl Oceanog Edi Geofis Sperimentale, I-34010 Sgonico, Italy</t>
  </si>
  <si>
    <t>James Cook University; Geoscience Australia; Istituto Nazionale di Oceanografia e di Geofisica Sperimentale</t>
  </si>
  <si>
    <t>Beaman, RJ (corresponding author), James Cook Univ, POB 6811, Cairns, Qld 4870, Australia.</t>
  </si>
  <si>
    <t>robin.beaman@jcu.edu.au</t>
  </si>
  <si>
    <t>Post, Alexandra/0000-0002-6287-3283; De Santis, Laura/0000-0002-7752-7754; O'Brien, Philip/0000-0003-3446-3292</t>
  </si>
  <si>
    <t>Reef and Rainforest Research Centre; Queensland Government</t>
  </si>
  <si>
    <t>We thank the numerous agencies responsible for collecting the source bathymetry data over many years, in particular the Service Hydrographique et Oceanographique de la Marine, National Science Foundation, Programma Nazionale di Ricerche in Antartide, and Australian Antarctic Division. Mike Sexton at Geoscience Australia provided much assistance in compiling the various datasets for this project. Robin Beaman acknowledges the research salary support by the Reef and Rainforest Research Centre and a Queensland Government Smart Futures Fellowship. We acknowledge the assistance of Frank Nitsche, Peter Fretwell, and two anonymous Geoscience Australia reviewers for their thorough reviews and constructive criticisms of the manuscript. Phil O'Brien and Alexandra Post publish with permission of the Chief Executive Officer, Geoscience Australia.</t>
  </si>
  <si>
    <t>10.1017/S095410201000074X</t>
  </si>
  <si>
    <t>WOS:000287465600011</t>
  </si>
  <si>
    <t>Garibotti, IA; Pissolito, CI; Villalba, R</t>
  </si>
  <si>
    <t>Garibotti, Irene A.; Pissolito, Clara I.; Villalba, Ricardo</t>
  </si>
  <si>
    <t>Vegetation Development on Deglaciated Rock Outcrops from Glaciar Frias, Argentina</t>
  </si>
  <si>
    <t>ARCTIC ANTARCTIC AND ALPINE RESEARCH</t>
  </si>
  <si>
    <t>TORRES-DEL-PAINE; PRIMARY SUCCESSION; NATIONAL-PARK; NITROGEN-FIXATION; GRANITE OUTCROPS; PLANT SUCCESSION; DYNAMICS; MORAINES; ASSEMBLAGES; ELEVATION</t>
  </si>
  <si>
    <t>The retreat of glaciers during past decades has led to the emergence of large rock outcrops in many glaciated areas around the world. Primary succession of vegetation in glacier forelands has been described for many regions, but most studies have been conducted on glacial deposits, whereas deglaciated rock outcrops have received little attention. This study assesses the pattern of primary succession on a chronosequence of five rock outcrops exposed during the past 140 years by the retreat of Glaciar Frias in the Patagonian Andes, Argentina. Data on floristic composition and species cover for algae, lichens, ferns, bryophytes, and vascular plants were recorded on sampling plots. Ordination and classification analyses discriminate three major successional stages, each dominated by a different species assemblage, suggesting directional replacement of species in the succession. The pioneer stage is dominated by the crustose lichen Placopsis perrugosa, the mid-successional stage by a lichen-moss mat dominated by the moss Racomitrium lanuginosum, and the late-successional stage by a large diversity of vascular plants. The low density of Nothofagus dombeyi saplings in the late-successional site indicates that plant succession is still in progress 140 years after deglaciation. Progress in succession appears to be influenced by species life-cycle traits and facilitative interactions among species. The comparison of the successional processes between rock outcrops and unconsolidated glacial deposits suggests that the vegetation sequence is similar, but the rate of succession is slower on rock outcrops. The development of a ground lichen-moss cover, previous to the widespread colonization by vascular plants, accounts for the slower succession progress on rock outcrops. The establishment of Nothofagus stands takes at least 100 yrs longer on the rock outcrops than on glacial deposits. Under predicted climate warming, most Patagonian Andes glaciers will continue the retreat along steep bedrock slopes, where similar, long-term vegetation successional patterns to those observed on Glaciar Frias foreland will eventually occur.</t>
  </si>
  <si>
    <t>[Garibotti, Irene A.; Pissolito, Clara I.; Villalba, Ricardo] CCT CONICET Mendoza, Inst Argentin Nivol Glaciol &amp; Ciencias Ambientale, RA-5500 Mendoza, Argentina</t>
  </si>
  <si>
    <t>Consejo Nacional de Investigaciones Cientificas y Tecnicas (CONICET)</t>
  </si>
  <si>
    <t>Garibotti, IA (corresponding author), CCT CONICET Mendoza, Inst Argentin Nivol Glaciol &amp; Ciencias Ambientale, Av Ruiz Leal S-N,CC 330, RA-5500 Mendoza, Argentina.</t>
  </si>
  <si>
    <t>ireneg@lab.cricyt.edu.ar</t>
  </si>
  <si>
    <t>周, 宇博/JKH-5396-2023</t>
  </si>
  <si>
    <t>Villalba, Ricardo/0000-0001-8183-0310</t>
  </si>
  <si>
    <t>Argentinean Agency for the Promotion of Science [PICTR02-186, PICT32003]; Argentinean Council of Research and Technology (CONICET); Inter-American Institute for Global Change Research (IAI) CRN II [2047]; U.S. National Science Foundation [GEO-0452325]</t>
  </si>
  <si>
    <t>Argentinean Agency for the Promotion of Science; Argentinean Council of Research and Technology (CONICET)(Consejo Nacional de Investigaciones Cientificas y Tecnicas (CONICET)); Inter-American Institute for Global Change Research (IAI) CRN II; U.S. National Science Foundation(National Science Foundation (NSF))</t>
  </si>
  <si>
    <t>This work was funded by the Argentinean Agency for the Promotion of Science (grant PICTR02-186 and PICT32003), the Argentinean Council of Research and Technology (CONICET), and by the Inter-American Institute for Global Change Research (IAI) CRN II # 2047, which is supported by the U.S. National Science Foundation (grant GEO-0452325). We thank T. Ahti (Helsinki University, Finland) and G. Calabrese (University of Rio Negro, Argentina) for help identifying lichen and moss species, respectively. The authors thank two anonymous reviewers for constructive criticism of the original manuscript.</t>
  </si>
  <si>
    <t>TAYLOR &amp; FRANCIS LTD</t>
  </si>
  <si>
    <t>ABINGDON</t>
  </si>
  <si>
    <t>2-4 PARK SQUARE, MILTON PARK, ABINGDON OR14 4RN, OXON, ENGLAND</t>
  </si>
  <si>
    <t>1523-0430</t>
  </si>
  <si>
    <t>1938-4246</t>
  </si>
  <si>
    <t>ARCT ANTARCT ALP RES</t>
  </si>
  <si>
    <t>Arct. Antarct. Alp. Res.</t>
  </si>
  <si>
    <t>10.1657/1938-4246-43.1.35</t>
  </si>
  <si>
    <t>Environmental Sciences; Geography, Physical</t>
  </si>
  <si>
    <t>Environmental Sciences &amp; Ecology; Physical Geography</t>
  </si>
  <si>
    <t>738IL</t>
  </si>
  <si>
    <t>WOS:000288633400004</t>
  </si>
  <si>
    <t>Hertel, D; Schöling, D</t>
  </si>
  <si>
    <t>Hertel, Dietrich; Schoeling, Dorothea</t>
  </si>
  <si>
    <t>Norway Spruce Shows Contrasting Changes in Below- Versus Above-Ground Carbon Partitioning towards the Alpine Tree line: Evidence from a Central European Case Study</t>
  </si>
  <si>
    <t>FINE-ROOT DYNAMICS; MOUNTAIN BIRCH SEEDLINGS; PICEA-ABIES; SOIL-TEMPERATURE; SUB-ALPINE; ALTITUDINAL DISTRIBUTION; STAND CHARACTERISTICS; NOTHOFAGUS-PUMILIO; NUTRIENT-UPTAKE; SWISS TREELINE</t>
  </si>
  <si>
    <t>The marked change in above-ground forest stand structure with elevation towards the alpine treeline has been widely recognized, while studies on altitudinal effects on the root system are still scarce. We studied Norway spruce stands along a 700-m-long elevational transect at Mount Brocken (Harz Mountains, central Germany) to test the hypothesis that fine root dry mass partitioning shows an inverse response to elevation towards the treeline compared to above-ground biomass. Microclimate measurements revealed that thermal conditions at the treeline of Mount Brocken are closely comparable to other treeline sites around the world. Above-ground structure did not differ significantly among stands at lower and mid elevations, but tree height and stem biomass decreased strongly with elevation upslope. Fine root biomass increased with elevation by a factor of nearly two. Annual fine root production was found to be highest at mid elevation but was only 40% lower than this maximum at the treeline. Consequently, the ratio of fine root production to above-ground stem biomass increased by a factor of 2-3 with elevation, indicating a strong shift of below- versus above-ground carbon allocation towards the treeline. We hypothesize that the enlargement of the fine root system at cold sites represents an adaptation to the unfavorable soil conditions, such as impaired nutrient supply.</t>
  </si>
  <si>
    <t>[Hertel, Dietrich; Schoeling, Dorothea] Univ Gottingen, Albrecht von Haller Inst Plant Sci, D-37073 Gottingen, Germany</t>
  </si>
  <si>
    <t>University of Gottingen</t>
  </si>
  <si>
    <t>Hertel, D (corresponding author), Univ Gottingen, Albrecht von Haller Inst Plant Sci, Untere Karspule 2, D-37073 Gottingen, Germany.</t>
  </si>
  <si>
    <t>dhertel@gwdg.de</t>
  </si>
  <si>
    <t>INST ARCTIC ALPINE RES</t>
  </si>
  <si>
    <t>BOULDER</t>
  </si>
  <si>
    <t>UNIV COLORADO, BOULDER, CO 80309 USA</t>
  </si>
  <si>
    <t>10.1657/1938-4246-43.1.46</t>
  </si>
  <si>
    <t>WOS:000288633400005</t>
  </si>
  <si>
    <t>Leonelli, G; Pelfini, M; D'Arrigo, R; Haeberli, W; Cherubini, P</t>
  </si>
  <si>
    <t>Leonelli, Giovanni; Pelfini, Manuela; D'Arrigo, Rosanne; Haeberli, Wilfried; Cherubini, Paolo</t>
  </si>
  <si>
    <t>Non-stationary Responses of Tree-Ring Chronologies and Glacier Mass Balance to Climate in the European Alps</t>
  </si>
  <si>
    <t>VADRET DA MORTERATSCH; BRITISH-COLUMBIA; TEMPERATURE; VARIABILITY; GROWTH; RECONSTRUCTION; ABLATION; FORESTS; SIGNALS; CANADA</t>
  </si>
  <si>
    <t>Tree-ring width and glacier mass balance are two highly sensitive climatic proxies which are often used as indicators of biological and geophysical changes in high-altitude ecosystems. Tree-ring data have been widely used to reconstruct past temperatures and also to reconstruct past glacier mass balance. Here we show that tree-ring chronologies from a high-altitude Pinus cembra L. dendroclimatic network and glaciers from the same region in the European Alps have non-stationary responses to air temperature, and have also been responding non-proportionally to temperature extremes in recent decades. Both ring-width chronologies and the mass-balance series of some glaciers from the same region have shown an increasing sensitivity to summer (JJA) temperatures. Our results demonstrate that the sensitivity to climate of tree-ring chronologies and glacier mass balance may change over time and has been increasing in recent decades, posing some limitations to tree-ring-based glacier mass-balance reconstruction. Moreover, we found these reconstructions in the European Alps are more reliable for large rather than for small glaciers, and may not be able to reveal years of extreme ablation that could have occurred in the past.</t>
  </si>
  <si>
    <t>[Leonelli, Giovanni; Pelfini, Manuela] Univ Milan, Dept Earth Sci, I-20133 Milan, Italy; [D'Arrigo, Rosanne; Cherubini, Paolo] Columbia Univ, Lamont Doherty Earth Observ, Palisades, NY 10964 USA; [Haeberli, Wilfried] Univ Zurich, Dept Geog, CH-8057 Zurich, Switzerland; [Cherubini, Paolo] WSL Swiss Fed Res Inst, CH-8903 Birmensdorf, Switzerland</t>
  </si>
  <si>
    <t>University of Milan; Columbia University; University of Zurich; Swiss Federal Institutes of Technology Domain; Swiss Federal Institute for Forest, Snow &amp; Landscape Research</t>
  </si>
  <si>
    <t>Leonelli, G (corresponding author), Univ Milan, Dept Earth Sci, Via Mangiagalli 34, I-20133 Milan, Italy.</t>
  </si>
  <si>
    <t>giovanni.leonelli@unimi.it</t>
  </si>
  <si>
    <t>Cherubini, Paolo/N-9702-2013</t>
  </si>
  <si>
    <t>Cherubini, Paolo/0000-0002-9809-250X; Pelfini, Manuela/0000-0002-3258-1511; Leonelli, Giovanni/0000-0002-1522-1581</t>
  </si>
  <si>
    <t>MIUR-COFIN</t>
  </si>
  <si>
    <t>MIUR-COFIN(Ministry of Education, Universities and Research (MIUR)Research Projects of National Relevance (PRIN))</t>
  </si>
  <si>
    <t>This research was funded by the MIUR-COFIN 2005 and PRIN 2009 projects. The authors thank the reviewers for their useful comments and help, Dr. Reinhard Bohm (ZAMG, Vienna, Austria) for the HISTALP database, Dr. Silvia Dingwall for revising the English, Josee Frenette (Universite du Quebec AT) for fieldwork assistance, and the Stelvio National Park for tree-sampling permits.</t>
  </si>
  <si>
    <t>10.1657/1938-4246-43.1.56</t>
  </si>
  <si>
    <t>Green Published, Green Accepted, Bronze</t>
  </si>
  <si>
    <t>WOS:000288633400006</t>
  </si>
  <si>
    <t>Nakazawa, F; Miyake, T; Fujita, K; Takeuchi, N; Uetake, J; Fujiki, T; Aizen, V; Nakawo, M</t>
  </si>
  <si>
    <t>Nakazawa, Fumio; Miyake, Takayuki; Fujita, Koji; Takeuchi, Nozomu; Uetake, Jun; Fujiki, Toshiyuki; Aizen, Vladimir; Nakawo, Masayoshi</t>
  </si>
  <si>
    <t>Establishing the Timing of Chemical Deposition Events on Belukha Glacier, Altai Mountains, Russia, Using Pollen Analysis</t>
  </si>
  <si>
    <t>ICE CAP; SNOW; VARIABILITY; CORES; PRECIPITATION; DISPERSAL; RECORD; LAYERS</t>
  </si>
  <si>
    <t>In this study, we used a 4.00-m pit on Belukha glacier in Russia's Altai region and attempted to establish the timing of chemical deposition events by analyzing pollen profiles. As the pollen deposition of each examined taxon on the glacier surfaces followed a distinct seasonal phenology, seasonal layers could be identified over a two-year period. The seasonal layer boundaries reconstructed from the pollen analyses were in close agreement with the in situ observations and indicated that the snow deposition on the glacier originates mainly from summer precipitation. The record of oxygen isotope ratios showed a relatively high mean value of 13.3 parts per thousand, which was attributed to the absence of winter depositions. The formate (HCOO-) concentration records displayed seasonal variation with the highest emissions occurring in the spring, and a dust event in the spring of 2003 was detected from the Mg2+, Ca2+, and dust concentration profiles. Taken together, these results suggest the analysis of pollen profiles in combination with chemical data in snow pits and ice cores may lead to better reconstruction of seasonal variation.</t>
  </si>
  <si>
    <t>[Nakazawa, Fumio; Miyake, Takayuki; Uetake, Jun] Natl Inst Polar Res, Tokyo 1908518, Japan; [Uetake, Jun] Res Org Informat &amp; Syst, Transdisciplinary Res Intergrat Ctr, Minato Ku, Tokyo 1050001, Japan; [Fujita, Koji] Nagoya Univ, Grad Sch Environm Studies, Chikusa Ku, Nagoya, Aichi 4648601, Japan; [Takeuchi, Nozomu] Chiba Univ, Grad Sch Sci, Inage Ku, Chiba 2638522, Japan; [Fujiki, Toshiyuki] Natl Inst Humanities, Int Res Ctr Japanese Studies, Nishikyo Ku, Kyoto 6101192, Japan; [Aizen, Vladimir] Univ Idaho, Dept Geog, Coll Mines &amp; Earth Resources, Moscow, ID 83844 USA; [Nakawo, Masayoshi] Natl Inst Humanities, Minato Ku, Tokyo 1050001, Japan</t>
  </si>
  <si>
    <t>Research Organization of Information &amp; Systems (ROIS); National Institute of Polar Research (NIPR) - Japan; Research Organization of Information &amp; Systems (ROIS); Nagoya University; Chiba University; Idaho; University of Idaho</t>
  </si>
  <si>
    <t>Nakazawa, F (corresponding author), Natl Inst Polar Res, 10-3 Midori Cho, Tokyo 1908518, Japan.</t>
  </si>
  <si>
    <t>nakazawa@nipr.ac.jp</t>
  </si>
  <si>
    <t>Takeuchi, Nozomu/Q-7869-2016; Uetake, Jun/V-4853-2018; Fujita, Koji/E-6104-2010; Nakazawa, Fumio/R-4031-2018</t>
  </si>
  <si>
    <t>Takeuchi, Nozomu/0000-0002-3267-5534; Fujita, Koji/0000-0003-3753-4981;</t>
  </si>
  <si>
    <t>Oasis Project; Ili Project; Hydrospheric Atmospheric Research Center, Nagoya University; [22710023]; Grants-in-Aid for Scientific Research [22241005] Funding Source: KAKEN</t>
  </si>
  <si>
    <t>Oasis Project; Ili Project; Hydrospheric Atmospheric Research Center, Nagoya University; ; Grants-in-Aid for Scientific Research(Ministry of Education, Culture, Sports, Science and Technology, Japan (MEXT)Japan Society for the Promotion of ScienceGrants-in-Aid for Scientific Research (KAKENHI))</t>
  </si>
  <si>
    <t>We wish to thank all of the individuals who have so generously assisted in conducting this study. Thanks are also due to the two reviewers for valuable comments and criticisms. The research was funded by the Oasis Project (Historical evolution of adaptability in an oasis region to water resource changes) and the Ili Project (Historical interactions between multi-cultural societies and the natural environment in a semi-arid region in Central Eurasia) promoted by the Research Institute for Humanity and Nature, Kyoto, Japan; the Environmental and genetic approach for life on Earth research project and the Systematic Analysis for Global Environmental Change and Life on Earth research project by the Transdisciplinary Research Integration Center; the Sumitomo Foundation; KAKENHI (Grant-in-Aid for Young Scientists (B), No. 22710023); and the Center Research Project of the Hydrospheric Atmospheric Research Center, Nagoya University.</t>
  </si>
  <si>
    <t>10.1657/1938-4246-43.1.66</t>
  </si>
  <si>
    <t>WOS:000288633400007</t>
  </si>
  <si>
    <t>Rogers, MC; Sullivan, PF; Welker, JM</t>
  </si>
  <si>
    <t>Rogers, Matthew C.; Sullivan, Patrick F.; Welker, Jeffrey M.</t>
  </si>
  <si>
    <t>Evidence of Nonlinearity in the Response of Net Ecosystem CO2 Exchange to Increasing Levels of Winter Snow Depth in the High Arctic of Northwest Greenland</t>
  </si>
  <si>
    <t>SIMULATED ENVIRONMENTAL-CHANGE; SOIL ORGANIC-MATTER; NITROGEN MINERALIZATION; GROWING-SEASON; CARBON-DIOXIDE; POLAR SEMIDESERT; SALIX-ARCTICA; DEEPER SNOW; SODA-LIME; TUNDRA</t>
  </si>
  <si>
    <t>Winter snowfall is increasing in many Arctic regions and climate models predict this trend will persist in the coming century. We examined the effects of two levels of increased winter snow accumulation on soil microclimate, plant and soil nutrient status, plant phenology and ecosystem CO2 exchange after five years of treatment in a widespread High Arctic ecosystem. Increased snow cover resulted in greater winter CO2 efflux, altered growing season soil nutrient availability and greater leaf nitrogen concentrations during the snow-free season. Modest increases in snow cover (+0.25 m above ambient) increased gross ecosystem photosynthesis (GEP) without increasing ecosystem respiration (ER), while the deepest snow cover (+0.75 m above ambient) increased both GEP and ER. The area of intermediate snow addition was a smaller source of CO, to the atmosphere during the growing season when compared to the ambient and deep snow areas. The intermediate and deep snow areas apparently had similar effects on the functioning of the vegetation community (increased GEP), but divergent effects on the soil microbial respiration, as evidenced by the changes in ER. This nonlinear response to increasing snow depth demonstrates the potential for complex High Arctic ecosystem responses to changes in winter precipitation.</t>
  </si>
  <si>
    <t>[Rogers, Matthew C.; Sullivan, Patrick F.; Welker, Jeffrey M.] Univ Alaska Anchorage, Environm &amp; Nat Resources Inst, Dept Biol Sci, Anchorage, AK 99508 USA</t>
  </si>
  <si>
    <t>University of Alaska System; University of Alaska Anchorage</t>
  </si>
  <si>
    <t>Rogers, MC (corresponding author), Univ Alaska Anchorage, Environm &amp; Nat Resources Inst, Dept Biol Sci, 3151 Alumni Loop, Anchorage, AK 99508 USA.</t>
  </si>
  <si>
    <t>mcr@uaa.alaska.edu</t>
  </si>
  <si>
    <t>Rogers, Matthew/AAG-3686-2020; Welker, Jeffrey M/C-9493-2013</t>
  </si>
  <si>
    <t>Rogers, Matthew/0000-0003-2543-4684; Sullivan, Patrick/0000-0002-8015-3036</t>
  </si>
  <si>
    <t>National Science Foundation Office of Polar Programs, Arctic Science Section [0221606]; Div Of Biological Infrastructure; Direct For Biological Sciences [0923571] Funding Source: National Science Foundation; Office of Polar Programs (OPP); Directorate For Geosciences [0221606] Funding Source: National Science Foundation</t>
  </si>
  <si>
    <t>National Science Foundation Office of Polar Programs, Arctic Science Section(National Science Foundation (NSF)); Div Of Biological Infrastructure; Direct For Biological Sciences(National Science Foundation (NSF)NSF - Directorate for Biological Sciences (BIO)); Office of Polar Programs (OPP); Directorate For Geosciences(National Science Foundation (NSF)NSF - Directorate for Geosciences (GEO))</t>
  </si>
  <si>
    <t>We would like to thank Seth Arens, Kitrina Persson, Heidi Kristenson, Katie Nagel, and Iris Matthews for assistance in the field. CH2M Hill, the personnel of Thule Air Base, and Greenland Contractors provided logistical support throughout the research campaign. This research was funded by the National Science Foundation Office of Polar Programs, Arctic Science Section grant #0221606.</t>
  </si>
  <si>
    <t>10.1657/1938-4246-43.1.95</t>
  </si>
  <si>
    <t>WOS:000288633400010</t>
  </si>
  <si>
    <t>Wang, J; Ye, BS; Liu, FJ; Li, J; Yang, GJ</t>
  </si>
  <si>
    <t>Wang, Jie; Ye, Baisheng; Liu, Fengjing; Li, Jing; Yang, Guojing</t>
  </si>
  <si>
    <t>Variations of NDVI Over Elevational Zones During the Past Two Decades and Climatic Controls in the Qilian Mountains, Northwestern China</t>
  </si>
  <si>
    <t>VEGETATION INDEX; GREENING TREND; ALASKA; PATTERNS; PRECIPITATION; TEMPERATURE; VARIABILITY; GROWTH; SHIFT</t>
  </si>
  <si>
    <t>Trends of Normalized Difference Vegetation Index (NDVI) from 1982 to 2006 in the upper mountainous areas of three inland river basins (Shiyanghe, Heihe, and Shulehe, from east to west) in the Qilian Mountains, northwestern China, were analyzed based on the Global Inventory Monitoring and Modeling Studies (GIMMS) NDVI data. The relationships between NDVI and climatic factors such as air temperature, precipitation, and evaporation were also analyzed. The results indicate that changes of NDVI over time had an obvious elevational difference. NDVI has decreased in the northern lower-elevation (&lt;3000 m) areas, which account for 31% of the total area, and increased in the southern higher-elevation (3000-4100 m) areas, which occupy 32% of the total area. In addition, 37% of the area did not show an obvious change in NDVI and was distributed in the periglacial belts with elevations higher than 4100 m. The decrease of NDVI in the lower elevations was controlled by a decrease in precipitation and an increase in air temperatures, whereas the increase in the higher elevations was mainly controlled by an increase in air temperature alone. With a continuous increase in air temperature in the future, vegetation would suffer from more serious water stress in the elevations lower than 3000 m, but become more flourishing between 3000 and 4100 m in the Qilian Mountains. This information is critical for understanding how climate warming may affect hydrology and ecology in the Qilian Mountains and for managing water resources for the lowlands in the Hexi Corridor adjacent to the mountains.</t>
  </si>
  <si>
    <t>[Wang, Jie; Ye, Baisheng] Chinese Acad Sci, Cold &amp; Arid Reg Environm &amp; Engn Res Inst, State Key Lab Cryospher Sci, Lanzhou 730000, Peoples R China; [Liu, Fengjing] Univ Calif, Sch Engn, Merced, CA 95334 USA; [Liu, Fengjing] Univ Calif, Sierra Nevada Res Inst, Merced, CA 95334 USA; [Li, Jing] Chinese Acad Sci, Cold &amp; Arid Reg Environm &amp; Engn Res Inst, State Key Lab Frozen Soil Engn, Lanzhou 730000, Peoples R China; [Yang, Guojing] Chinese Acad Sci, Cold &amp; Arid Reg Environm &amp; Engn Res Inst, Key Lab Ecohydrol &amp; Integrated River Basin Manage, Lanzhou 730000, Peoples R China</t>
  </si>
  <si>
    <t>Chinese Academy of Sciences; Cold &amp; Arid Regions Environmental &amp; Engineering Research Institute, CAS; University of California System; University of California Merced; University of California System; University of California Merced; Chinese Academy of Sciences; Cold &amp; Arid Regions Environmental &amp; Engineering Research Institute, CAS; Chinese Academy of Sciences; Cold &amp; Arid Regions Environmental &amp; Engineering Research Institute, CAS</t>
  </si>
  <si>
    <t>Wang, J (corresponding author), Chinese Acad Sci, Cold &amp; Arid Reg Environm &amp; Engn Res Inst, State Key Lab Cryospher Sci, Lanzhou 730000, Peoples R China.</t>
  </si>
  <si>
    <t>wangjie@lzb.ac.cn; yebs@lzb.ac.cn</t>
  </si>
  <si>
    <t>Liu, Fengjing/AFB-2641-2022; Zhang, Lei/JPK-4307-2023</t>
  </si>
  <si>
    <t>, Fengjing/0000-0001-8743-321X</t>
  </si>
  <si>
    <t>National Basic Research Program of China [2007CB411502]; Chinese Academy of Sciences; Special Trade Project for commonweal of water resource [200701046]; U.S. National Science Foundation [NSF EAR9876800]</t>
  </si>
  <si>
    <t>National Basic Research Program of China(National Basic Research Program of China); Chinese Academy of Sciences(Chinese Academy of Sciences); Special Trade Project for commonweal of water resource; U.S. National Science Foundation(National Science Foundation (NSF))</t>
  </si>
  <si>
    <t>This study was supported by the National Basic Research Program of China (2007CB411502) and the Hundred Talents Project of the Chinese Academy of Sciences, and by the Special Trade Project for commonweal of water resource (200701046). This study was also partially supported by the U.S. National Science Foundation's Center for the Sustainability of semi-Arid Hydrology and Riparian Areas (SAHRA) (NSF EAR9876800). Personal thanks are due to Dr. Wu Jinkui for his helpful comments and advice.</t>
  </si>
  <si>
    <t>10.1657/1938-4246-43.1.127</t>
  </si>
  <si>
    <t>WOS:000288633400013</t>
  </si>
  <si>
    <t>Warren, CR; Taranto, MT</t>
  </si>
  <si>
    <t>Warren, Charles R.; Taranto, Maria T.</t>
  </si>
  <si>
    <t>Ecosystem Respiration in a Seasonally Snow-Covered Subalpine Grassland</t>
  </si>
  <si>
    <t>ARCTIC TUNDRA SOILS; CARBON-DIOXIDE; CO2 FLUX; ENVIRONMENTAL CONTROLS; INTERANNUAL VARIATION; WATER AVAILABILITY; FROZEN SOIL; WINTER; TEMPERATURE; EXCHANGE</t>
  </si>
  <si>
    <t>Ecosystem respiration is important because it is the small imbalances between CO2 uptake via photosynthesis and CO2 release by ecosystem respiration that determine the effect of the biosphere on atmospheric CO2. For subalpine grasslands with mild winters we do not know the size of under-snow respiration relative to the total annual ecosystem respiration. This study determines the contribution of respiration through snow to total annual respiration, and models annual ecosystem respiration based on relationships with soil temperature and water content. Measurements were made monthly for two years in an unmanaged subalpine grassland in the Snowy Mountains of Australia. The vegetation is sparse (aboveground mass = 355605 g m-2, belowground mass = 570-1010 g m(-2)) and dominated by native perennial C3 grasses and sedges. Ecosystem respiration was positively related to temperature, and there was some evidence that ecosystem respiration was more temperature sensitive at temperatures between 0 and 2 degrees C than at warmer temperatures. Annual ecosystem respiration was 12.1 Mg C ha yr(-1) in 2007/2008 and 10.5 Mg C ha(-1) yr(-1) in 2008/2009. Maximum daily rates of ecosystem respiration of 7 mu mol CO2 m(-2) s(-1) occurred during summer, while minimum rates occurred under snow cover and were 0.2 to 0.9 mu mol CO2 m(-2) s(-1). The duration of permanent snow cover was 60-68 days (equivalent to 16-18% of the year) and ecosystem respiration under snow was 4.1 to 4.3% of annual ecosystem respiration, which is smaller than the 10-50% commonly reported from studies in areas with longer snow-covered periods.</t>
  </si>
  <si>
    <t>[Warren, Charles R.; Taranto, Maria T.] Univ Sydney, Sch Biol Sci, Sydney, NSW 2006, Australia</t>
  </si>
  <si>
    <t>University of Sydney</t>
  </si>
  <si>
    <t>Warren, CR (corresponding author), Univ Sydney, Sch Biol Sci, Heydon Laurence Bldg A08, Sydney, NSW 2006, Australia.</t>
  </si>
  <si>
    <t>charles.warren@bio.usyd.edu.au</t>
  </si>
  <si>
    <t>Warren, Charles R/A-6013-2011</t>
  </si>
  <si>
    <t>Warren, Charles R/0000-0002-0788-4713</t>
  </si>
  <si>
    <t>Australian Research Council; University of Sydney</t>
  </si>
  <si>
    <t>Australian Research Council(Australian Research Council); University of Sydney(University of Sydney)</t>
  </si>
  <si>
    <t>This work was supported by funding from the Australian Research Council (Discovery Grant and QEII Fellowship) and a major equipment grant from The University of Sydney. We acknowledge the support of Barry Aitchison, and Darvall and Trisha Dixon in providing access to their property. Special thanks are owed to Barry Aitchison for providing over-snow transport in winter. Meaghan Jenkins is thanked for providing access to a paper in press. Sam Ruggeri is thanked for his skilful construction of respiration chambers.</t>
  </si>
  <si>
    <t>10.1657/1938-4246-43.1.137</t>
  </si>
  <si>
    <t>WOS:000288633400014</t>
  </si>
  <si>
    <t>D'Arrigo, R; Abram, N; Ummenhofer, C; Palmer, J; Mudelsee, M</t>
  </si>
  <si>
    <t>D'Arrigo, Rosanne; Abram, Nerilie; Ummenhofer, Caroline; Palmer, Jonathan; Mudelsee, Manfred</t>
  </si>
  <si>
    <t>Reconstructed streamflow for Citarum River, Java, Indonesia: linkages to tropical climate dynamics</t>
  </si>
  <si>
    <t>CLIMATE DYNAMICS</t>
  </si>
  <si>
    <t>Streamflow; Java; Tree rings; ENSO; Dipole; Drought</t>
  </si>
  <si>
    <t>SEA-SURFACE TEMPERATURE; INDIAN-OCEAN DIPOLE; TREE-RINGS; VARIABILITY; DROUGHT; MONSOON; ENSO; RAINFALL; PACIFIC; DATASET</t>
  </si>
  <si>
    <t>The Citarum river basin of western Java, Indonesia, which supplies water to 10 million residents in Jakarta, has become increasingly vulnerable to anthropogenic change. Citarum's streamflow record, only similar to 45 years in length (1963-present), is too short for understanding the full range of hydrometeorological variability in this important region. Here we present a tree-ring based reconstruction of September-November Citarum streamflow (AD 1759-2006), one of the first such records available for monsoon Asia. Close coupling is observed between decreased tree growth and low streamflow levels, which in turn are associated with drought caused by ENSO warm events in the tropical Pacific and Indian Ocean positive dipole-type variability. Over the full length of record, reconstructed variance was at its weakest during the interval from similar to 1905-1960, overlapping with a period of unusually-low variability (1920-1960) in the ENSO-Indian Ocean dipole systems. In subsequent decades, increased variance in both the streamflow anomalies and a coral-based SST reconstruction of the Indian Ocean Dipole Mode signal the potential for intensified drought activity and related consequences for water supply and crop productivity in western Java, where much of the country's rice is grown.</t>
  </si>
  <si>
    <t>[D'Arrigo, Rosanne] Lamont Doherty Earth Observ, Tree Ring Lab, Palisades, NY 10964 USA; [Abram, Nerilie] Australian Natl Univ, Res Sch Earth Sci, Canberra, ACT 0200, Australia; [Abram, Nerilie] NERC, British Antarctic Survey, Cambridge CB3 OET, England; [Ummenhofer, Caroline] Univ New S Wales, Sydney, NSW 2052, Australia; [Palmer, Jonathan] Gondwana Tree Ring Lab, Canterbury, New Zealand; [Mudelsee, Manfred] Climate Risk Anal, D-30167 Hannover, Germany</t>
  </si>
  <si>
    <t>Columbia University; Australian National University; UK Research &amp; Innovation (UKRI); Natural Environment Research Council (NERC); NERC British Antarctic Survey; University of New South Wales Sydney</t>
  </si>
  <si>
    <t>D'Arrigo, R (corresponding author), Lamont Doherty Earth Observ, Tree Ring Lab, Palisades, NY 10964 USA.</t>
  </si>
  <si>
    <t>rdd@ldeo.columbia.edu</t>
  </si>
  <si>
    <t>Palmer, Jonathan/J-7834-2012; Abram, Nerilie/AAT-5171-2021; Mudelsee, Manfred/C-6063-2018</t>
  </si>
  <si>
    <t>Palmer, Jonathan/0000-0002-6665-4483; Mudelsee, Manfred/0000-0002-2364-9561; Abram, Nerilie/0000-0003-1246-2344</t>
  </si>
  <si>
    <t>National Science Foundation [OCE 04-02474]; NERC [bas0100024] Funding Source: UKRI; Natural Environment Research Council [bas0100024] Funding Source: researchfish</t>
  </si>
  <si>
    <t>National Science Foundation(National Science Foundation (NSF)); NERC(UK Research &amp; Innovation (UKRI)Natural Environment Research Council (NERC)); Natural Environment Research Council(UK Research &amp; Innovation (UKRI)Natural Environment Research Council (NERC))</t>
  </si>
  <si>
    <t>This project was funded by the National Science Foundation's Paleoclimate program, Grant No. OCE 04-02474. We thank Dr. Rizaldi Boer of Bogor National University, Java Indonesia, for providing the streamflow data. We very much appreciate the comments of the reviewers, which have significantly improved the manuscript. LDEO Contribution Number 7312.</t>
  </si>
  <si>
    <t>0930-7575</t>
  </si>
  <si>
    <t>1432-0894</t>
  </si>
  <si>
    <t>CLIM DYNAM</t>
  </si>
  <si>
    <t>Clim. Dyn.</t>
  </si>
  <si>
    <t>3-4</t>
  </si>
  <si>
    <t>10.1007/s00382-009-0717-2</t>
  </si>
  <si>
    <t>Meteorology &amp; Atmospheric Sciences</t>
  </si>
  <si>
    <t>716AL</t>
  </si>
  <si>
    <t>WOS:000286937100004</t>
  </si>
  <si>
    <t>Miettinen, A; Koç, N; Hall, IR; Godtliebsen, F; Divine, D</t>
  </si>
  <si>
    <t>Miettinen, Arto; Koc, Nalan; Hall, Ian R.; Godtliebsen, Fred; Divine, Dmitry</t>
  </si>
  <si>
    <t>North Atlantic sea surface temperatures and their relation to the North Atlantic Oscillation during the last 230 years</t>
  </si>
  <si>
    <t>Sea surface temperature (SST); Diatoms; The North Atlantic Oscillation (NAO); Great salinity anomaly (GSA); Reykjanes Ridge; North Atlantic</t>
  </si>
  <si>
    <t>PARTIAL LEAST-SQUARES; INTERDECADAL VARIATIONS; CLIMATE; OCEAN; SALINITY; HOLOCENE; ICELAND; IMPACTS; VARIABILITY; GREENLAND</t>
  </si>
  <si>
    <t>August Sea Surface Temperatures (aSSTs) based on fossil diatom assemblages are generated with 2 year average resolution from a 230-year-long sediment core (Rapid 21-12B), from the Reykjanes Ridge in the subpolar North Atlantic. The results indicate a warming trend of similar to 0.5A degrees C of the surface waters at the Reykjanes Ridge for the last 230 years. Superimposed on this warming trend there is a multidecadal to decadal aSST variability of up to 1A degrees C. The interval from the 1770s to the 1830s represents the coldest period, whereas similar to 1860-1880 represents the warmest period during the last 230 years. The last 25 years is characterized by a warming trend showing strong decadal aSST variability with several warm years, but also the coldest years since the 1820s. The time of these cold years in the mid-1970s, -1980s and -1990s correspond with the documented great salinity anomalies (GSA) in the North Atlantic suggesting increased fluxes of cold, low-salinity waters from the Arctic during the last decades. The aSST record and the August North Atlantic Oscillation (aNAO) index show similar multidecadal-scale variability indicating a close coupling between the oceanic and atmospheric patterns. The aSST record shows a negative correlation with the aNAO indicating cold aSST during the positive aNAO trend and vice versa. Results suggest that the wind driven variation in volume fluxes of the North Atlantic surface waters could be the major mechanism behind the observed relationship.</t>
  </si>
  <si>
    <t>[Miettinen, Arto; Koc, Nalan; Divine, Dmitry] Norwegian Polar Res Inst, Tromso, Norway; [Koc, Nalan] Univ Tromso, Dept Geol, Tromso, Norway; [Hall, Ian R.] Cardiff Univ, Sch Earth &amp; Ocean Sci, Cardiff, S Glam, Wales; [Godtliebsen, Fred; Divine, Dmitry] Univ Tromso, Dept Math &amp; Stat, Tromso, Norway</t>
  </si>
  <si>
    <t>Norwegian Polar Institute; UiT The Arctic University of Tromso; Cardiff University; UiT The Arctic University of Tromso</t>
  </si>
  <si>
    <t>Miettinen, A (corresponding author), Norwegian Polar Res Inst, Tromso, Norway.</t>
  </si>
  <si>
    <t>arto.miettinen@npolar.no</t>
  </si>
  <si>
    <t>Miettinen, Arto/AAG-2835-2019; Hall, Ian/C-2755-2009; Miettinen, Arto/E-2458-2013</t>
  </si>
  <si>
    <t>Hall, Ian/0000-0001-6960-1419; Miettinen, Arto/0000-0003-4537-2556; Divine, Dmitry/0000-0003-0548-6698</t>
  </si>
  <si>
    <t>Norwegian Research Council; U.K. Natural Environment Research Council</t>
  </si>
  <si>
    <t>Norwegian Research Council(Research Council of Norway); U.K. Natural Environment Research Council(UK Research &amp; Innovation (UKRI)Natural Environment Research Council (NERC))</t>
  </si>
  <si>
    <t>We wish to thank Lena Ringstad Olsen for assistance in the SiZer analysis. We thank two anonymous reviewers for their constructive comments. This work was financed by the Norwegian Research Council, through the NARE project Holocene Antarctic climate variability from ice and marine sediment cores: insights to ocean-atmosphere interaction, and the U.K. Natural Environment Research Council RAPID Programme.</t>
  </si>
  <si>
    <t>10.1007/s00382-010-0791-5</t>
  </si>
  <si>
    <t>WOS:000286937100010</t>
  </si>
  <si>
    <t>Mittal, AK; Mukherjee, S; Shukla, RP</t>
  </si>
  <si>
    <t>Mittal, Ashok Kumar; Mukherjee, Sandipan; Shukla, Ravi Prakash</t>
  </si>
  <si>
    <t>Bifurcation analysis of some forced Lu systems</t>
  </si>
  <si>
    <t>COMMUNICATIONS IN NONLINEAR SCIENCE AND NUMERICAL SIMULATION</t>
  </si>
  <si>
    <t>Lorenz attractor; Lu attractor; Chen attractor; Return maps</t>
  </si>
  <si>
    <t>CHAOTIC ATTRACTOR; CHEN SYSTEMS; LORENZ MODEL; PREDICTION; REGIME</t>
  </si>
  <si>
    <t>Bifurcation behaviour of a forced Lu system is analyzed as the system parameter c and a forcing parameter F are varied. The Lu system belongs to a family of generalized Lorenz system. Members of this family are known to exhibit different types of chaotic attractors. Some of these attractors have been named Lorenz type L, Lu or Transition type T, Chen type T and Transverse 8 Type S. These different types of chaotic attractors are visually distinct when the parameters are widely separated. However, there is a need for identifying the precise point where transition from one type of chaotic attractor to another takes place. We identified signatures in the return map, which could be used for determining the point of transition and classifying the different types of chaotic attractors. These signatures helped to identify the point in coordinate space associated with such transitions. We find that such transitions take place when a chaotic attractor comes very close to a one-dimensional manifold on which the time derivatives of two of the variables is zero. We also find that just before coming to this point in coordinate space associated with the transition, the trajectory had approached, very closely, the equilibrium point at the origin. (C) 2010 Elsevier B.V. All rights reserved.</t>
  </si>
  <si>
    <t>[Mittal, Ashok Kumar; Mukherjee, Sandipan; Shukla, Ravi Prakash] Univ Allahabad, Inst Interdisciplinary Studies, K Banerjee Ctr Atmospher &amp; Ocean Studies, Allahabad 211002, Uttar Pradesh, India; [Mittal, Ashok Kumar] Univ Allahabad, Dept Phys, Allahabad 211002, Uttar Pradesh, India</t>
  </si>
  <si>
    <t>University of Allahabad; University of Allahabad</t>
  </si>
  <si>
    <t>Mukherjee, S (corresponding author), Univ Allahabad, Inst Interdisciplinary Studies, K Banerjee Ctr Atmospher &amp; Ocean Studies, Allahabad 211002, Uttar Pradesh, India.</t>
  </si>
  <si>
    <t>sandipanmukherjee@hotmail.com</t>
  </si>
  <si>
    <t>Mukherjee, Sandipan/I-5970-2014; Shukla, Rahul/C-3387-2013</t>
  </si>
  <si>
    <t>Mukherjee, Sandipan/0000-0001-7299-0304; Shukla, Rahul/0000-0002-4864-0133</t>
  </si>
  <si>
    <t>Indian National Center for Ocean Information Services (INCOIS); National Center for Ocean and Antarctic Research (NCOAR), MoES, Govt. of India</t>
  </si>
  <si>
    <t>Indian National Center for Ocean Information Services (INCOIS); National Center for Ocean and Antarctic Research (NCOAR), MoES, Govt. of India(Ministry of Earth Science (MoES), Government of India)</t>
  </si>
  <si>
    <t>The authors thank Indian National Center for Ocean Information Services (INCOIS) and National Center for Ocean and Antarctic Research (NCOAR), MoES, Govt. of India, for financial support.</t>
  </si>
  <si>
    <t>ELSEVIER SCIENCE BV</t>
  </si>
  <si>
    <t>AMSTERDAM</t>
  </si>
  <si>
    <t>PO BOX 211, 1000 AE AMSTERDAM, NETHERLANDS</t>
  </si>
  <si>
    <t>1007-5704</t>
  </si>
  <si>
    <t>1878-7274</t>
  </si>
  <si>
    <t>COMMUN NONLINEAR SCI</t>
  </si>
  <si>
    <t>Commun. Nonlinear Sci. Numer. Simul.</t>
  </si>
  <si>
    <t>10.1016/j.cnsns.2010.04.016</t>
  </si>
  <si>
    <t>Mathematics, Applied; Mathematics, Interdisciplinary Applications; Mechanics; Physics, Fluids &amp; Plasmas; Physics, Mathematical</t>
  </si>
  <si>
    <t>Mathematics; Mechanics; Physics</t>
  </si>
  <si>
    <t>658ZF</t>
  </si>
  <si>
    <t>WOS:000282533900021</t>
  </si>
  <si>
    <t>Landers, TJ; Rayner, MJ; Phillips, RA; Hauber, ME</t>
  </si>
  <si>
    <t>Landers, Todd J.; Rayner, Matt J.; Phillips, Richard A.; Hauber, Mark E.</t>
  </si>
  <si>
    <t>DYNAMICS OF SEASONAL MOVEMENTS BY A TRANS-PACIFIC MIGRANT, THE WESTLAND PETREL</t>
  </si>
  <si>
    <t>CONDOR</t>
  </si>
  <si>
    <t>activity pattern; archival data logger; geolocator (GLS); migration; Procellaria westlandica; seabird tracking; Westland Petrel</t>
  </si>
  <si>
    <t>WHITE-CHINNED PETRELS; PROCELLARIA-AEQUINOCTIALIS; WINTERING AREAS; SOUTH-GEORGIA; SEABIRDS; MIGRATION; ALBATROSSES; MORTALITY; INSIGHTS; ECOLOGY</t>
  </si>
  <si>
    <t>Knowledge of the dynamics of long-distance migrations of pelagic seabirds is limited. Recent advances in tracking technology have yielded detailed, continuous accounts of the movements of individual seabirds over large spatial and temporal scales. We studied the timing of migration and year-round distribution of the Westland Petrel (Procellaria westlandica), listed by the IUCN as vulnerable, with miniature archival light loggers (geolocators) deployed on 10 incubating birds breeding in 2007 at Westland, New Zealand. We retrieved data from eight Westland Petrels, indicating the birds migrated in November directly east similar to 7000 km from the coast of New Zealand to South American waters in 6 days (range 4-7), then returned the following April in 10 days (range 8-13). The durations of an individual's outward and return flights and the dates of its outward and return migrations were positively correlated. During their journeys east and west, birds spent on average (+/- SD) 9.9% (+/- 9.7) and 17.2% (+/- 12.0), respectively, of their time on the water. There was also considerable variation in individuals' foraging areas: while breeding, birds used three major coastal areas &lt; 1200 km from their colony; during the nonbreeding period, six birds remained off the south coast of Chile, while two others continued their migration through the Drake Passage to waters off southern Argentina. These results expand the known distribution of the species, identify new key foraging areas, and show patterns of outward and return migration behavior consistent in individuals.</t>
  </si>
  <si>
    <t>[Landers, Todd J.] Auckland War Mem Museum, Auckland, New Zealand; [Landers, Todd J.; Rayner, Matt J.; Hauber, Mark E.] Univ Auckland, Sch Biol Sci, Auckland 1, New Zealand; [Rayner, Matt J.] Natl Inst Water &amp; Atmospher Res Ltd, Auckland, New Zealand; [Phillips, Richard A.] British Antarctic Survey, Nat Environm Res Council, Cambridge CB3 0ET, England; [Hauber, Mark E.] CUNY Hunter Coll, Dept Psychol, New York, NY 10065 USA</t>
  </si>
  <si>
    <t>University of Auckland; National Institute of Water &amp; Atmospheric Research (NIWA) - New Zealand; UK Research &amp; Innovation (UKRI); Natural Environment Research Council (NERC); NERC British Antarctic Survey; City University of New York (CUNY) System; Hunter College (CUNY)</t>
  </si>
  <si>
    <t>Landers, TJ (corresponding author), Auckland War Mem Museum, PB 92018, Auckland, New Zealand.</t>
  </si>
  <si>
    <t>tjlanders@aucklandmuseum.com</t>
  </si>
  <si>
    <t>Rayner, Matt/0000-0002-1168-6699</t>
  </si>
  <si>
    <t>University of Auckland; Auckland War Memorial Museum; Natural Environment Research Council [bas0100025] Funding Source: researchfish; NERC [bas0100025] Funding Source: UKRI</t>
  </si>
  <si>
    <t>University of Auckland; Auckland War Memorial Museum; Natural Environment Research Council(UK Research &amp; Innovation (UKRI)Natural Environment Research Council (NERC)); NERC(UK Research &amp; Innovation (UKRI)Natural Environment Research Council (NERC))</t>
  </si>
  <si>
    <t>We thank the New Zealand Department of Conservation staff from the Punakaiki Field Centre (particularly G. C. Wood), the West Coast Conservancy, and the National Banding Office for facilitating access for this research, assistance, and support. Our study was funded by the University of Auckland, through the Faculty of Science Professional Development Fund and School of Biological Sciences performance-based research fund, and the Auckland War Memorial Museum. T.J.L. was supported by a University of Auckland Doctoral Scholarship. We thank S. Ismar and the laboratory of C. Millar for molecular sex determination. This research was conducted with ethics approval from the University of Auckland Animal Ethics Committee and a research permit from the New Zealand Department of Conservation. This research represents a contribution to the British Antarctic Survey Ecosystems Programme.</t>
  </si>
  <si>
    <t>OXFORD UNIV PRESS INC</t>
  </si>
  <si>
    <t>CARY</t>
  </si>
  <si>
    <t>JOURNALS DEPT, 2001 EVANS RD, CARY, NC 27513 USA</t>
  </si>
  <si>
    <t>0010-5422</t>
  </si>
  <si>
    <t>1938-5129</t>
  </si>
  <si>
    <t>Condor</t>
  </si>
  <si>
    <t>10.1525/cond.2011.100064</t>
  </si>
  <si>
    <t>Ornithology</t>
  </si>
  <si>
    <t>Zoology</t>
  </si>
  <si>
    <t>739RT</t>
  </si>
  <si>
    <t>WOS:000288736400008</t>
  </si>
  <si>
    <t>Patil, SA; Patil, R; Miller, DD</t>
  </si>
  <si>
    <t>Patil, S. A.; Patil, R.; Miller, D. D.</t>
  </si>
  <si>
    <t>Microwave-Assisted Synthesis of Medicinally Relevant Indoles</t>
  </si>
  <si>
    <t>CURRENT MEDICINAL CHEMISTRY</t>
  </si>
  <si>
    <t>Review</t>
  </si>
  <si>
    <t>Microwave irradiation; Fischer indole; one-pot synthesis; cyclizations; green chemistry; solid phase organic synthesis</t>
  </si>
  <si>
    <t>ONE-POT SYNTHESIS; SOLID-PHASE SYNTHESIS; ORGANIC-SYNTHESIS; COMBINATORIAL CHEMISTRY; ANTARCTIC SPONGE; DNA-BINDING; KEY STEP; ALKALOIDS; DERIVATIVES; FUNCTIONALIZATION</t>
  </si>
  <si>
    <t>Indoles represent an important structural class in medicinal chemistry with broad spectrum of biological activities. The synthesis of indoles, therefore, has attracted enormous attention from synthetic chemists. Microwave methods for the preparation of indole analogs have been developed to speed up the synthesis, therefore, microwave assisted organic synthesis (MAOS) in controlled conditions is an invaluable technique for medicinal chemistry. In this review, indole forming classical reactions such as Fischer, Madelung, Bischler-Mohlau, Batcho-Leimgruber, Hemetsberger-Knittel, Graebe-Ullmann, Diels-Alder and Wittig type reactions using microwave radiation has been summarized. In addition, metal mediated cyclizations along with solid phase synthesis of indoles have been discussed.</t>
  </si>
  <si>
    <t>[Patil, S. A.; Patil, R.; Miller, D. D.] Univ Tennessee, Ctr Hlth Sci, Dept Pharmaceut Sci, Coll Pharm, Memphis, TN 38163 USA</t>
  </si>
  <si>
    <t>University of Tennessee System; University of Tennessee Health Science Center</t>
  </si>
  <si>
    <t>Patil, SA (corresponding author), Univ Tennessee, Ctr Hlth Sci, Dept Pharmaceut Sci, Coll Pharm, 847 Monroe Ave,Suite 327, Memphis, TN 38163 USA.</t>
  </si>
  <si>
    <t>spatil3@uthsc.edu</t>
  </si>
  <si>
    <t>Department of Pharmaceutical Sciences, College of Pharmacy, University of Tennessee Health Science Center; Van Vleet Endowed Professorship</t>
  </si>
  <si>
    <t>This research is supported by funds from Department of Pharmaceutical Sciences, College of Pharmacy, University of Tennessee Health Science Center and the Van Vleet Endowed Professorship (DDM). We thank Drs. Duke, C.; Lu, Y.; and Pagadala, J. for critical reading of the article.</t>
  </si>
  <si>
    <t>BENTHAM SCIENCE PUBL LTD</t>
  </si>
  <si>
    <t>SHARJAH</t>
  </si>
  <si>
    <t>EXECUTIVE STE Y-2, PO BOX 7917, SAIF ZONE, 1200 BR SHARJAH, U ARAB EMIRATES</t>
  </si>
  <si>
    <t>0929-8673</t>
  </si>
  <si>
    <t>1875-533X</t>
  </si>
  <si>
    <t>CURR MED CHEM</t>
  </si>
  <si>
    <t>Curr. Med. Chem.</t>
  </si>
  <si>
    <t>Biochemistry &amp; Molecular Biology; Chemistry, Medicinal; Pharmacology &amp; Pharmacy</t>
  </si>
  <si>
    <t>Biochemistry &amp; Molecular Biology; Pharmacology &amp; Pharmacy</t>
  </si>
  <si>
    <t>720SN</t>
  </si>
  <si>
    <t>WOS:000287301000010</t>
  </si>
  <si>
    <t>Cisewski, B; Strass, VH; Leach, H</t>
  </si>
  <si>
    <t>Cisewski, Boris; Strass, Volker H.; Leach, Harry</t>
  </si>
  <si>
    <t>Circulation and transport of water masses in the Lazarev Sea, Antarctica, during summer and winter 2006</t>
  </si>
  <si>
    <t>DEEP-SEA RESEARCH PART I-OCEANOGRAPHIC RESEARCH PAPERS</t>
  </si>
  <si>
    <t>Weddell Gyre; Lazarev Sea; Geostrophy; Circulation; Transports; ADCP</t>
  </si>
  <si>
    <t>WEDDELL GYRE; MAUD-RISE; SOUTHERN-OCEAN; STRATIFICATION; BASIN; FRONT; MODEL; ZONE; DEEP</t>
  </si>
  <si>
    <t>The distribution and circulation of water masses in the region between 6 degrees W and 3 degrees E and between the Antarctic continental shelf and 60 S are analyzed using hydrographic and shipboard acoustic Doppler current profiler (ADCP) data taken during austral summer 2005/2006 and austral winter 2006. In both seasons two gateways are apparent where Warm Deep Water (WDW) and other water masses enter the Weddell Gyre through the Lazarev Sea: (a) a probably topographically trapped westward, then southwestward circulation around the northwestern edge of Maud Rise with maximum velocities of about 20 cm s(-1) and (b) the Antarctic Coastal Current (AntCC), which is confined to the Antarctic continental shelf slope and is associated with maximum velocities of about 25 cm s(-1). Along two meridional sections that run close to the top of Maud Rise along 3 degrees E, geostrophic velocity shears were calculated from CTD measurements and referenced to velocity profiles recorded by an ADCP in the upper 300 m. The mean accuracy of the absolute geostrophic velocity is estimated at +/-2 cm s(-1). The net baroclinic transport across the 3 degrees E section amounts to 20 and 17 Sv westward for the summer and winter season, respectively. The majority of the baroclinic transport, which accounts for similar to 60% of the total baroclinic transport during both surveys, occurs north of Maud Rise between 65 degrees and 60 degrees S. However, the comparison between geostrophic estimates and direct velocity measurements shows that the circulation within the study area has a strong barotropic component, so that calculations based on the dynamic method underestimate the transport considerably. Estimation of the net absolute volume transports across 3 degrees E suggests a westward flow of 23.9 +/- 19.9 Sv in austral summer and 93.6 +/- 20.1 Sy in austral winter. Part of this large seasonal transport variation can be explained by differences in the gyre-scale forcing through wind stress curl. (C) 2010 Elsevier Ltd. All rights reserved.</t>
  </si>
  <si>
    <t>[Cisewski, Boris; Strass, Volker H.] Alfred Wegener Inst Polar &amp; Marine Res, D-27515 Bremerhaven, Germany; [Cisewski, Boris] Univ Bremen, Abt Ozeanog, Inst Umweltphys, D-28334 Bremen, Germany; [Leach, Harry] Univ Liverpool, Dept Earth &amp; Ocean Sci, Liverpool L69 3GP, Merseyside, England</t>
  </si>
  <si>
    <t>Helmholtz Association; Alfred Wegener Institute, Helmholtz Centre for Polar &amp; Marine Research; University of Bremen; University of Liverpool</t>
  </si>
  <si>
    <t>Cisewski, B (corresponding author), Alfred Wegener Inst Polar &amp; Marine Res, POB 120161, D-27515 Bremerhaven, Germany.</t>
  </si>
  <si>
    <t>Boris.Cisewski@awi.de</t>
  </si>
  <si>
    <t>Cisewski, Boris/GWV-4320-2022</t>
  </si>
  <si>
    <t>Cisewski, Boris/0000-0002-1130-6107; Leach, Harry/0000-0003-1774-5167; Strass, Volker/0000-0002-7539-1400</t>
  </si>
  <si>
    <t>German Federal Ministry of Education and Research (Bundesministerium fur Bildung und Forschung, BMBF); Royal Society</t>
  </si>
  <si>
    <t>German Federal Ministry of Education and Research (Bundesministerium fur Bildung und Forschung, BMBF)(Federal Ministry of Education &amp; Research (BMBF)); Royal Society(Royal Society)</t>
  </si>
  <si>
    <t>This work forms part of the joint project LAKRIS (Lazarev Sea Krill Study) funded by the German Federal Ministry of Education and Research (Bundesministerium fur Bildung und Forschung, BMBF). Harald Rohr and Timo Witte contributed substantially to the collection of the hydrographic dataset We gratefully acknowledge the support provided by the captain, officers and crew of the RN. Polarstern. HL's participation in the cruise was funded by a grant from the Royal Society.</t>
  </si>
  <si>
    <t>PERGAMON-ELSEVIER SCIENCE LTD</t>
  </si>
  <si>
    <t>OXFORD</t>
  </si>
  <si>
    <t>THE BOULEVARD, LANGFORD LANE, KIDLINGTON, OXFORD OX5 1GB, ENGLAND</t>
  </si>
  <si>
    <t>0967-0637</t>
  </si>
  <si>
    <t>DEEP-SEA RES PT I</t>
  </si>
  <si>
    <t>Deep-Sea Res. Part I-Oceanogr. Res. Pap.</t>
  </si>
  <si>
    <t>10.1016/j.dsr.2010.12.001</t>
  </si>
  <si>
    <t>729XN</t>
  </si>
  <si>
    <t>Green Published</t>
  </si>
  <si>
    <t>WOS:000287987800006</t>
  </si>
  <si>
    <t>Brzezinski, MA; Baines, SB; Balch, WM; Beucher, CP; Chai, F; Dugdale, RC; Krause, JW; Landry, MR; Marchi, A; Measures, CI; Nelson, DM; Parker, AE; Poulton, AJ; Selph, KE; Strutton, PG; Taylor, AG; Twining, BS</t>
  </si>
  <si>
    <t>Brzezinski, Mark A.; Baines, Stephen B.; Balch, William M.; Beucher, Charlotte P.; Chai, Fei; Dugdale, Richard C.; Krause, Jeffrey W.; Landry, Michael R.; Marchi, Albert; Measures, Chris I.; Nelson, David M.; Parker, Alexander E.; Poulton, Alex J.; Selph, Karen E.; Strutton, Peter G.; Taylor, Andrew G.; Twining, Benjamin S.</t>
  </si>
  <si>
    <t>Co-limitation of diatoms by iron and silicic acid in the equatorial Pacific</t>
  </si>
  <si>
    <t>DEEP-SEA RESEARCH PART II-TOPICAL STUDIES IN OCEANOGRAPHY</t>
  </si>
  <si>
    <t>Co-limitation; Nutrient limitation; Silicon; Iron; Equatorial upwelling; Diatoms</t>
  </si>
  <si>
    <t>ANTARCTIC SOUTHERN-OCEAN; FALSE DISCOVERY RATE; REGULATE SI UPTAKE; PHYTOPLANKTON GROWTH; BIOLOGICAL RESPONSE; CARBON PRODUCTION; EXPORT PRODUCTION; MARINE DIATOMS; NITRATE UPTAKE; NUTRIENT</t>
  </si>
  <si>
    <t>The relative roles of silicon (Si) and iron (Fe) as limiting nutrients in the eastern equatorial Pacific (EEP) were examined in a series of nine microcosm experiments conducted over two years between 110 degrees W and 140 degrees W longitude. Si and Fe additions had consistently different but synergistic effects on macronutrient use, phytoplankton biomass and phytoplankton community structure. Silicon addition increased silicic acid use and biogenic silica production, but had no significant effect on the use of inorganic nitrogen or orthophosphate, chlorophyll accumulation, particulate inorganic (PIC) carbon accumulation, or plankton community composition relative to controls. That result, together with observations that Si addition increased the cellular Si content of the numerically dominant diatom by similar to 50%, indicates that the main effect of Si was to regulate diatom silicification. Like the effect of Si, Fe addition increased the rate of silicic acid use and biogenic silica production and had no effect on PIC production. Unlike the effect of Si, Fe addition also enhanced rates of organic matter production, had no effect on cellular Si content of diatoms, and resulted in the growth of initially rare, large (&gt; 40 mu m) diatoms relative to controls, indicating that Fe limitation acts mainly through its effects on growth rate and phytoplankton community composition. A pennate diatom of the genus Pseudo-nitzschia dominated the diatom assemblage in situ, grew readily in the controls and did not show a strong growth response to either Fe or Si addition suggesting that its growth was regulated by other factors such as grazing or light. Addition of germanium, an inhibitor of diatom cell division, eliminated the effects of Fe on macronutrient use, biogenic silica production and chlorophyll accumulation and phytoplankton community composition, consistent with a predominantly diatom response to Fe addition. The lack of a response of PIC production to Fe suggests that coccolithophores were not Fe limited. Addition of Fe and Si together resulted in the greatest levels of nutrient drawdown and biomass accumulation through the effect of Fe in promoting the growth of large diatoms. The results suggest a form of co-limitation with Si regulating diatom silicification and the rate of biogenic silica production while Fe regulates the production of organic matter through limitation of phytoplankton growth rates, in particular those of large diatoms. The results argue against Si regulation of new production in the EEP under average upwelling conditions. Iron addition was necessary and sufficient to stimulate complete removal of nitrate within the equatorial upwelling zone suggesting that new production was restricted by low ambient dissolved Fe consistent with results from in situ Fe fertilization experiments conducted to the south of the equator outside of the equatorial upwelling zone. (C) 2010 Elsevier Ltd. All rights reserved.</t>
  </si>
  <si>
    <t>[Brzezinski, Mark A.; Beucher, Charlotte P.; Krause, Jeffrey W.] Univ Calif Santa Barbara, Inst Marine Sci, Santa Barbara, CA 93106 USA; [Balch, William M.; Twining, Benjamin S.] Bigelow Lab Ocean Sci, W Boothbay Harbor, ME 04575 USA; [Baines, Stephen B.] SUNY Stony Brook, Dept Ecol &amp; Evolut, Stony Brook, NY 11794 USA; [Brzezinski, Mark A.] Univ Calif Santa Barbara, Dept Ecol Evolut &amp; Marine Biol, Santa Barbara, CA 93106 USA; [Measures, Chris I.; Selph, Karen E.] Univ Hawaii Manoa, Dept Oceanog, Honolulu, HI 96822 USA; [Krause, Jeffrey W.; Nelson, David M.; Strutton, Peter G.] Oregon State Univ, Coll Ocean &amp; Atmospher Sci, Corvallis, OR 97331 USA; [Poulton, Alex J.] Univ Southampton, Natl Oceanog Ctr, Southampton S014 3ZH, Hants, England; [Landry, Michael R.; Taylor, Andrew G.] Univ Calif San Diego, Scripps Inst Oceanog, La Jolla, CA 92093 USA; [Dugdale, Richard C.; Marchi, Albert; Parker, Alexander E.] San Francisco State Univ, Romberg Tiburon Ctr, Tiburon, CA 94920 USA; [Chai, Fei] Univ Maine, Sch Marine Sci, Orono, ME 04469 USA; [Nelson, David M.] Univ Europeenne Bretagne Occidentale Brest, Inst Univ Europeen Mer, CNRS, Brest, France</t>
  </si>
  <si>
    <t>University of California System; University of California Santa Barbara; Bigelow Laboratory for Ocean Sciences; State University of New York (SUNY) System; State University of New York (SUNY) Stony Brook; University of California System; University of California Santa Barbara; University of Hawaii System; University of Hawaii Manoa; Oregon State University; NERC National Oceanography Centre; University of Southampton; University of California System; University of California San Diego; Scripps Institution of Oceanography; California State University System; San Francisco State University; University of Maine System; University of Maine Orono; Universite de Bretagne Occidentale; Institut Universitaire Europeen de la Mer (IUEM); Centre National de la Recherche Scientifique (CNRS)</t>
  </si>
  <si>
    <t>Brzezinski, MA (corresponding author), Univ Calif Santa Barbara, Inst Marine Sci, Santa Barbara, CA 93106 USA.</t>
  </si>
  <si>
    <t>brzezins@lifesci.ucsb.edu</t>
  </si>
  <si>
    <t>Taylor, Andrew Mitchell/HMV-4064-2023; Landry, Michael/HGF-1043-2022; Strutton, Peter/C-4466-2011; Poulton, Alex/A-9859-2012</t>
  </si>
  <si>
    <t>Baines, Stephen/0000-0002-9114-8769; Strutton, Peter/0000-0002-2395-9471; Twining, Benjamin/0000-0002-1365-9192; Krause, Jeffrey/0000-0003-2479-6229; Poulton, Alex/0000-0002-5149-6961; Parker, Alexander/0000-0001-7948-1457; Selph, Karen/0000-0001-7281-4706</t>
  </si>
  <si>
    <t>National Science Foundation [OCE0322074, OCE0527059, OCE0527062]; Natural Environment Research Council [noc010009] Funding Source: researchfish; NERC [noc010009, NE/F015054/1] Funding Source: UKRI</t>
  </si>
  <si>
    <t>National Science Foundation(National Science Foundation (NSF)); Natural Environment Research Council(UK Research &amp; Innovation (UKRI)Natural Environment Research Council (NERC)); NERC(UK Research &amp; Innovation (UKRI)Natural Environment Research Council (NERC))</t>
  </si>
  <si>
    <t>The authors thank resident technician Gene Pillard, and technicians and students Julie Arrington, Emily Booth, Bruce Bowler, Mark Demarest, Dave Drapeau, Cynthia Dumousseaud, Janice Jones, Kerry Weber, and Jessica Zima for technical assistance and the captain and crew of the R/V Roger Revelle for their support. This work was supported by grants OCE0322074, OCE0527059 and OCE0527062 from the National Science Foundation.</t>
  </si>
  <si>
    <t>0967-0645</t>
  </si>
  <si>
    <t>1879-0100</t>
  </si>
  <si>
    <t>DEEP-SEA RES PT II</t>
  </si>
  <si>
    <t>Deep-Sea Res. Part II-Top. Stud. Oceanogr.</t>
  </si>
  <si>
    <t>10.1016/j.dsr2.2010.08.005</t>
  </si>
  <si>
    <t>734DJ</t>
  </si>
  <si>
    <t>WOS:000288313100016</t>
  </si>
  <si>
    <t>Poblete, F; Arriagada, C; Roperch, P; Astudillo, N; Hervé, F; Kraus, S; Le Roux, JP</t>
  </si>
  <si>
    <t>Poblete, F.; Arriagada, C.; Roperch, P.; Astudillo, N.; Herve, F.; Kraus, S.; Le Roux, J. P.</t>
  </si>
  <si>
    <t>Paleomagnetism and tectonics of the South Shetland Islands and the northern Antarctic Peninsula</t>
  </si>
  <si>
    <t>EARTH AND PLANETARY SCIENCE LETTERS</t>
  </si>
  <si>
    <t>Antarctic Peninsula; South Shetland Islands; Gondwana; paleomagnetism; Cretaceous; Cenozoic</t>
  </si>
  <si>
    <t>MIERS BLUFF FORMATION; MARIE-BYRD-LAND; LIVINGSTON ISLAND; WEST ANTARCTICA; PACIFIC MARGIN; BACKARC BASIN; EVOLUTION; MAGMATISM; GONDWANA; ROCKS</t>
  </si>
  <si>
    <t>New paleomagnetic data presented here from 61 sites in Paleozoic, Mesozoic and Cenozoic igneous and sedimentary rocks from the Antarctic Peninsula and the South Shetland Islands constrain the relative motion of the Antarctic Peninsula since the mid-Cretaceous and allow the quantification of tectonic rotation between the different blocks recognized within the area. Paleozoic and Jurassic results failed the fold test and suggest an important remagnetization in the area. The similarity between these results and those obtained from Cretaceous intrusives indicates a mid-Cretaceous age for the remagnetization. The paleopoles obtained for the different blocks and for different ages suggest that there is no relative rotation among them. These combined results allow us to obtain a Cretaceous (90 Ma) and Paleocene (60 Ma) paleopole. These paleopoles document a very low apparent polar wandering of the Antarctic Peninsula for the last 100 Ma. (c) 2010 Elsevier B.V. All rights reserved.</t>
  </si>
  <si>
    <t>[Poblete, F.; Arriagada, C.; Herve, F.; Le Roux, J. P.] Univ Chile, Dept Geol, Santiago, Chile; [Roperch, P.] Univ Rennes 1, Inst Rech Dev &amp; Geosci Rennes, F-35014 Rennes, France; [Astudillo, N.] Univ Santiago, DIMIN, Santiago, Chile; [Kraus, S.] Inst Antartico Chileno, Punta Arenas, Chile</t>
  </si>
  <si>
    <t>Universidad de Chile; Universite de Rennes; Institut de Recherche pour le Developpement (IRD); Universidad de Santiago de Chile</t>
  </si>
  <si>
    <t>Arriagada, C (corresponding author), Univ Chile, Dept Geol, Santiago, Chile.</t>
  </si>
  <si>
    <t>cearriag@cec.uchile.cl</t>
  </si>
  <si>
    <t>Le Roux, Jacobus Philippus/U-7085-2019; Herve, Francisco/HDO-6628-2022; Le Roux, Jacobus/A-9765-2008; Arriagada, César/I-6336-2016</t>
  </si>
  <si>
    <t>Le Roux, Jacobus Philippus/0000-0003-0173-4471; Le Roux, Jacobus/0000-0003-0173-4471; Kraus, Stefan/0000-0001-5017-9940; Poblete, Fernando/0000-0002-2140-5483</t>
  </si>
  <si>
    <t>PBCT Anillo Antartico [ARTG04]; CONICYT; World Bank, INACH; Chilean Navy</t>
  </si>
  <si>
    <t>PBCT Anillo Antartico(Comision Nacional de Investigacion Cientifica y Tecnologica (CONICYT)CONICYT PIA/PBCTCONICYT PIA/ANILLOS); CONICYT(Comision Nacional de Investigacion Cientifica y Tecnologica (CONICYT)); World Bank, INACH; Chilean Navy</t>
  </si>
  <si>
    <t>We are indebted to Project PBCT Anillo Antartico ARTG04 Geological connections between West Antarctica and Patagonia, a collaborative research program between CONICYT, The World Bank, INACH, Programa Institucional Antartico Universidad de Chile (PIA), and the Chilean Navy for financial and logistical support during the field work. We gratefully acknowledge the Departamento de Postgrado y Postitulo de la Vicerrectoria de Asuntos Academicos de la Universidad de Chile and its program Becas de Estadias Cortas de investigacion. Special thanks are due to the crew of the Almirante Oscal Viel, Leucoton and Aquiles. We also thank Carolina Guzman for her priceless collaboration in the field and Alain Demant (Laboratoire de Petrologie Magmatique Universite Aix-Marseille III) for helping us to understand the volcanic rocks sampled, as well as Juan Pablo Lacassie, Paula Castillo, Mauricio Calderon, Mark Fanning, Millarca Valenzuela, Miguel Cisternas and Manfred Brix for their field assistance. We are grateful for helpful reviews from Ruben Somoza and one anonymous referee.</t>
  </si>
  <si>
    <t>ELSEVIER</t>
  </si>
  <si>
    <t>RADARWEG 29, 1043 NX AMSTERDAM, NETHERLANDS</t>
  </si>
  <si>
    <t>0012-821X</t>
  </si>
  <si>
    <t>1385-013X</t>
  </si>
  <si>
    <t>EARTH PLANET SC LETT</t>
  </si>
  <si>
    <t>Earth Planet. Sci. Lett.</t>
  </si>
  <si>
    <t>10.1016/j.epsl.2010.12.019</t>
  </si>
  <si>
    <t>Geochemistry &amp; Geophysics</t>
  </si>
  <si>
    <t>724ZL</t>
  </si>
  <si>
    <t>WOS:000287614900005</t>
  </si>
  <si>
    <t>Verleyen, E; Hodgson, DA; Sabbe, K; Cremer, H; Emslie, SD; Gibson, J; Hall, B; Imura, S; Kudoh, S; Marshall, GJ; McMinn, A; Melles, M; Newman, L; Roberts, D; Roberts, SJ; Singh, SM; Sterken, M; Tavernier, I; Verkulich, S; Van de Vyver, E; Van Nieuwenhuyze, W; Wagner, B; Vyverman, W</t>
  </si>
  <si>
    <t>Verleyen, Elie; Hodgson, Dominic A.; Sabbe, Koen; Cremer, Holger; Emslie, Steven D.; Gibson, John; Hall, Brenda; Imura, Satoshi; Kudoh, Sakae; Marshall, Gareth J.; McMinn, Andrew; Melles, Martin; Newman, Louise; Roberts, Donna; Roberts, Steve J.; Singh, Shiv M.; Sterken, Mieke; Tavernier, Ines; Verkulich, Sergey; Van de Vyver, Evelien; Van Nieuwenhuyze, Wim; Wagner, Bernd; Vyverman, Wim</t>
  </si>
  <si>
    <t>Post-glacial regional climate variability along the East Antarctic coastal margin-Evidence from shallow marine and coastal terrestrial records</t>
  </si>
  <si>
    <t>EARTH-SCIENCE REVIEWS</t>
  </si>
  <si>
    <t>Antarctica; Holocene; climate change; warm period; paleolimnology; marine geology</t>
  </si>
  <si>
    <t>LAST GLACIAL MAXIMUM; GROUNDED ICE-SHEET; EPICA DOME-C; QUATERNARY DIATOM ASSEMBLAGES; RADIOCARBON AGE CALIBRATION; SOUTHERN WINDMILL ISLANDS; PRINCE-CHARLES MOUNTAINS; WILSON PIEDMONT GLACIER; MCMURDO DRY VALLEYS; VESTFOLD HILLS</t>
  </si>
  <si>
    <t>We review the post-glacial climate variability along the East Antarctic coastline using terrestrial and shallow marine geological records and compare these reconstructions with data from elsewhere. Nearly all East Antarctic records show a near-synchronous Early Holocene climate optimum (11.5-9 ka BP), coinciding with the deglaciation of currently ice-free regions and the optimum recorded in Antarctic ice and marine sediment cores. Shallow marine and coastal terrestrial climate anomalies appear to be out of phase after the Early Holocene warm period, and show complex regional patterns, but an overall trend of cooling in the terrestrial records. A Mid to Late Holocene warm period is present in many East Antarctic lake and shallow coastal marine records. Although there are some differences in the regional timing of this warm period, it typically occurs somewhere between 4.7 and 1 ka BP, which overlaps with a similar optimum found in Antarctic Peninsula terrestrial records. The differences in the timing of these sometimes abrupt warm events in different records and regions points to a number of mechanisms that we have yet to identify. Nearly all records show a neoglacial cooling from 2 ka BP onwards. There is no evidence along the East Antarctic coastline for an equivalent to the Northern Hemisphere Medieval Warm Period and there is only weak circumstantial evidence in a few places for a cool event crudely equivalent in time to the Northern Hemisphere's Little Ice Age. There is a need for well-dated, high resolution climate records in coastal East Antarctica and particularly in Terre Adelie, Dronning Maud Land and Enderby Land to fully understand the regional climate anomalies, the disparity between marine and terrestrial records, and to determine the significance of the heterogeneous temperature trends being measured in the Antarctic today. (C) 2010 Elsevier B.V. All rights reserved.</t>
  </si>
  <si>
    <t>[Verleyen, Elie; Sabbe, Koen; Sterken, Mieke; Tavernier, Ines; Van de Vyver, Evelien; Van Nieuwenhuyze, Wim; Vyverman, Wim] Univ Ghent, Dept Biol, B-9000 Ghent, Belgium; [Hodgson, Dominic A.; Marshall, Gareth J.; Roberts, Steve J.] British Antarctic Survey, NERC, Cambridge CB3 0ET, England; [Cremer, Holger] Geol Survey Netherlands, TNO Built Environm &amp; Geosci, NL-3584 CB Utrecht, Netherlands; [Emslie, Steven D.] Univ N Carolina, Dept Biol &amp; Marine Biol, Wilmington, NC 28403 USA; [Gibson, John] Tasmanian Aquaculture &amp; Fisheries Inst, Marine Res Labs, Hobart, Tas 7001, Australia; [Hall, Brenda] Univ Maine, Bryand Global Sci Ctr, Dept Earth Sci, Orono, ME 04469 USA; [Hall, Brenda] Univ Maine, Bryand Global Sci Ctr, Climate Change Inst, Orono, ME 04469 USA; [Imura, Satoshi; Kudoh, Sakae] Natl Inst Polar Res, Tachikawa, Tokyo 1908518, Japan; [McMinn, Andrew] Univ Tasmania, Inst Antarctic &amp; So Ocean Studies, Hobart, Tas 7001, Australia; [Melles, Martin; Wagner, Bernd] Univ Cologne, Inst Geol &amp; Mineral, D-50674 Cologne, Germany; [Newman, Louise] PAGES Int Project Off, CH-3012 Bern, Switzerland; [Roberts, Donna] Antarctic Climate &amp; Ecosyst Cooperat Res Ctr, Hobart, Tas 7001, Australia; [Singh, Shiv M.] Minist Earth Sci, Natl Ctr Antarctic &amp; Ocean Res, Vasco Da Gama 403804, Goa, India; [Verkulich, Sergey] Arctic &amp; Antarctic Res Inst, Dept Polar Geog, St Petersburg 199397, Russia</t>
  </si>
  <si>
    <t>Ghent University; UK Research &amp; Innovation (UKRI); Natural Environment Research Council (NERC); NERC British Antarctic Survey; Netherlands Organization Applied Science Research; University of North Carolina; University of North Carolina Wilmington; University of Tasmania; University of Maine System; University of Maine Orono; University of Maine System; University of Maine Orono; Research Organization of Information &amp; Systems (ROIS); National Institute of Polar Research (NIPR) - Japan; University of Tasmania; University of Cologne; Antarctic Climate &amp; Ecosystems Cooperative Research Centre (ACE CRC); Ministry of Earth Sciences (MoES) - India; National Centre for Polar and Ocean Research (NCPOR); Arctic &amp; Antarctic Research Institute</t>
  </si>
  <si>
    <t>Verleyen, E (corresponding author), Univ Ghent, Dept Biol, Krijgslaan 281,S8, B-9000 Ghent, Belgium.</t>
  </si>
  <si>
    <t>elie.verleyen@UGent.be</t>
  </si>
  <si>
    <t>Wagner, Bernd/J-4682-2012; Melles, Martin/J-4070-2012; Newman, Louise/HNI-7544-2023; Newman, Louise/Q-8592-2019; McMinn, Andrew/A-9910-2008</t>
  </si>
  <si>
    <t>Wagner, Bernd/0000-0002-1369-7893; Melles, Martin/0000-0003-0977-9463; Newman, Louise/0000-0001-9523-8713; Roberts, Donna/0000-0001-6701-6662; Roberts, Stephen/0000-0003-3407-9127</t>
  </si>
  <si>
    <t>Fund for Scientific research, Flanders (Belgium); Natural Environment Research Council (UK); Institute for the Promotion of Science and Technology in Flanders (Belgium); Australian Research Council; Belgian Federal Science Policy Office; Natural Environment Research Council [NRCF010001, bas0100024] Funding Source: researchfish; NERC [NRCF010001, bas0100024] Funding Source: UKRI; Directorate For Geosciences; Office of Polar Programs (OPP) [0739575] Funding Source: National Science Foundation; Grants-in-Aid for Scientific Research [23247012] Funding Source: KAKEN</t>
  </si>
  <si>
    <t>Fund for Scientific research, Flanders (Belgium)(FWO); Natural Environment Research Council (UK)(UK Research &amp; Innovation (UKRI)Natural Environment Research Council (NERC)); Institute for the Promotion of Science and Technology in Flanders (Belgium); Australian Research Council(Australian Research Council); Belgian Federal Science Policy Office(Belgian Federal Science Policy Office); Natural Environment Research Council(UK Research &amp; Innovation (UKRI)Natural Environment Research Council (NERC)); NERC(UK Research &amp; Innovation (UKRI)Natural Environment Research Council (NERC)); Directorate For Geosciences; Office of Polar Programs (OPP)(National Science Foundation (NSF)NSF - Directorate for Geosciences (GEO)); Grants-in-Aid for Scientific Research(Ministry of Education, Culture, Sports, Science and Technology, Japan (MEXT)Japan Society for the Promotion of ScienceGrants-in-Aid for Scientific Research (KAKENHI))</t>
  </si>
  <si>
    <t>This work was initiated by the author's contribution to the special SCAR Antarctic Climate Change and the Environment report. EV is a post-doctoral research fellow with the Fund for Scientific research, Flanders (Belgium). DH is funded by the Natural Environment Research Council (UK). IT is funded by the Institute for the Promotion of Science and Technology in Flanders (Belgium). DR and AM acknowledge the financial support of the Australian Research Council, MM and BW acknowledge the German Research Foundation and SMS acknowledges the National Indian Centre for Antarctic and Ocean Research and the Indian Ministry of Earth Sciences. This work benefited from the HOLANT project funded by the Belgian Federal Science Policy Office and was only possible with the logistic support of the Australian Antarctic Division, the British Antarctic Survey, the Japanese National Institute for Polar Research, Maaike Vancauwenberghe (BelSPO), the Office of Polar Programs of the U.S. National Science Foundation and the Programma Nazionale di Richerche in Antartide (Italy). Fig. 1 was prepared by Peter Fretwell, British Antarctic Survey. Two anonymous reviewers are thanked for their constructive comments on an earlier version of the manuscript.</t>
  </si>
  <si>
    <t>0012-8252</t>
  </si>
  <si>
    <t>1872-6828</t>
  </si>
  <si>
    <t>EARTH-SCI REV</t>
  </si>
  <si>
    <t>Earth-Sci. Rev.</t>
  </si>
  <si>
    <t>10.1016/j.earscirev.2010.10.006</t>
  </si>
  <si>
    <t>720FR</t>
  </si>
  <si>
    <t>WOS:000287266500001</t>
  </si>
  <si>
    <t>Wakefield, ED; Phillips, RA; Trathan, PN; Arata, J; Gales, R; Huin, N; Robertson, G; Waugh, SM; Weimerskirch, H; Matthiopoulos, J</t>
  </si>
  <si>
    <t>Wakefield, Ewan D.; Phillips, Richard A.; Trathan, Philip N.; Arata, Javier; Gales, Rosemary; Huin, Nic; Robertson, Graham; Waugh, Susan M.; Weimerskirch, Henri; Matthiopoulos, Jason</t>
  </si>
  <si>
    <t>Habitat preference, accessibility, and competition limit the global distribution of breeding Black-browed Albatrosses</t>
  </si>
  <si>
    <t>ECOLOGICAL MONOGRAPHS</t>
  </si>
  <si>
    <t>Black-browed Albatross; Campbell Albatross; central-place foraging; GAMM; niche specialization; satellite tracking; spatial modeling; spatial segregation; Thalassarche impavida; Thalassarche melanophrys</t>
  </si>
  <si>
    <t>GREY-HEADED ALBATROSSES; INTRA-SPECIFIC COMPETITION; SEA-SURFACE TEMPERATURE; ANTARCTIC FUR SEALS; FORAGING RANGES; THALASSARCHE-CHRYSOSTOMA; SYMPATRIC ALBATROSSES; WANDERING ALBATROSSES; GEOGRAPHIC STRUCTURE; SPATIAL-DISTRIBUTION</t>
  </si>
  <si>
    <t>Telemetry methods and remote sensing now make it possible to record the spatial usage of wide-ranging marine animals and the biophysical characteristics of their pelagic habitats. Furthermore, recent statistical advances mean that such data can be used to test ecological hypotheses and estimate species' distributions. Black-browed Albatrosses Thalassarche melanophrys are highly mobile marine predators with a circumpolar breeding and foraging distribution in the Southern Hemisphere. Although they remain relatively abundant, increased fisheries bycatch has led to their listing as endangered by conservation bodies. We satellite-tracked 163 breeding Black-browed Albatrosses and eight closely related Campbell Albatrosses T. impavida from nine colonies. We then quantified habitat usage, and modeled population-level spatial distribution at spatiotemporal scales &gt;50 km and 1 month, as a function of habitat accessibility, habitat preference, and intraspecific competition, using mixed-effects generalized additive models (GAMM). During incubation, birds foraged over a wider area than in the post-brood chick-rearing period, when they are more time constrained. Throughout breeding, the order of habitat preference of Black-browed Albatrosses was for neritic (0-500 m), shelf-break and upper shelf-slope (500 1000 m), and then oceanic (&gt;1000 m) waters. Black-browed Albatrosses also preferred areas with steeper (&gt;3 degrees) bathymetric relief and, in addition, during incubation, warmer sea surface temperatures (peak preference similar to 16 degrees C). Although this suggests specialization in neritic habitats, incubation-stage Black-browed Albatrosses from South Georgia also foraged extensively in oceanic waters, preferring areas with high eddy kinetic energy (&gt;250 cm(2)/s(2)), especially the Brazil-Malvinas Confluence, a region of intense mesoscale turbulence. During chick-rearing, this species had a more southerly distribution, and following the seasonal retreat of sea ice, birds from some populations utilized neritic polar waters. Campbell Albatrosses showed similar bathymetric preferences but also preferred positive sea level anomalies. Black-browed Albatross foraging areas were partially spatially segregated with respect to colony and region, with birds preferring locations distant from neighboring colonies, presumably in order to reduce competition between parapatric conspecifics. At the global scale, the greatest concentrations of breeding Black-browed Albatrosses are in southern South American neritic, shelf-break, and shelf-slope waters. These regions also hold large fisheries and should therefore be a priority for introduction of bycatch mitigation measures.</t>
  </si>
  <si>
    <t>[Wakefield, Ewan D.; Phillips, Richard A.; Trathan, Philip N.] British Antarctic Survey, NERC, Cambridge CB3 0ET, England; [Gales, Rosemary] Dept Primary Ind &amp; Water, Biodivers Conservat Branch, Hobart, Tas 7001, Australia; [Robertson, Graham] Australian Antarctic Div, Kingston, Tas 7050, Australia; [Waugh, Susan M.] Sextant Technol Ltd, Wellington 6012, New Zealand; [Weimerskirch, Henri] Ctr Natl Rech Sci, Ctr Etud Biol Chize, F-79360 Villiers En Bois, France; [Matthiopoulos, Jason] Univ St Andrews, Sea Mammal Res Unit, St Andrews KY16 8LB, Fife, Scotland; [Matthiopoulos, Jason] Univ St Andrews, Ctr Res Ecol &amp; Environm Modeling, Scottish Oceans Inst, St Andrews KY16 8LB, Fife, Scotland</t>
  </si>
  <si>
    <t>UK Research &amp; Innovation (UKRI); Natural Environment Research Council (NERC); NERC British Antarctic Survey; Australian Antarctic Division; Centre National de la Recherche Scientifique (CNRS); University of St Andrews; University of St Andrews</t>
  </si>
  <si>
    <t>Wakefield, ED (corresponding author), Univ Leeds, Inst Integrat &amp; Comparat Biol, Fac Biol Sci, Leeds LS2 9JT, W Yorkshire, England.</t>
  </si>
  <si>
    <t>E.D.Wakefield@leeds.ac.uk</t>
  </si>
  <si>
    <t>Weimerskirch, Henri/K-7306-2019; Arata, Javier A./ABH-9557-2020; Arata, Javier/U-9754-2017; Matthiopoulos, Jason/N-9808-2013; Weimerskirch, Henri/F-5562-2013</t>
  </si>
  <si>
    <t>Weimerskirch, Henri/0000-0002-0457-586X; Arata, Javier/0000-0001-7320-0511; Matthiopoulos, Jason/0000-0003-3639-8172;</t>
  </si>
  <si>
    <t>UK Natural Environment Research Council [NER/S/A/2005/13648]; British Antarctic Survey; Natural Environment Research Council [bas0100025] Funding Source: researchfish; NERC [bas0100025] Funding Source: UKRI</t>
  </si>
  <si>
    <t>UK Natural Environment Research Council(UK Research &amp; Innovation (UKRI)Natural Environment Research Council (NERC)); British Antarctic Survey; Natural Environment Research Council(UK Research &amp; Innovation (UKRI)Natural Environment Research Council (NERC)); NERC(UK Research &amp; Innovation (UKRI)Natural Environment Research Council (NERC))</t>
  </si>
  <si>
    <t>This study was carried out while the first author was in receipt of a UK Natural Environment Research Council CASE studentship (NER/S/A/2005/13648) in partnership with the British Antarctic Survey. We are indebted to Geert Aarts, who initially developed the modeling techniques used in this study. We thank Simon Wood for advice on the implementation of GAMMs, and Andrew Fleming and Peter Fretwell for the provision of environmental data. We also thank Larkin Powell and an anonymous reviewer for constructive comments on an earlier version of this paper.</t>
  </si>
  <si>
    <t>0012-9615</t>
  </si>
  <si>
    <t>1557-7015</t>
  </si>
  <si>
    <t>ECOL MONOGR</t>
  </si>
  <si>
    <t>Ecol. Monogr.</t>
  </si>
  <si>
    <t>10.1890/09-0763.1</t>
  </si>
  <si>
    <t>Ecology</t>
  </si>
  <si>
    <t>Environmental Sciences &amp; Ecology</t>
  </si>
  <si>
    <t>746GH</t>
  </si>
  <si>
    <t>WOS:000289230700009</t>
  </si>
  <si>
    <t>Gounelle, M</t>
  </si>
  <si>
    <t>Gounelle, Matthieu</t>
  </si>
  <si>
    <t>The Asteroid-Comet Continuum: In Search of Lost Primitivity</t>
  </si>
  <si>
    <t>ELEMENTS</t>
  </si>
  <si>
    <t>comets; asteroids; chondrites; micrometeorites; Stardust; primitivity</t>
  </si>
  <si>
    <t>CENTRAL ANTARCTIC SNOW; ISOTOPIC COMPOSITION; INTERPLANETARY DUST; MICROMETEORITES; BELT; 81P/WILD-2; OBJECTS; CHONDRITES; PARTICLES; STARDUST</t>
  </si>
  <si>
    <t>Recent results from the Stardust comet sample-return mission have confirmed the idea that there is a continuum between primitive small bodies in the outer main asteroid belt and comets. Indeed, the mineralogy as well as the chemical and oxygen isotope compositions of the dust from comet Wild 2 are very similar to those of carbonaceous chondrites, a class of meteorites allegedly derived from primitive, dark asteroids. Comets no longer represent extremely primitive samples of the early Solar System that are radically different from dark asteroids. We enter a new era in which comets and their siblings, the dark asteroids, are seen as a collection of individual objects whose geology can be studied. The most primitive of these objects, i.e. the ones that escaped thermal metamorphism or hydrothermal alteration, can help us decipher physicochemical processes in the interstellar medium and in the protoplanetary disk from which our Solar System formed.</t>
  </si>
  <si>
    <t>CNRS MNHN, Lab Mineral &amp; Cosmochim, Museum UMR7202, F-75005 Paris, France</t>
  </si>
  <si>
    <t>Museum National d'Histoire Naturelle (MNHN)</t>
  </si>
  <si>
    <t>Gounelle, M (corresponding author), CNRS MNHN, Lab Mineral &amp; Cosmochim, Museum UMR7202, CP 52,57 Rue Cuvier, F-75005 Paris, France.</t>
  </si>
  <si>
    <t>gounelle@mnhn.fr</t>
  </si>
  <si>
    <t>PNP; European Marie Curie Research Training Network [MRTNCT-2006-035519]</t>
  </si>
  <si>
    <t>PNP; European Marie Curie Research Training Network(European Union (EU))</t>
  </si>
  <si>
    <t>I warmly thank A. Morbidelli, J. Duprat, M. Zolensky, F. Robert, and G. Briani for exciting conversations over the years and for critically reading the manuscript, as well as Hap McSween and Dante Lauretta for thorough, inspiring, and constructive reviews. Other reviews by H. Campins, D. Joswiak, G. Briani, and D. Jewitt helped to improve the manuscript. Michel Serrano most kindly prepared the figures. This work was supported by the PNP and the European Marie Curie Research Training Network Origins (MRTNCT-2006-035519).</t>
  </si>
  <si>
    <t>MINERALOGICAL SOC AMER</t>
  </si>
  <si>
    <t>CHANTILLY</t>
  </si>
  <si>
    <t>3635 CONCORDE PKWY STE 500, CHANTILLY, VA 20151-1125 USA</t>
  </si>
  <si>
    <t>1811-5209</t>
  </si>
  <si>
    <t>Elements</t>
  </si>
  <si>
    <t>10.2113/gselements.7.1.29</t>
  </si>
  <si>
    <t>Geochemistry &amp; Geophysics; Mineralogy</t>
  </si>
  <si>
    <t>730OL</t>
  </si>
  <si>
    <t>WOS:000288043200007</t>
  </si>
  <si>
    <t>Sewell, MA; Hofmann, GE</t>
  </si>
  <si>
    <t>Sewell, Mary A.; Hofmann, Gretchen E.</t>
  </si>
  <si>
    <t>Antarctic echinoids and climate change: a major impact on the brooding forms</t>
  </si>
  <si>
    <t>GLOBAL CHANGE BIOLOGY</t>
  </si>
  <si>
    <t>Antarctic; brooding; climate change; echinoid; ocean acidification</t>
  </si>
  <si>
    <t>INCREASED ATMOSPHERIC CO2; SEA-URCHIN SPINE; OCEAN ACIDIFICATION; SEAWATER CHEMISTRY; BATHYAL ECHINOIDS; MG/CA RATIO; COLD-WATER; BIODIVERSITY; CALCITE; RESPONSES</t>
  </si>
  <si>
    <t>Ocean acidification (OA) and the accompanying changes to carbonate concentrations are predicted to have especially negative impacts in the Southern Ocean where, as a result of colder temperatures, there will be shallowing of both the aragonite (ASH) and calcite saturation horizons (CSH). Echinoids are a dominant group of the Antarctic macrofauna which, because of their high-Mg calcite skeleton, are particularly susceptible to changes in the ASH. Using published information on the bathymetric distributions of Antarctic echinoids, we show that the majority of heavily calcified echinoids have their lower bathymetric limit above a depth of ca. 3000 m, approximately the current depth of the CSH. Echinoids whose depth range extends below 3000 m generally have thin, weakly calcified tests and include species from the Order Holasteroida, and the Families Cidaridae and Schizasteridae. Examination of the reproductive mode of Antarctic echinoids shows that brooding, where calcification of the young occurs in the same CaCO3 environment as the mother, is primarily found at a depth above 3000 m. The predicted shallowing of the ASH and CSH under OA conditions is likely to negatively impact growth and reproduction of heavily calcified brooders in the Family Cidaridae, which may result in changes to bathymetric ranges, local population extinction, and associated losses in macrofaunal biodiversity. As with other calcified deep sea invertebrates, echinoids may be particularly vulnerable to the impacts of increased CO2 and OA in the Southern Ocean.</t>
  </si>
  <si>
    <t>[Sewell, Mary A.] Univ Auckland, Sch Biol Sci, Auckland 1142, New Zealand; [Hofmann, Gretchen E.] Univ Calif Santa Barbara, Dept Ecol Evolut &amp; Marine Biol, Santa Barbara, CA 93106 USA</t>
  </si>
  <si>
    <t>University of Auckland; University of California System; University of California Santa Barbara</t>
  </si>
  <si>
    <t>Sewell, MA (corresponding author), Univ Auckland, Sch Biol Sci, Private Bag 92019, Auckland 1142, New Zealand.</t>
  </si>
  <si>
    <t>m.sewell@auckland.ac.nz</t>
  </si>
  <si>
    <t>Sewell, Mary A/C-9017-2009</t>
  </si>
  <si>
    <t>Sewell, Mary A/0000-0002-1595-7951</t>
  </si>
  <si>
    <t>University of Auckland; US National Science Foundation [ANT-0944210, ANT-0808947]; Directorate For Geosciences [0944201] Funding Source: National Science Foundation; Office of Polar Programs (OPP) [0944201] Funding Source: National Science Foundation</t>
  </si>
  <si>
    <t>University of Auckland; US National Science Foundation(National Science Foundation (NSF)); Directorate For Geosciences(National Science Foundation (NSF)NSF - Directorate for Geosciences (GEO)); Office of Polar Programs (OPP)(National Science Foundation (NSF)NSF - Directorate for Geosciences (GEO))</t>
  </si>
  <si>
    <t>We thank Profs. Craig Young, Philippe Dubois and John Lawrence for sharing their knowledge of the deep sea, high Mgcalcites and echinoderms respectively; a University of Auckland Research and Study Leave grant (M. A. S.) and US National Science Foundation Grants ANT-0944210 and ANT-0808947 (G. E. H.) for support during the preparation of this manuscript. The comments of three anonymous reviewers were particularly helpful in clarifying our thinking.</t>
  </si>
  <si>
    <t>1354-1013</t>
  </si>
  <si>
    <t>1365-2486</t>
  </si>
  <si>
    <t>GLOBAL CHANGE BIOL</t>
  </si>
  <si>
    <t>Glob. Change Biol.</t>
  </si>
  <si>
    <t>10.1111/j.1365-2486.2010.02288.x</t>
  </si>
  <si>
    <t>Biodiversity Conservation; Ecology; Environmental Sciences</t>
  </si>
  <si>
    <t>Biodiversity &amp; Conservation; Environmental Sciences &amp; Ecology</t>
  </si>
  <si>
    <t>702ES</t>
  </si>
  <si>
    <t>WOS:000285878000008</t>
  </si>
  <si>
    <t>Luo, W; Bock, C; Li, HR; Padisák, J; Krienitz, L</t>
  </si>
  <si>
    <t>Luo, W.; Bock, C.; Li, H. R.; Padisak, J.; Krienitz, L.</t>
  </si>
  <si>
    <t>Molecular and microscopic diversity of planktonic eukaryotes in the oligotrophic Lake Stechlin (Germany)</t>
  </si>
  <si>
    <t>HYDROBIOLOGIA</t>
  </si>
  <si>
    <t>Microbial eukaryotes; Microscopy; Molecular biodiversity; Lake Stechlin</t>
  </si>
  <si>
    <t>GENUS CRYPTOMONAS CRYPTOPHYCEAE; FRESH-WATER PICOEUKARYOTES; DICTYOSPHAERIUM-MORPHOTYPE; GENETIC DIVERSITY; PHYTOPLANKTON; PICOPLANKTON; PHYLOGENY; CHLOROPHYTA; CHLORELLA; TAXONOMY</t>
  </si>
  <si>
    <t>The aim of this study was to compare a molecular and a microscopic approach to study the planktonic eukaryotic diversity of an oligotrophic lake. Plankton samples from the temperate Lake Stechlin were assessed in winter and summer 2008 by comparison of 18S rRNA gene clone libraries to light microscopic evaluations. For both approaches identical samples were used. There were remarkable differences between the main groups recovered by the contrasting methods. The microscopic analyses showed predominance of autotrophic planktonic organisms, whereas most of them could not be discovered by the molecular method which resulted in a higher diversity of heterotrophic flagellates. The microscopic survey revealed high diversity of Chlorophyta and Cryptophyta as well as the Stramenopiles groups of Bacillariophyceae and Chrysophyceae. The clone libraries, based on full-length 18S rRNA gene sequences, displayed highest diversity of Alveolata belonging to seven different subclades. Notably, Antarctic Dinophyta-related clones were detected. The occurrence of the marine phagotrophic flagellate Telonema was also documented. Comparing the two sampling seasons, rich diversity suggests that flagellates played an important role in late winter (February), however, there is relatively low diversity in summer (August). The newly discovered molecular diversity of planktonic eukaryotes in Stechlin will help to understand the biodiversity patterns in freshwater lakes.</t>
  </si>
  <si>
    <t>[Luo, W.; Li, H. R.] Polar Res Inst China, SOA Key Lab Polar Sci, Shanghai 200136, Peoples R China; [Bock, C.; Krienitz, L.] Leibniz Inst Freshwater Ecol &amp; Inland Fisheries, Neuglobsow, Germany; [Padisak, J.] Univ Pannonia, Dept Limnol, H-8200 Veszprem, Hungary</t>
  </si>
  <si>
    <t>Polar Research Institute of China; Leibniz Institut fur Gewasserokologie und Binnenfischerei (IGB); University of Pannonia</t>
  </si>
  <si>
    <t>Luo, W (corresponding author), Polar Res Inst China, SOA Key Lab Polar Sci, Shanghai 200136, Peoples R China.</t>
  </si>
  <si>
    <t>luowei@pric.gov.cn</t>
  </si>
  <si>
    <t>Padisak, Judit/B-4514-2008; Bock, Christina/S-5649-2017</t>
  </si>
  <si>
    <t>Luo, Wei/0000-0002-4472-2182; Bock, Christina/0000-0002-6509-3768</t>
  </si>
  <si>
    <t>National Natural Science Foundation of China [40806073]</t>
  </si>
  <si>
    <t>National Natural Science Foundation of China(National Natural Science Foundation of China (NSFC))</t>
  </si>
  <si>
    <t>This research is supported by National Natural Science Foundation of China (No. 40806073). We also thank Y.Y. Lou and L.M. Huang for technical assistance.</t>
  </si>
  <si>
    <t>0018-8158</t>
  </si>
  <si>
    <t>1573-5117</t>
  </si>
  <si>
    <t>Hydrobiologia</t>
  </si>
  <si>
    <t>10.1007/s10750-010-0510-6</t>
  </si>
  <si>
    <t>Marine &amp; Freshwater Biology</t>
  </si>
  <si>
    <t>691FE</t>
  </si>
  <si>
    <t>WOS:000285064900012</t>
  </si>
  <si>
    <t>Qin, QL; Li, Y; Zhang, YJ; Zhou, ZM; Zhang, WX; Chen, XL; Zhang, XY; Zhou, BC; Wang, L; Zhang, YZ</t>
  </si>
  <si>
    <t>Qin, Qi-Long; Li, Yang; Zhang, Yan-Jiao; Zhou, Zhe-Min; Zhang, Wei-Xin; Chen, Xiu-Lan; Zhang, Xi-Ying; Zhou, Bai-Cheng; Wang, Lei; Zhang, Yu-Zhong</t>
  </si>
  <si>
    <t>Comparative genomics reveals a deep-sea sediment-adapted life style of Pseudoalteromonas sp. SM9913</t>
  </si>
  <si>
    <t>ISME JOURNAL</t>
  </si>
  <si>
    <t>comparative genomics; deep sea; sediment; Pseudoalteromonas</t>
  </si>
  <si>
    <t>PROVIDES ACQUIRED-RESISTANCE; PARTICULATE ORGANIC-MATTER; BACTERIAL GLYCOGEN; HIGH-PRESSURE; NE ATLANTIC; RNA GENES; DI-GMP; SEQUENCE; PROKARYOTES; VIRUSES</t>
  </si>
  <si>
    <t>Deep-sea sediment is one of the most important microbial-driven ecosystems, yet it is not well characterized. Genome sequence analyses of deep-sea sedimentary bacteria would shed light on the understanding of this ecosystem. In this study, the complete genome of deep-sea sedimentary bacterium Pseudoalteromonas sp. SM9913 (SM9913) is described and compared with that of the closely related Antarctic surface sea-water ecotype Pseudoalteromonas haloplanktis TAC125 (TAC125). SM9913 has fewer dioxygenase genes than TAC125, indicating a possible sensitivity to reactive oxygen species. Accordingly, experimental results showed that SM9913 was less tolerant of H2O2 than TAC125. SM9913 has gene clusters related to both polar and lateral flagella biosynthesis. Lateral flagella, which are usually present in deep-sea bacteria and absent in the related surface bacteria, are important for the survival of SM9913 in deep-sea environments. With these two flagellar systems, SM9913 can swim in sea water and swarm on the sediment particle surface, favoring the acquisition of nutrients from particulate organic matter and reflecting the particle-associated alternative lifestyle of SM9913 in the deep sea. A total of 12 genomic islands were identified in the genome of SM9913 that may confer specific features unique to SM9913 and absent from TAC125, such as drug and heavy metal resistance. Many signal transduction genes and a glycogen production operon were also present in the SM9913 genome, which may help SM9913 respond to food pulses and store carbon and energy in a deep-sea environment. The ISME Journal (2011) 5, 274-284; doi:10.1038/ismej.2010.103; published online 12 August 2010</t>
  </si>
  <si>
    <t>[Qin, Qi-Long; Zhang, Yan-Jiao; Zhang, Wei-Xin; Chen, Xiu-Lan; Zhang, Xi-Ying; Zhou, Bai-Cheng; Zhang, Yu-Zhong] Shandong Univ, State Key Lab Microbial Technol, Marine Biotechnol Res Ctr, Jinan 250100, Peoples R China; [Li, Yang; Zhou, Zhe-Min; Wang, Lei] Nankai Univ, State Key Lab Microbial Technol, TEDA Sch Biol Sci &amp; Biotechnol, Tianjin 300071, Peoples R China</t>
  </si>
  <si>
    <t>Shandong University; Nankai University</t>
  </si>
  <si>
    <t>Zhang, YZ (corresponding author), Shandong Univ, State Key Lab Microbial Technol, Marine Biotechnol Res Ctr, Jinan 250100, Peoples R China.</t>
  </si>
  <si>
    <t>zhangyz@sdu.edu.cn</t>
  </si>
  <si>
    <t>Yan, Miaochen/JLL-5061-2023; Wang, Lei/C-5176-2009; Zhou, Zhemin/AAX-5539-2020; Zhang, Xi/HJH-1211-2023; lan, lan/JWO-3679-2024; Wang, zijun/JNS-5435-2023</t>
  </si>
  <si>
    <t>Wang, Lei/0000-0003-4427-0881; Zhou, Zhemin/0000-0001-9783-0366; Zhang, Yu-Zhong/0000-0002-2017-1005</t>
  </si>
  <si>
    <t>National Natural Science Foundation of China [30770040]; Hi-Tech Research and Development program of China [2007AA091903, 2007AA021306]; COMRA [DYXM-115-02-2-6]</t>
  </si>
  <si>
    <t>National Natural Science Foundation of China(National Natural Science Foundation of China (NSFC)); Hi-Tech Research and Development program of China(National High Technology Research and Development Program of China); COMRA</t>
  </si>
  <si>
    <t>We thank Yi Ren for his help in sequence assembly and data analysis. The work was supported by National Natural Science Foundation of China (30770040), Hi-Tech Research and Development program of China (2007AA091903, 2007AA021306) and COMRA Program (DYXM-115-02-2-6).</t>
  </si>
  <si>
    <t>NATURE PUBLISHING GROUP</t>
  </si>
  <si>
    <t>LONDON</t>
  </si>
  <si>
    <t>MACMILLAN BUILDING, 4 CRINAN ST, LONDON N1 9XW, ENGLAND</t>
  </si>
  <si>
    <t>1751-7362</t>
  </si>
  <si>
    <t>1751-7370</t>
  </si>
  <si>
    <t>ISME J</t>
  </si>
  <si>
    <t>ISME J.</t>
  </si>
  <si>
    <t>10.1038/ismej.2010.103</t>
  </si>
  <si>
    <t>Ecology; Microbiology</t>
  </si>
  <si>
    <t>Environmental Sciences &amp; Ecology; Microbiology</t>
  </si>
  <si>
    <t>756NS</t>
  </si>
  <si>
    <t>Bronze, Green Published</t>
  </si>
  <si>
    <t>WOS:000290020000012</t>
  </si>
  <si>
    <t>Raymond, B; McInnes, J; Dambacher, JM; Way, S; Bergstrom, DM</t>
  </si>
  <si>
    <t>Raymond, Ben; McInnes, Julie; Dambacher, Jeffrey M.; Way, Sarah; Bergstrom, Dana M.</t>
  </si>
  <si>
    <t>Qualitative modelling of invasive species eradication on subantarctic Macquarie Island</t>
  </si>
  <si>
    <t>JOURNAL OF APPLIED ECOLOGY</t>
  </si>
  <si>
    <t>cats; conservation; invasive species; mice; rabbits; rats; starlings; subantarctic island; uncertainty</t>
  </si>
  <si>
    <t>BURROW-NESTING PETRELS; DECISION-ANALYSIS; PEST-MANAGEMENT; COMMUNITY; RABBITS; INDETERMINACY; VEGETATION; STABILITY</t>
  </si>
  <si>
    <t>P&gt;1. Invaded ecosystems present complex management issues. This problem is exacerbated in many situations by a lack of knowledge about the ecosystem. However, delaying conservation action to collect further data and so reduce such uncertainty is often either impractical or inadvisable. 2. The Macquarie Island Pest Eradication Project, currently underway, is attempting to eradicate rabbits, rats, and mice from the island. We undertook qualitative modelling of this project, examining a range of likely outcomes and their possible ecological consequences. The results were aggregated across a large number of possible models, in order to account for uncertainty concerning interactions within the ecosystem. 3. The results strongly support the current actions of simultaneous eradication of all three pest species, as simulated eradications of only one or two generally led to continued impacts on the island's native biota. The results also provided support for the anticipated positive outcomes of the project, with predicted recoveries of tall tussock vegetation, and burrow- and surface-nesting seabirds. 4. However, the model predictions also highlighted potential risks: the eradication of mice from the island may not succeed, due in part to the structural position of this species within the ecosystem. Successful eradication of all three target species could potentially release the self-introduced, non-native redpolls and starlings, allowing expansion of their populations, with possible impacts on macro-invertebrates and vegetation. 5. Synthesis and applications. These results demonstrate that qualitative modelling approaches can in some cases deliver consistent results, despite high levels of uncertainty regarding interactions within the underlying ecosystem. Such outcomes can provide assistance in the development of strategic contingency plans and ongoing future management action.</t>
  </si>
  <si>
    <t>[Raymond, Ben; Bergstrom, Dana M.] Dept Sustainabil Environm Water Populat &amp; Commun, Australian Antarctic Div, Kingston, Tas 7050, Australia; [McInnes, Julie; Way, Sarah] Dept Primary Ind Pk Water &amp; Environm, Pk &amp; Wildlife Serv, Hobart, Tas 7001, Australia; [Dambacher, Jeffrey M.] CSIRO Math Informat &amp; Stat, Hobart, Tas 7001, Australia</t>
  </si>
  <si>
    <t>Australian Antarctic Division; Commonwealth Scientific &amp; Industrial Research Organisation (CSIRO)</t>
  </si>
  <si>
    <t>Raymond, B (corresponding author), Dept Sustainabil Environm Water Populat &amp; Commun, Australian Antarctic Div, 203 Channel Highway, Kingston, Tas 7050, Australia.</t>
  </si>
  <si>
    <t>ben.raymond@aad.gov.au</t>
  </si>
  <si>
    <t>Bergstrom, Dana/AAC-2837-2022; McInnes, Julie C/C-2865-2014</t>
  </si>
  <si>
    <t>Bergstrom, Dana/0000-0001-8484-8954; McInnes, Julie/0000-0001-8902-5199</t>
  </si>
  <si>
    <t>0021-8901</t>
  </si>
  <si>
    <t>1365-2664</t>
  </si>
  <si>
    <t>J APPL ECOL</t>
  </si>
  <si>
    <t>J. Appl. Ecol.</t>
  </si>
  <si>
    <t>10.1111/j.1365-2664.2010.01916.x</t>
  </si>
  <si>
    <t>Biodiversity Conservation; Ecology</t>
  </si>
  <si>
    <t>703RX</t>
  </si>
  <si>
    <t>WOS:000286000100022</t>
  </si>
  <si>
    <t>Lukianova, R; Mursula, K</t>
  </si>
  <si>
    <t>Lukianova, R.; Mursula, K.</t>
  </si>
  <si>
    <t>Changed relation between sunspot numbers, solar UV/EUV radiation and TSI during the declining phase of solar cycle 23</t>
  </si>
  <si>
    <t>JOURNAL OF ATMOSPHERIC AND SOLAR-TERRESTRIAL PHYSICS</t>
  </si>
  <si>
    <t>Solar cycle; Sunspot numbers; UV radiation; Ionospheric ionization</t>
  </si>
  <si>
    <t>TOTAL IRRADIANCE; EUV; INDEX; TREND; FLUX</t>
  </si>
  <si>
    <t>We study the mutual relation of sunspot numbers and several proxies of solar UV/EUV radiation, such as the F10.7 radio flux, the Hel 1083 nm equivalent width and the solar MgII core-to-wing ratio. It has been noted earlier that the relation between these solar activity parameters changed in 2001/2002, during a large enhancement of solar activity in the early declining phase of solar cycle 23. This enhancement (the secondary peak after the Gnevyshev gap) forms the maximum of solar UV/EUV parameters during solar cycle 23. We note that the changed mutual relation between sunspot numbers and UV/EUV proxies continues systematically during the whole declining phase of solar cycle 23, with the UV/EUV proxies attaining relatively larger values for the same sunspot number than during the several decennia prior to this time. We have also verified this evolution using the indirect solar UV/EUV proxy given by a globally averaged f(0)(F2) frequency of the ionospheric F2 layer. We also note of a simultaneous, systematic change in the relation between the sunspot numbers and the total solar irradiance, which follow an exceptionally steep relation leading to a new minimum. Our results suggest that the reduction of sunspot magnetic fields (probably photospheric fields in general), started quite abruptly in 2001/2002. While these changes do not similarly affect the chromospheric UV/EUV emissions, the TSI suffers an even more dramatic reduction, which cannot be understood in terms of the photospheric field reduction only. However, the changes in TSI are seen to be simultaneous to those in sunspots, so most likely being due to the same ultimate cause. (C) 2010 Elsevier Ltd. All rights reserved.</t>
  </si>
  <si>
    <t>[Mursula, K.] Univ Oulu, Oulu, Finland; [Lukianova, R.] Arctic &amp; Antarctic Res Inst, St Petersburg 199226, Russia; [Lukianova, R.] Space Res Inst, Moscow, Russia</t>
  </si>
  <si>
    <t>University of Oulu; Arctic &amp; Antarctic Research Institute; Russian Academy of Sciences; Space Research Institute of the Russian Academy of Sciences</t>
  </si>
  <si>
    <t>Mursula, K (corresponding author), Univ Oulu, Oulu, Finland.</t>
  </si>
  <si>
    <t>kalevi.mursula@oulu.fi</t>
  </si>
  <si>
    <t>Mursula, Kalevi/L-8952-2014; Lukianova, Renata/K-3293-2012</t>
  </si>
  <si>
    <t>Mursula, Kalevi/0000-0003-4892-5056; Lukianova, Renata/0000-0003-2343-9174</t>
  </si>
  <si>
    <t>European Community [FP7/2007-2013, 218816]; Academy of Finland [128189]; RFBR [09-05-00232]</t>
  </si>
  <si>
    <t>European Community; Academy of Finland(Research Council of Finland); RFBR(Russian Foundation for Basic Research (RFBR))</t>
  </si>
  <si>
    <t>The research leading to these results has received funding from the European Community's Seventh Framework Programme (FP7/2007-2013) under Grant agreement no. 218816 (Soteria project). K.M. acknowledges the financial support by the Academy of Finland to the HISSI Research Project no. 128189. R.L. acknowledges the support by the RFBR Grant 09-05-00232. We acknowledge the service of sunspots, F 10.7 index (ftp://ftp.ngdc.noaa.gov/STP/SOLAR_DATA/) and the f 0(F2) data (http://spidr.ngdc.noaa.gov/spidr/) by NOAA/NGDC, and the MgII index (http://lasp.colorado.edu/lisird/mgii/mgii.html) by LASP, University of Colorado. The TSI composites were obtained from PMOD (http://www.pmodwrc.ch/) and ACRIM groups (http://www.acrim.com/). He1083 data are produced by NSF/NOAO, NASA/GSFC and NOAA/SEC (http://nsokp.nso.edu/).</t>
  </si>
  <si>
    <t>1364-6826</t>
  </si>
  <si>
    <t>1879-1824</t>
  </si>
  <si>
    <t>J ATMOS SOL-TERR PHY</t>
  </si>
  <si>
    <t>J. Atmos. Sol.-Terr. Phys.</t>
  </si>
  <si>
    <t>2-3</t>
  </si>
  <si>
    <t>SI</t>
  </si>
  <si>
    <t>10.1016/j.jastp.2010.04.002</t>
  </si>
  <si>
    <t>Geochemistry &amp; Geophysics; Meteorology &amp; Atmospheric Sciences</t>
  </si>
  <si>
    <t>717NS</t>
  </si>
  <si>
    <t>WOS:000287055300008</t>
  </si>
  <si>
    <t>Artamonova, I; Veretenenko, S</t>
  </si>
  <si>
    <t>Artamonova, Irina; Veretenenko, Svetlana</t>
  </si>
  <si>
    <t>Galactic cosmic ray variation influence on baric system dynamics at middle latitudes</t>
  </si>
  <si>
    <t>Solar effects; Forbush decreases; Cyclonic activity; Pressure variations</t>
  </si>
  <si>
    <t>SOLAR PROTON EVENTS; FORBUSH-DECREASES; POSSIBLE CONNECTIONS; NORTH-ATLANTIC; CLOUD COVERAGE; CLIMATE; VARIABILITY; ATMOSPHERE; WEATHER; IMPACT</t>
  </si>
  <si>
    <t>Variations of atmospheric pressure in the North Atlantic region during Forbush decreases of galactic cosmic rays were investigated. A noticeable pressure growth with the maximum on the 3rd and 4th days after the Forbush decrease onsets was revealed over Scandinavia and the northern region of the European part of Russia. It was shown that the observed pressure growth was caused by the formation of blocking anticyclones in the region of the climatic Arctic front, as well as by the sharp slowing of the movement of North Atlantic cyclones. It was suggested that the particles that precipitate in the regions of the climatic Arctic and Polar fronts, with the minimum energies E similar to 20-80 MeV and similar to 2-3 GeV, respectively, may influence the processes of cyclone and anticyclone formation and development at extratropical latitudes. (C) 2010 Elsevier Ltd. All rights reserved.</t>
  </si>
  <si>
    <t>[Artamonova, Irina] St Petersburg State Univ, St Petersburg, Russia; [Veretenenko, Svetlana] Russian Acad Sci, AF Ioffe Physicotech Inst, St Petersburg 196140, Russia</t>
  </si>
  <si>
    <t>Saint Petersburg State University; Russian Academy of Sciences; St. Petersburg Scientific Centre of the Russian Academy of Sciences; Ioffe Physical Technical Institute</t>
  </si>
  <si>
    <t>Artamonova, I (corresponding author), St Petersburg State Univ, St Petersburg, Russia.</t>
  </si>
  <si>
    <t>artirin@yandex.ru</t>
  </si>
  <si>
    <t>Veretenenko, Svetlana/F-3341-2014; Artamonova, Irina/AAZ-8663-2021</t>
  </si>
  <si>
    <t>Department of Physical Sciences of the Russian Academy of Sciences [VI-15]</t>
  </si>
  <si>
    <t>Department of Physical Sciences of the Russian Academy of Sciences(Russian Academy of Sciences)</t>
  </si>
  <si>
    <t>This work was partly supported by the Program of the Department of Physical Sciences of the Russian Academy of Sciences Plasma processes in the Solar system (VI-15). Authors thank Dr. V.V. Ivanov and Dr. V.A. Uliev (Arctic and Antarctic Research Institute, St. Petersburg) for the help in obtaining the weather charts and for the useful discussion, as well as the reviewers for the interesting and detailed comments.</t>
  </si>
  <si>
    <t>10.1016/j.jastp.2010.05.004</t>
  </si>
  <si>
    <t>WOS:000287055300024</t>
  </si>
  <si>
    <t>Laken, BA; Kniveton, DR</t>
  </si>
  <si>
    <t>Laken, Benjamin A.; Kniveton, Dominic R.</t>
  </si>
  <si>
    <t>Forbush decreases and Antarctic cloud anomalies in the upper troposphere</t>
  </si>
  <si>
    <t>Cosmic ray; Forbush decrease; Cloud change; Atmospheric ionisation</t>
  </si>
  <si>
    <t>COSMIC-RAYS; VARIABILITY; COVERAGE; CLIMATE</t>
  </si>
  <si>
    <t>We demonstrate evidence that past composite based studies centred around the onset of Forbush decrease (FD) events may have improperly isolated the maximal galactic cosmic ray (GCR) decrease associated with the FD events. After an adjustment of the composite to account for such shortcomings we find indications of anomalous cloud cover decreases (of around 3%) located in the upper levels of the troposphere at high southern latitudes. These cloud changes are detectable after latitudinal averaging, suggesting the possibility of a second order relationship between the rate of GCR flux and cloud cover in this region. The maximal cloud change is observed in advance of the maximal GCR decrease; this implies that if the observed cloud changes bear a causal relationship to the rate of GCR flux, then cloud properties may be sensitive to changes in GCR conditions rather than the maximal deviations themselves. (C) 2010 Elsevier Ltd. All rights reserved.</t>
  </si>
  <si>
    <t>[Laken, Benjamin A.; Kniveton, Dominic R.] Univ Sussex, Dept Geog, Brighton BN1 9QJ, E Sussex, England</t>
  </si>
  <si>
    <t>University of Sussex</t>
  </si>
  <si>
    <t>Laken, BA (corresponding author), Univ Sussex, Dept Geog, Brighton BN1 9QJ, E Sussex, England.</t>
  </si>
  <si>
    <t>bal22@sussex.ac.uk</t>
  </si>
  <si>
    <t>NSF [ATM-0000315]; University of Sussex</t>
  </si>
  <si>
    <t>NSF(National Science Foundation (NSF)); University of Sussex</t>
  </si>
  <si>
    <t>The authors would like to acknowledge the National Space Science Data Centre OMNIWeb database, the National Geophysical Data Centre SPIDR project, the international satellite cloud climatology program (ISCCP) for space studies available from the International Satellite Cloud Climatology project web site at http://isccp.giss.nasa.gov/ maintained by the ISCCP research group at the NASA Goddard Institute for Space Studies, the Bartol Research Institute (supported by NSF grant ATM-0000315). The authors are grateful to the anonymous reviewers and Dan Marsh for their helpful comments, to the editor Margriet ten Napel and to the University of Sussex for its support.</t>
  </si>
  <si>
    <t>10.1016/j.jastp.2010.03.008</t>
  </si>
  <si>
    <t>WOS:000287055300025</t>
  </si>
  <si>
    <t>Marini, C; Frankignoul, C; Mignot, J</t>
  </si>
  <si>
    <t>Marini, Camille; Frankignoul, Claude; Mignot, Juliette</t>
  </si>
  <si>
    <t>Links between the Southern Annular Mode and the Atlantic Meridional Overturning Circulation in a Climate Model</t>
  </si>
  <si>
    <t>JOURNAL OF CLIMATE</t>
  </si>
  <si>
    <t>ANTARCTIC CIRCUMPOLAR CURRENT; DRAKE PASSAGE; THERMOHALINE CIRCULATION; NORTH-ATLANTIC; OCEAN CIRCULATION; SEA-ICE; POLEWARD SHIFT; VARIABILITY; ATMOSPHERE; TRANSPORT</t>
  </si>
  <si>
    <t>The links between the atmospheric southern annular mode (SAM), the Southern Ocean, and the Atlantic meridional overturning circulation (AMOC) at interannual to multidecadal time scales are investigated in a 500-yr control integration of the L'Institut Pierre-Simon Laplace Coupled Model, version 4 (IPSL CM4) climate model. The Antarctic Circumpolar Current, as described by its transport through the Drake Passage, is well correlated with the SAM at the yearly time scale, reflecting that an intensification of the westerlies south of 45 degrees S leads to its acceleration. Also in phase with a positive SAM, the global meridional overturning circulation is modified in the Southern Hemisphere, primarily reflecting a forced barotropic response. In the model, the AMOC and the SAM are linked at several time scales. An intensification of the AMOC lags a positive SAM by about 8 yr. This is due to a correlation between the SAM and the atmospheric circulation in the northern North Atlantic that reflects a symmetric ENSO influence on the two hemispheres, as well as an independent, delayed interhemispheric link driven by the SAM. Both effects lead to an intensification of the subpolar gyre and, by salinity advection, increased deep convection and a stronger AMOC. A slower oceanic link between the SAM and the AMOC is found at a multidecadal time scale. Salinity anomalies generated by the SAM enter the South Atlantic from the Drake Passage and, more importantly, the Indian Ocean; they propagate northward, eventually reaching the northern North Atlantic where, for a positive SAM, they decrease the vertical stratification and thus increase the AMOC.</t>
  </si>
  <si>
    <t>[Marini, Camille; Frankignoul, Claude; Mignot, Juliette] Univ Paris 06, LOCEAN, F-75252 Paris 05, France</t>
  </si>
  <si>
    <t>Sorbonne Universite; Museum National d'Histoire Naturelle (MNHN)</t>
  </si>
  <si>
    <t>Marini, C (corresponding author), Univ Paris 06, LOCEAN, 4 Pl Jussieu, F-75252 Paris 05, France.</t>
  </si>
  <si>
    <t>camille.marini@locean-ipsl.upmc.fr</t>
  </si>
  <si>
    <t>Mignot, Juliette/F-3138-2011</t>
  </si>
  <si>
    <t>Mignot, Juliette/0000-0002-4894-898X</t>
  </si>
  <si>
    <t>European Community [FP7/2007-2013, GA212643]; Institut Universitaire de France</t>
  </si>
  <si>
    <t>European Community; Institut Universitaire de France</t>
  </si>
  <si>
    <t>We thank G. Madec for helpful discussions, R. Msadek, C. Cassou, and F. D'Andrea for useful comments, and Bruno Blanke for making available the Lagragian tool and helping us to use it. We also thank the reviewers, whose insightful comments greatly improved the paper. The research leading to these results has received funding from the European Community's Seventh Framework Programme (FP7/2007-2013) under Grant Agreement GA212643 (THOR: Thermohaline Overturning-at Risk?, 2008-2012). CF was supported in part by the Institut Universitaire de France.</t>
  </si>
  <si>
    <t>AMER METEOROLOGICAL SOC</t>
  </si>
  <si>
    <t>BOSTON</t>
  </si>
  <si>
    <t>45 BEACON ST, BOSTON, MA 02108-3693 USA</t>
  </si>
  <si>
    <t>0894-8755</t>
  </si>
  <si>
    <t>1520-0442</t>
  </si>
  <si>
    <t>J CLIMATE</t>
  </si>
  <si>
    <t>J. Clim.</t>
  </si>
  <si>
    <t>10.1175/2010JCLI3576.1</t>
  </si>
  <si>
    <t>734AB</t>
  </si>
  <si>
    <t>WOS:000288304500004</t>
  </si>
  <si>
    <t>Alberico, NA; Roccatagliata, D</t>
  </si>
  <si>
    <t>Alberico, Natalia A.; Roccatagliata, Daniel</t>
  </si>
  <si>
    <t>ON TWO SPECIES OF DIASTYLIS (CUMACEA) FROM THE SOUTHWESTERN ATLANTIC: D. SEXPECTINATA N. SP AND D. HAMMONIAE ZIMMER, 1902</t>
  </si>
  <si>
    <t>JOURNAL OF CRUSTACEAN BIOLOGY</t>
  </si>
  <si>
    <t>Cumacea; Diastylis; South-West Atlantic; taxonomy</t>
  </si>
  <si>
    <t>SUB-ANTARCTIC WATERS; SOUTH-AMERICA; PLANIFRONS CALMAN; 1912 CRUSTACEA; MALACOSTRACA; PERACARIDA</t>
  </si>
  <si>
    <t>Diastylis sexpectinata, a new species of cumacean that extends from Sao Paulo State (Brazil) to northern Patagonia (Argentina), is herein fully described and illustrated. This species can be easily distinguished from the other members of the genus by the following combination of characters: 1) carapace with a pair of anterolateral horns and six longitudinal rows of conical teeth (middle and uppermost rows poorly developed or absent in the adult male), 2) third and fourth pereiopods of the female without rudimentary exopods, and 3) uropod endopod consisting of two articles, the proximal one in the female with 3-4 teeth on outer margin. The description of the female of Diastylis hammoniae is completed and the adult male described for the first time based on its type material and additional specimens herein reported. The type species of Leptostylis (?) mancoides was also re-examined and its synonymy with Diastylis hammoniae is proposed. The synonymy of D. hammoniae with Diastylis manca is also strongly suspected, but until additional specimens become available D. manca should be treated as species inquirenda. An identification key to the species of the genus Diastylis from Argentina and Uruguay is given.</t>
  </si>
  <si>
    <t>[Alberico, Natalia A.; Roccatagliata, Daniel] Univ Buenos Aires, Fac Ciencias Exactas &amp; Nat, Dept Biodiversidad &amp; Biol Expt, Buenos Aires, DF, Argentina</t>
  </si>
  <si>
    <t>University of Buenos Aires</t>
  </si>
  <si>
    <t>Roccatagliata, D (corresponding author), Univ Buenos Aires, Fac Ciencias Exactas &amp; Nat, Dept Biodiversidad &amp; Biol Expt, Ciudad Univ,C1428EHA, Buenos Aires, DF, Argentina.</t>
  </si>
  <si>
    <t>rocca@bg.fcen.uba.ar</t>
  </si>
  <si>
    <t>Consejo Nacional de Investigaciones Cientificas y Tecnicas, Argentina (CONICET); Universidad de Buenos Aires [UBACyT-X162]</t>
  </si>
  <si>
    <t>Consejo Nacional de Investigaciones Cientificas y Tecnicas, Argentina (CONICET)(Consejo Nacional de Investigaciones Cientificas y Tecnicas (CONICET)); Universidad de Buenos Aires(University of Buenos Aires)</t>
  </si>
  <si>
    <t>The authors are indebted to Fabrizio Scarabino and Pedro Cristales for providing us with specimens of D. sexpectinata taken by the RN Aldebaran and R/V Prof. W. Besnard, respectively, and to Diego Giberto, Marcelo Perez, Carolina Romero, Lorena Scenna, and Valeria Shimabukuro for supplying specimens of D. hammoniae. Special thanks go to Angelika Brandt and Ute Muhlenhardt-Siegel for the loan of the types of D. manca (sensu Zimmer) and D. hammoniae, and additional specimens from the Magellan Straits and Beagle Channel. We are also grateful to Karin Sindemark Kronested from the Swedish Museum of Natural History, Stockholm, and Lutz Bachmann and Ase Wilhelmsen from the Natural History Museum at the University of Oslo for confirming that neither the holotype of D. fimbriata nor that of D. manca are available in their institutions. Finally, we thank Jon Anders Kongsrud for informing to us that the holotype of D. manca is not deposited in the Bergen Museum either. This research was partially supported by the Consejo Nacional de Investigaciones Cientificas y Tecnicas, Argentina (CONICET) and the Universidad de Buenos Aires (UBACyT-X162).</t>
  </si>
  <si>
    <t>CRUSTACEAN SOC</t>
  </si>
  <si>
    <t>SAN ANTONIO</t>
  </si>
  <si>
    <t>840 EAST MULBERRY, SAN ANTONIO, TX 78212 USA</t>
  </si>
  <si>
    <t>0278-0372</t>
  </si>
  <si>
    <t>J CRUSTACEAN BIOL</t>
  </si>
  <si>
    <t>J. Crustac. Biol.</t>
  </si>
  <si>
    <t>10.1651/09-3267.1</t>
  </si>
  <si>
    <t>Marine &amp; Freshwater Biology; Zoology</t>
  </si>
  <si>
    <t>722JA</t>
  </si>
  <si>
    <t>Green Submitted, Green Published</t>
  </si>
  <si>
    <t>WOS:000287427300020</t>
  </si>
  <si>
    <t>Durso, LM; Harhay, GP; Bono, JL; Smith, TPL</t>
  </si>
  <si>
    <t>Durso, Lisa M.; Harhay, Gregory P.; Bono, James L.; Smith, Timothy P. L.</t>
  </si>
  <si>
    <t>Virulence-associated and antibiotic resistance genes of microbial populations in cattle feces analyzed using a metagenomic approach</t>
  </si>
  <si>
    <t>JOURNAL OF MICROBIOLOGICAL METHODS</t>
  </si>
  <si>
    <t>Beef; Cattle; Feces; Metagenomics; Bacterial communities</t>
  </si>
  <si>
    <t>WATER</t>
  </si>
  <si>
    <t>The bovine fecal microbiota impacts human food safety as well as animal health. Although the bacteria of cattle feces have been well characterized using culture-based and culture-independent methods, techniques have been lacking to correlate total community composition with community function. We used high throughput sequencing of total DNA extracted from fecal material to characterize general community composition and examine the repertoire of microbial genes present in beef cattle feces, including genes associated with antibiotic resistance and bacterial virulence. Results suggest that traditional 165 sequencing using universal primers to generate full-length sequence may under represent Acitinobacteria and Proteobacteria. Over eight percent (8.4%) of the sequences from our beef cattle fecal pool sample could be categorized as virulence genes, including a suite of genes associated with resistance to antibiotic and toxic compounds (RATC). This is a higher proportion of virulence genes found in Sargasso sea, chicken cecum, and cow rumen samples, but comparable to the proportion found in Antarctic marine derived lake, human fecal, and farm soil samples. The quantitative nature of metagenomic data, combined with the large number of RATC classes represented in samples from widely different habitats indicates that metagenomic data can be used to track relative amounts of antibiotic resistance genes in individual animals over time. Consequently, these data can be used to generate sample-specific and temporal antibiotic resistance gene profiles to facilitate an understanding of the ecology of the microbial communities in each habitat as well as the epidemiology of antibiotic resistant gene transport between and among habitats. Published by Elsevier B.V.</t>
  </si>
  <si>
    <t>[Durso, Lisa M.] ARS, USDA, Agroecosyst Mangagement Res Unit, Lincoln, NE 68983 USA; [Harhay, Gregory P.; Bono, James L.; Smith, Timothy P. L.] ARS, USDA, US Meat Anim Res Ctr, Clay Ctr, NE 68933 USA</t>
  </si>
  <si>
    <t>United States Department of Agriculture (USDA); United States Department of Agriculture (USDA)</t>
  </si>
  <si>
    <t>Durso, LM (corresponding author), ARS, USDA, Agroecosyst Mangagement Res Unit, Room 121,Keim Hall,UNL E Campus, Lincoln, NE 68983 USA.</t>
  </si>
  <si>
    <t>lisa.durso@ars.usda.gov</t>
  </si>
  <si>
    <t>Harhay, Gregory/AAC-5411-2022</t>
  </si>
  <si>
    <t>Harhay, Gregory/0000-0002-0129-6822</t>
  </si>
  <si>
    <t>USDA, ARS [108]</t>
  </si>
  <si>
    <t>USDA, ARS(United States Department of Agriculture (USDA)USDA Agricultural Research Service)</t>
  </si>
  <si>
    <t>We thank R. Mlejnek S. Simcox, R. Lee, S. Fryda-Bradley, J. Frohner, J. LaBrie, and Myron Coleman for technical assistance, the MARC cattle crew for animal care, and support from the USDA, ARS, National Program 108.</t>
  </si>
  <si>
    <t>0167-7012</t>
  </si>
  <si>
    <t>1872-8359</t>
  </si>
  <si>
    <t>J MICROBIOL METH</t>
  </si>
  <si>
    <t>J. Microbiol. Methods</t>
  </si>
  <si>
    <t>10.1016/j.mimet.2010.12.008</t>
  </si>
  <si>
    <t>Biochemical Research Methods; Microbiology</t>
  </si>
  <si>
    <t>Biochemistry &amp; Molecular Biology; Microbiology</t>
  </si>
  <si>
    <t>729LM</t>
  </si>
  <si>
    <t>WOS:000287951200020</t>
  </si>
  <si>
    <t>Liu, XD; Sun, J; Sun, LG; Liu, WQ; Wang, YH</t>
  </si>
  <si>
    <t>Liu, Xiaodong; Sun, Jing; Sun, Liguang; Liu, Wenqi; Wang, Yuhong</t>
  </si>
  <si>
    <t>Reflectance spectroscopy: a new approach for reconstructing penguin population size from Antarctic ornithogenic sediments</t>
  </si>
  <si>
    <t>Reflectance spectroscopy; Ornithogenic sediments; Historical penguin populations; Antarctica</t>
  </si>
  <si>
    <t>NEAR-INFRARED SPECTROSCOPY; LAKE-SEDIMENTS; ORGANIC-MATTER; SOIL PROPERTIES; ARDLEY ISLAND; WATER; CONTAMINATION; FEASIBILITY; MARITIME; SPECTRA</t>
  </si>
  <si>
    <t>Reflectance spectroscopy has several advantages compared to traditional chemical methods in paleolimnology. It requires little cost, involves minimal or no sample preparation and is rapid. There has, however, been limited use of reflectance spectroscopy in polar paleolimnological studies. This paper explores the application of reflectance spectroscopy to reconstruct historical changes in penguin population size in the maritime Antarctic. Two ornithogenic sediment cores on Ardley Island, Antarctica were analyzed. Penguin droppings and weathered soils were analyzed as reference materials. Principal component analysis and linear mixing modeling were performed on the spectral data to estimate the proportion of penguin guano in the sediments and these values were used to infer historical penguin population numbers. Historical penguin population size versus time, reconstructed from reflectance spectra, and population numbers inferred from previous geochemical analysis of bio-elements, were quite similar. Our results illustrate the feasibility of rapidly inferring historical changes in penguin population size using reflectance spectroscopy on Antarctic ornithogenic sediments. Our findings suggest that this technique has potential for reconstructing past population numbers of other seabirds and mammals using lake sediments influenced by animal excrement.</t>
  </si>
  <si>
    <t>[Liu, Xiaodong; Sun, Liguang] Univ Sci &amp; Technol China, Inst Polar Environm, Hefei 230026, Anhui, Peoples R China; [Sun, Jing] Columbia Univ, Lamont Doherty Earth Observ, Palisades, NY 10964 USA; [Liu, Wenqi] Univ Sci &amp; Technol China, Instruments Ctr Phys Sci, Hefei 230026, Anhui, Peoples R China; [Wang, Yuhong] NIH, Bethesda, MD 20892 USA</t>
  </si>
  <si>
    <t>Chinese Academy of Sciences; University of Science &amp; Technology of China, CAS; Columbia University; Chinese Academy of Sciences; University of Science &amp; Technology of China, CAS; National Institutes of Health (NIH) - USA</t>
  </si>
  <si>
    <t>Liu, XD (corresponding author), Univ Sci &amp; Technol China, Inst Polar Environm, Hefei 230026, Anhui, Peoples R China.</t>
  </si>
  <si>
    <t>ycx@ustc.edu.cn</t>
  </si>
  <si>
    <t>Sun, Jing/B-9248-2017</t>
  </si>
  <si>
    <t>Sun, Jing/0000-0002-0129-5184</t>
  </si>
  <si>
    <t>National Natural Science Foundation [40876096, 41076123, 40730107, 40606003]; SOA Key Laboratory for Polar Science [KP2007002]; CAAA [20070202]; CAS</t>
  </si>
  <si>
    <t>National Natural Science Foundation(National Natural Science Foundation of China (NSFC)); SOA Key Laboratory for Polar Science; CAAA; CAS(Chinese Academy of Sciences)</t>
  </si>
  <si>
    <t>We thank the Chinese Antarctic and Arctic Administration of National Oceanic Bureau for logistical support. This study was supported by the National Natural Science Foundation (Grant Nos. 40876096, 41076123, 40730107 and 40606003), open research fund from SOA Key Laboratory for Polar Science (KP2007002), the young fund for strategic research of the Chinese Polar Sciences from CAAA (No. 20070202), and the special fund for excellent PhD theses of CAS. We especially appreciate three anonymous reviewers for their critical reviews and careful corrections of this manuscript.</t>
  </si>
  <si>
    <t>10.1007/s10933-010-9493-6</t>
  </si>
  <si>
    <t>WOS:000286677000007</t>
  </si>
  <si>
    <t>Aumack, CF; Amsler, CD; McClintock, JB; Baker, BJ</t>
  </si>
  <si>
    <t>Aumack, Craig F.; Amsler, Charles D.; McClintock, James B.; Baker, Bill J.</t>
  </si>
  <si>
    <t>IMPACTS OF MESOGRAZERS ON EPIPHYTE AND ENDOPHYTE GROWTH ASSOCIATED WITH CHEMICALLY DEFENDED MACROALGE FROM THE WESTERN ANTARCTIC PENINSULA: A MESOCOSM EXPERIMENT</t>
  </si>
  <si>
    <t>JOURNAL OF PHYCOLOGY</t>
  </si>
  <si>
    <t>amphipods; Antarctica; endophytes; epiphytes; herbivory; macroalgae; mesocosms; mesograzers</t>
  </si>
  <si>
    <t>PLANT-HERBIVORE INTERACTIONS; EELGRASS ZOSTERA-MARINA; SUBTIDAL MACROALGAE; COMMUNITY STRUCTURE; SPECIES COMPOSITION; NUTRIENT ADDITION; SEAGRASS; ALGAE; AMPHIPODS; DEFENSES</t>
  </si>
  <si>
    <t>It has been hypothesized that the extensive mesograzer community along the western Antarctic Peninsula regulates epiphytic algae as well as emergent filaments from endophytic species. Should grazing limit growth of fouling or potentially pathogenic microphytes, then Antarctic macrophytes may actually benefit from the remarkably high densities of mesograzer amphipods that occur in these waters. Although initially counterintuitive, the negative impacts of epi/endophyte fouling may outweigh stresses caused by limited amphipod grazing on chemically defended macrophytes by reducing stress from endo/epiphyte biomass. If so, then alleviating mesograzing stress should result in significant increases in endo/epiphytic biomass. To test this hypothesis, a mesocosm experiment was conducted. Individuals representing four common species of Antarctic macroalgae were placed in flow-through seawater mesocosms. Amphipods were added to five mesocosms at simulated natural densities, while the other five remained herbivore free. At the end of 7 weeks, endo/epiphytic growth on individual macrophytes was quantified. Most species of macroalgae demonstrated noticeably higher instances of endophyte coverage, epiphytic diversity, and diatom colonization in consumer-free mesocosms than in the presence of amphipods. These data suggest that macroalgae along the western Antarctic Peninsula rely on grazers to control populations of potentially harmful epiphytes. We hypothesize that the chemically defended macroalgal flora lives in mutualism with high densities of mesograzers, providing amphipods with shelter from predation while continually being cleaned of potentially harmful endo/epiphytes.</t>
  </si>
  <si>
    <t>[Aumack, Craig F.; Amsler, Charles D.; McClintock, James B.] Univ Alabama, Dept Biol, Birmingham, AL 35294 USA; [Baker, Bill J.] Univ S Florida, Dept Chem, Tampa, FL 33620 USA</t>
  </si>
  <si>
    <t>University of Alabama System; University of Alabama Birmingham; State University System of Florida; University of South Florida</t>
  </si>
  <si>
    <t>Aumack, CF (corresponding author), Univ Alabama, Dept Biol, Birmingham, AL 35294 USA.</t>
  </si>
  <si>
    <t>aumack@uab.edu</t>
  </si>
  <si>
    <t>Baker, Bill/N-4312-2019</t>
  </si>
  <si>
    <t>Amsler, Charles/0000-0002-4843-3759</t>
  </si>
  <si>
    <t>National Science Foundation [OPP-0442769, OPP-0442857]; University of Alabama at Birmingham</t>
  </si>
  <si>
    <t>National Science Foundation(National Science Foundation (NSF)); University of Alabama at Birmingham</t>
  </si>
  <si>
    <t>We are appreciative of Gil Koplovitz, Maggie Amsler, Philip Bucolo, Alan Maschek, Dr. Jill Zamzow, and the rest of our 2007 and 2008 Antarctic field team colleagues for their field assistance. This project would not have been possible without the hard work and outstanding logistical support in Antarctica from the employees and subcontractors of Raytheon Polar Services Company. This work was supported by National Science Foundation awards OPP-0442769 (C. D. A., J. B. M.) and OPP-0442857 (B. J. B.). J. B. M. wishes to acknowledge the support provided by an Endowment in Polar and Marine Biology provided by the University of Alabama at Birmingham.</t>
  </si>
  <si>
    <t>0022-3646</t>
  </si>
  <si>
    <t>J PHYCOL</t>
  </si>
  <si>
    <t>J. Phycol.</t>
  </si>
  <si>
    <t>10.1111/j.1529-8817.2010.00927.x</t>
  </si>
  <si>
    <t>Plant Sciences; Marine &amp; Freshwater Biology</t>
  </si>
  <si>
    <t>723FT</t>
  </si>
  <si>
    <t>WOS:000287492700005</t>
  </si>
  <si>
    <t>Petrou, K; Hill, R; Doblin, MA; McMinn, A; Johnson, R; Wright, SW; Ralph, PJ</t>
  </si>
  <si>
    <t>Petrou, Katherina; Hill, Ross; Doblin, Martina A.; McMinn, Andrew; Johnson, Robert; Wright, Simon W.; Ralph, Peter J.</t>
  </si>
  <si>
    <t>PHOTOPROTECTION OF SEA-ICE MICROALGAL COMMUNITIES FROM THE EAST ANTARCTIC PACK ICE</t>
  </si>
  <si>
    <t>chl a fluorescence; fast induction curves (FICs); sea-ice microalgae; xanthophyll cycle</t>
  </si>
  <si>
    <t>DIATOM PHAEODACTYLUM-TRICORNUTUM; PHOTOSYNTHESIS-IRRADIANCE RELATIONSHIPS; DIADINOXANTHIN DE-EPOXIDASE; XANTHOPHYLL-CYCLE; EXCITATION-ENERGY; LOW-TEMPERATURE; PHOTOSYSTEM-II; MCMURDO SOUND; FRAGILARIOPSIS-CYLINDRUS; CHLOROPHYLL FLUORESCENCE</t>
  </si>
  <si>
    <t>All photosynthetic organisms endeavor to balance energy supply with demand. For sea-ice diatoms, as with all marine photoautotrophs, light is the most important factor for determining growth and carbon-fixation rates. Light varies from extremely low to often relatively high irradiances within the sea-ice environment, meaning that sea-ice algae require moderate physiological plasticity that is necessary for rapid light acclimation and photoprotection. This study investigated photoprotective mechanisms employed by bottom Antarctic sea-ice algae in response to relatively high irradiances to understand how they acclimate to the environmental conditions presented during early spring, as the light climate begins to intensify and snow and sea-ice thinning commences. The sea-ice microalgae displayed high photosynthetic plasticity to increased irradiance, with a rapid decline in photochemical efficiency that was completely reversible when placed under low light. Similarly, the photoprotective xanthophyll pigment diatoxanthin (Dt) was immediately activated but reversed during recovery under low light. The xanthophyll inhibitor dithiothreitol (DTT) and state transition inhibitor sodium fluoride (NaF) were used in under-ice in situ incubations and revealed that nonphotochemical quenching (NPQ) via xanthophyll-cycle activation was the preferred method for light acclimation and photoprotection by bottom sea-ice algae. This study showed that bottom sea-ice algae from the east Antarctic possess a high level of plasticity in their light-acclimation capabilities and identified the xanthophyll cycle as a critical mechanism in photoprotection and the preferred means by which sea-ice diatoms regulate energy flow to PSII.</t>
  </si>
  <si>
    <t>[Petrou, Katherina; Hill, Ross; Doblin, Martina A.; Ralph, Peter J.] Univ Technol, Dept Environm Sci, Broadway, NSW 2007, Australia; [McMinn, Andrew] Univ Tasmania, Hobart, Tas 7000, Australia; [Johnson, Robert; Wright, Simon W.] Australian Antarctic Div, Kingston, Tas 7050, Australia; [Johnson, Robert; Wright, Simon W.] Antarct Climate &amp; Ecosyst Cooperat Res Ctr, Kingston, Tas 7050, Australia</t>
  </si>
  <si>
    <t>University of Technology Sydney; University of Tasmania; Australian Antarctic Division</t>
  </si>
  <si>
    <t>Ralph, PJ (corresponding author), Univ Technol, Dept Environm Sci, POB 123, Broadway, NSW 2007, Australia.</t>
  </si>
  <si>
    <t>peter.ralph@uts.edu.au</t>
  </si>
  <si>
    <t>McMinn, Andrew/A-9910-2008; Hill, Ross/E-6075-2013; Ralph, Peter/L-1527-2019; Doblin, Martina/L-1804-2019; Johnson, Robert/E-7321-2012</t>
  </si>
  <si>
    <t>Hill, Ross/0000-0002-4623-1563; Ralph, Peter/0000-0002-3103-7346; Doblin, Martina/0000-0001-8750-3433; Johnson, Robert/0000-0002-5915-5416; Petrou, Katherina/0000-0002-2703-0694</t>
  </si>
  <si>
    <t>Australian Antarctic Science grant [2752]; ARC [DP0773558]; Aquatic Photosynthesis Group and Department of Environmental Sciences, University of Technology, Sydney; Australian Government through the Antarctic Climate and Ecosystems Cooperative Research Centre (ACE CRC); Australian Postgraduate Award; CSIRO; Australian Research Council [DP0773558] Funding Source: Australian Research Council</t>
  </si>
  <si>
    <t>Australian Antarctic Science grant; ARC(Australian Research Council); Aquatic Photosynthesis Group and Department of Environmental Sciences, University of Technology, Sydney; Australian Government through the Antarctic Climate and Ecosystems Cooperative Research Centre (ACE CRC)(Australian GovernmentDepartment of Industry, Innovation and ScienceCooperative Research Centres (CRC) Programme); Australian Postgraduate Award(Australian Government); CSIRO(Commonwealth Scientific &amp; Industrial Research Organisation (CSIRO)); Australian Research Council(Australian Research Council)</t>
  </si>
  <si>
    <t>We would like to thank the captain and crew of the RSV Aurora Australis, chief scientist Anthony Worby, our colleagues involved in the SIPEX project, and the Australian Government Antarctic Division for ship time and logistical support. Thanks to Neil Ralph for his expertise with building specialized equipment. This work was supported by an Australian Antarctic Science grant (2752) and ARC discovery grant (DP0773558) awarded to Peter Ralph. Additional financial support was provided by the Aquatic Photosynthesis Group and Department of Environmental Sciences, University of Technology, Sydney. This work was supported by the Australian Government's Cooperative Research Centres Programme through the Antarctic Climate and Ecosystems Cooperative Research Centre (ACE CRC). Katherina Petrou was supported by an Australian Postgraduate Award and CSIRO Flagship top up scholarship.</t>
  </si>
  <si>
    <t>10.1111/j.1529-8817.2010.00944.x</t>
  </si>
  <si>
    <t>WOS:000287492700009</t>
  </si>
  <si>
    <t>Dufour, CO; Le Sommer, J; Penduff, T; Barnier, B; England, MH</t>
  </si>
  <si>
    <t>Dufour, C. O.; Le Sommer, J.; Penduff, T.; Barnier, B.; England, M. H.</t>
  </si>
  <si>
    <t>Structure and Causes of the Pulsation Mode in the Antarctic Circumpolar Current South of Australia</t>
  </si>
  <si>
    <t>JOURNAL OF PHYSICAL OCEANOGRAPHY</t>
  </si>
  <si>
    <t>NCEP-NCAR REANALYSES; OCEAN FRONTS; VARIABILITY; TEMPERATURE; WATER; HEMISPHERE; RESOLUTION; ANOMALIES; PACIFIC; IMPACT</t>
  </si>
  <si>
    <t>The subsurface variability of potential temperature and salinity south of Australia along 130 E is studied over a 25-yr period (1980-2004). The study is done with fields provided by a global eddy-permitting model of the DRAKKAR project forced by atmospheric reanalysis. The analysis performed by C. Sun and D. R. Watts with in situ hydrographic data is repeated. Sun and Watts have investigated the EOF modes in streamfunction space along the World Ocean Circulation Experiment (WOCE) SR3 section. In particular, they found that an EOF mode, which they called the pulsation mode, strongly dominates subsurface thermohaline variations. Here, it is found that, in the model, an EOF mode with spatial structure similar to the Sun and Watts pulsation mode dominates subsurface thermohaline variations in streamfunction space. The mode displays a maximum of variability at the Subantarctic Front (SAF) between Subantarctic Mode Water (SAMW) and Antarctic Intermediate Water (AAIW). The associated time series exhibits an intermittent interseasonal frequency (3-6 months), especially during three periods (1983-84,1990, and 1994-96). Some energy is also found with a 4-yr period. Further analyses reveal that the pulsation mode can also be observed in physical space. The pulsation mode is found to be related to movements of the SAF constrained by the bathymetry of the Southeast Indian Ridge. The pulsation mode displays many similarities with cold-core eddy events rather than being related to variations of the westerly wind stress, as previously proposed. The impact of those events on SAMW properties remains unclear.</t>
  </si>
  <si>
    <t>[Dufour, C. O.; Le Sommer, J.; Penduff, T.; Barnier, B.] CNRS UJF INPG, Lab Ecoulements Geophys &amp; Ind, F-38041 Grenoble 9, France; [Penduff, T.] Florida State Univ, Dept Oceanog, Tallahassee, FL 32306 USA; [England, M. H.] Univ New S Wales, Climate Change Res Ctr, Sydney, NSW, Australia</t>
  </si>
  <si>
    <t>Communaute Universite Grenoble Alpes; Institut National Polytechnique de Grenoble; Universite Grenoble Alpes (UGA); Centre National de la Recherche Scientifique (CNRS); State University System of Florida; Florida State University; University of New South Wales Sydney</t>
  </si>
  <si>
    <t>Dufour, CO (corresponding author), CNRS UJF INPG, Lab Ecoulements Geophys &amp; Ind, BP53, F-38041 Grenoble 9, France.</t>
  </si>
  <si>
    <t>carolina.dufour@hmg.inpg.fr</t>
  </si>
  <si>
    <t>Penduff, Thierry/AAH-6554-2021; England, Matthew/A-7539-2011; Barnier, Bernard/F-2400-2016; Le Sommer, Julien/ABG-8801-2021; Dufour, Carolina/GZA-9986-2022</t>
  </si>
  <si>
    <t>Penduff, Thierry/0000-0002-0407-8564; England, Matthew/0000-0001-9696-2930; Le Sommer, Julien/0000-0002-6882-2938; Dufour, Carolina/0000-0002-1441-3880</t>
  </si>
  <si>
    <t>CNRS; French CEA (Commissariat a l'Energie Atomique); French Centre National de la Recherche Scientifique (CNRS); Australian Research Council; Australia's Antarctic Science Program</t>
  </si>
  <si>
    <t>CNRS(Centre National de la Recherche Scientifique (CNRS)); French CEA (Commissariat a l'Energie Atomique)(French Atomic Energy Commission); French Centre National de la Recherche Scientifique (CNRS)(Centre National de la Recherche Scientifique (CNRS)); Australian Research Council(Australian Research Council); Australia's Antarctic Science Program</t>
  </si>
  <si>
    <t>Financial support from the CNRS through the LEFE-IDAO program is gratefully acknowledged. Technical support by J. M. Molines was also much appreciated. Simulations with the ORCA025 model were carried out at the CNRS IDRIS super computer facility in Orsay. For this project, C. O. Dufour was partially supported by the French CEA (Commissariat a l'Energie Atomique). J. Le Sommer, T. Penduff, and B. Barnier are supported by the French Centre National de la Recherche Scientifique (CNRS). M. H. England is supported by the Australian Research Council and Australia's Antarctic Science Program.</t>
  </si>
  <si>
    <t>45 BEACON ST, BOSTON, MA 02108-3693, UNITED STATES</t>
  </si>
  <si>
    <t>0022-3670</t>
  </si>
  <si>
    <t>1520-0485</t>
  </si>
  <si>
    <t>J PHYS OCEANOGR</t>
  </si>
  <si>
    <t>J. Phys. Oceanogr.</t>
  </si>
  <si>
    <t>10.1175/2010JPO4193.1</t>
  </si>
  <si>
    <t>734AE</t>
  </si>
  <si>
    <t>WOS:000288304800001</t>
  </si>
  <si>
    <t>Guillot, MG; Escayola, M; Acevedo, R</t>
  </si>
  <si>
    <t>Gonzalez Guillot, Mauricio; Escayola, Monica; Acevedo, Rogelio</t>
  </si>
  <si>
    <t>Calc-alkaline rear-arc magmatism in the Fuegian Andes: Implications for the mid-cretaceous tectonomagmatic evolution of southernmost South America</t>
  </si>
  <si>
    <t>JOURNAL OF SOUTH AMERICAN EARTH SCIENCES</t>
  </si>
  <si>
    <t>Rear-arc magmatism; Source enrichment; Slab flattening; Fuegian Andes</t>
  </si>
  <si>
    <t>NAZCA PLATE BENEATH; PATAGONIAN BATHOLITH; METAMORPHIC COMPLEX; ANTARCTIC PENINSULA; MAGNESIAN ANDESITES; TECTONIC EVOLUTION; SUBDUCTION EROSION; CONTINENTAL-CRUST; CORDILLERA-DARWIN; MARGINAL BASIN</t>
  </si>
  <si>
    <t>The magmatic arc of the Fuegian Andes is composed mostly of Upper Mesozoic to Cenozoic calc-alkaline plutons and subordinated lavas. To the rear arc, however, isolated mid-Cretaceous monzonitic plutons and small calc-alkaline dykes and sills crop out. This calc-alkaline unit (the Ushuaia Peninsula Andesites, UPA) includes hornblende-rich, porphyritic quartz meladiorites, granodiorites, andesites, dacites and lamprophyres. Radiometric dating and cross-cutting relationships indicate that UPA is younger than the monzonitic suite. The geochemistry of UPA is medium to high K, with high LILE (Ba 500-2000 ppm, Sr 800-1400 ppm), HFSE (Th 7-23 ppm, Nb 7-13 ppm, Ta 0.5-1.1 ppm) and LREE (La 16-51 ppm) contents, along with relatively low HREE (Yb 1.7-1.3 ppm) and Y (9-19 ppm). The similar mineralogy and geochemistry of all UPA rocks suggest they evolved from a common parental magma, by low pressure crystal fractionation, without significant crustal assimilation. A pure Rayleigh fractionation model indicates that 60-65% of crystal fractionation of 60% hornblende + 34% plagioclase + 4% clinopyroxene + 1% Fe-Ti oxide, apatite and sphene (a paragenesis similar of UPA mafic rocks) can explain evolution from lamprophyres to dacites. The UPA has higher LILE. HFSE and LREE, and lower HREE and Y than the calc-alkaline plutons and lavas of the volcanic front. The HREE and Y are lower than in the potassic plutons as well. High concentrations of Th, Nb, Ta, Zr, Hf, LREE and Ce/Pb, and low U/Th, Ba/Th ratios in UPA, even in the least differentiated samples, suggest contributions from subducted sediments to the mantle source. On the other hand, relatively low HREE and Y, high LREE/HREE (La/Yb 11-38) ratios and Nb-Ta contents can be interpreted as mantle metasomatism by partial melts of either subducted garnetiferous oceanic sediment or basalt as well. Additionally, high LILE content in UPA, similar to the potassic plutons, suggests also a mantle wedge previously metasomatized by potassic parental magmas in their route to crustal levels. Therefore, UPA represents a unique suite in the Fuegian arc generated in a multiple hybridized source. UPA generation is related to a transition from normal to flat subduction which additionally caused the widening and landward migration of the magmatic arc, as well as crustal deformation. Rear-arc magmatism endured ca. 22 my.; afterwards, calc-alkaline magmatism remained at the volcanic front. (C) 2010 Elsevier Ltd. All rights reserved.</t>
  </si>
  <si>
    <t>[Gonzalez Guillot, Mauricio; Acevedo, Rogelio] Consejo Nacl Invest Cient &amp; Tecn, CADIC, Ushuaia, Argentina; [Escayola, Monica] Univ Buenos Aires, Lab Tecton Andina, RA-1053 Buenos Aires, DF, Argentina</t>
  </si>
  <si>
    <t>Consejo Nacional de Investigaciones Cientificas y Tecnicas (CONICET); University of Buenos Aires</t>
  </si>
  <si>
    <t>Guillot, MG (corresponding author), Consejo Nacl Invest Cient &amp; Tecn, CADIC, B Houssay 200,V9410BFD, Ushuaia, Argentina.</t>
  </si>
  <si>
    <t>g_guillot@cadic-conicet.gob.ar; mescayola@gl.fcen.ar; acevedo@cadic-conicet.gob.ar</t>
  </si>
  <si>
    <t>Acevedo, Rogelio/ADN-4652-2022</t>
  </si>
  <si>
    <t>Acevedo, Rogelio/0000-0001-6224-3030</t>
  </si>
  <si>
    <t>Argentinean National Research Council [PIP CONICET 6535]; Federal Investment Council, CFI [1502]</t>
  </si>
  <si>
    <t>Argentinean National Research Council; Federal Investment Council, CFI(Canada Foundation for Innovation)</t>
  </si>
  <si>
    <t>This work was financed by the Argentinean National Research Council (project PIP CONICET 6535, M. Escayola) and by the Federal Investment Council, CFI (project: Dimension Rocks Prospection in Isla Grande of Tierra del Fuego, CONICET resolution No. 1502, R. Acevedo).</t>
  </si>
  <si>
    <t>0895-9811</t>
  </si>
  <si>
    <t>J S AM EARTH SCI</t>
  </si>
  <si>
    <t>J. South Am. Earth Sci.</t>
  </si>
  <si>
    <t>10.1016/j.jsames.2010.11.002</t>
  </si>
  <si>
    <t>722JB</t>
  </si>
  <si>
    <t>WOS:000287427400001</t>
  </si>
  <si>
    <t>Hoffman, JI; Clarke, A; Linse, K; Peck, LS</t>
  </si>
  <si>
    <t>Hoffman, J. I.; Clarke, A.; Linse, K.; Peck, L. S.</t>
  </si>
  <si>
    <t>Effects of brooding and broadcasting reproductive modes on the population genetic structure of two Antarctic gastropod molluscs</t>
  </si>
  <si>
    <t>MARINE BIOLOGY</t>
  </si>
  <si>
    <t>GENOTYPING ERRORS; LIFE-HISTORY; MARINE; DISPERSAL; CONNECTIVITY; PENINSULA; PHYLOGEOGRAPHY; INVERTEBRATES; CONSEQUENCES; DIVERSITY</t>
  </si>
  <si>
    <t>Life-history characteristics exert a profound influence upon the population structure of many marine organisms. However, relatively few genetic studies have compared direct with indirect-developing species in the same ecosystem or geographical region, and none to our knowledge within an Antarctic setting. To address this issue, we have collected novel amplified fragment length polymorphism (AFLP) data from the direct-developing top shell Margarella antarctica to form a comparison with previously published data for the broadcast-spawning Antarctic limpet Nacella concinna. We scored 270 loci in 240 M. antarctica individuals sampled from five populations spanning the full length of the Antarctic Peninsula. Profound differences were identified in the strength and pattern of population structure between the two species, consistent with gene flow being highly restricted in M. antarctica relative to N. concinna.</t>
  </si>
  <si>
    <t>[Hoffman, J. I.] Univ Bielefeld, Dept Anim Behav, D-33501 Bielefeld, Germany; [Clarke, A.; Linse, K.; Peck, L. S.] British Antarctic Survey, Nat Environm Res Council, Cambridge CB3 0ET, England</t>
  </si>
  <si>
    <t>University of Bielefeld; UK Research &amp; Innovation (UKRI); Natural Environment Research Council (NERC); NERC British Antarctic Survey</t>
  </si>
  <si>
    <t>Hoffman, JI (corresponding author), Univ Bielefeld, Dept Anim Behav, Postfach 100131, D-33501 Bielefeld, Germany.</t>
  </si>
  <si>
    <t>j_i_hoffman@hotmail.com</t>
  </si>
  <si>
    <t>; Hoffman, Joseph/K-7725-2012</t>
  </si>
  <si>
    <t>Linse, Katrin/0000-0003-3477-3047; Hoffman, Joseph/0000-0001-5895-8949</t>
  </si>
  <si>
    <t>Natural Environment Research Council (NERC); Natural Environment Research Council [bas0100025, dml011000] Funding Source: researchfish; NERC [bas0100025, dml011000] Funding Source: UKRI</t>
  </si>
  <si>
    <t>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</si>
  <si>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This manuscript was produced within the BAS Q4 BIOREACH/BIOFLAME core program. Samples were collected during the British Antarctic Survey Peninsula Geneflow cruise in 1999. We thank the dive team, officers and crew of RRS Bransfield for their support in the collection of these samples and the late Martin White for considerable help and support with sample design and logistical aspects. We are also grateful to Peter Fretwell for generating the map of sampling locations. JIH was supported by a Natural Environment Research Council (NERC) British Antarctic Survey (BAS) Strategic Alliance Fellowship.</t>
  </si>
  <si>
    <t>SPRINGER HEIDELBERG</t>
  </si>
  <si>
    <t>HEIDELBERG</t>
  </si>
  <si>
    <t>TIERGARTENSTRASSE 17, D-69121 HEIDELBERG, GERMANY</t>
  </si>
  <si>
    <t>0025-3162</t>
  </si>
  <si>
    <t>1432-1793</t>
  </si>
  <si>
    <t>MAR BIOL</t>
  </si>
  <si>
    <t>Mar. Biol.</t>
  </si>
  <si>
    <t>10.1007/s00227-010-1558-6</t>
  </si>
  <si>
    <t>706II</t>
  </si>
  <si>
    <t>WOS:000286211200004</t>
  </si>
  <si>
    <t>Mackley, EK; Phillips, RA; Silk, JRD; Wakefield, ED; Afanasyev, V; Furness, RW</t>
  </si>
  <si>
    <t>Mackley, Elizabeth K.; Phillips, Richard A.; Silk, Janet R. D.; Wakefield, Ewan D.; Afanasyev, Vsevolod; Furness, Robert W.</t>
  </si>
  <si>
    <t>At-sea activity patterns of breeding and nonbreeding white-chinned petrels Procellaria aequinoctialis from South Georgia</t>
  </si>
  <si>
    <t>FORAGING STRATEGIES; LONGLINE FISHERY; PELAGIC SEABIRD; DIVING DEPTHS; ALBATROSS; MOVEMENTS; MORTALITY; BEHAVIOR; SHEARWATER; INSIGHTS</t>
  </si>
  <si>
    <t>Despite the recent burgeoning in predator tracking studies, few report on seabird activity patterns, despite the potential to provide important insights into foraging ecology and distribution. In the first year-round study for any small petrel, we examined the activity patterns of the white-chinned petrel Procellaria aequinoctialis based on data from combination geolocator-immersion loggers deployed on adults at South Georgia. The petrels were highly nocturnal, flying for greater proportions of darkness than any large procellarid studied so far, except the light-mantled albatross Phoebetria palpebrata. Flight bout durations were short compared with other species, suggesting a dominant foraging mode of small-scale searching within large prey patches. When migrating, birds reduced the proportion of time on the water and increased flight bout duration. Activity patterns changed seasonally: birds flew least during the nonbreeding period, and most frequently during chick-rearing in order to meet higher energy demands associated with provisioning offspring. The degree of their response to moonlight was also stage dependent (greatest in nonbreeding, and weakest in incubating birds), a trait potentially shared by other nocturnal petrels which will have repercussions for feeding success and prey selection. For the white-chinned petrel, which is commonly caught in longline fisheries, these results can be used to identify periods when birds are most susceptible to bycatch, and therefore when use of mitigation and checking for compliance is critical.</t>
  </si>
  <si>
    <t>[Mackley, Elizabeth K.; Phillips, Richard A.; Silk, Janet R. D.; Wakefield, Ewan D.; Afanasyev, Vsevolod] British Antarctic Survey, Nat Environm Res Council, Cambridge CB3 0ET, England; [Mackley, Elizabeth K.; Furness, Robert W.] Univ Glasgow, Fac Biomed &amp; Life Sci, Glasgow G12 8QQ, Lanark, Scotland</t>
  </si>
  <si>
    <t>UK Research &amp; Innovation (UKRI); Natural Environment Research Council (NERC); NERC British Antarctic Survey; University of Glasgow</t>
  </si>
  <si>
    <t>Mackley, EK (corresponding author), British Antarctic Survey, Nat Environm Res Council, Madingley Rd, Cambridge CB3 0ET, England.</t>
  </si>
  <si>
    <t>Liz_Mackley@glasgowalumni.net</t>
  </si>
  <si>
    <t>NERC [bas0100025] Funding Source: UKRI; Natural Environment Research Council [bas0100025] Funding Source: researchfish</t>
  </si>
  <si>
    <t>NERC(UK Research &amp; Innovation (UKRI)Natural Environment Research Council (NERC)); Natural Environment Research Council(UK Research &amp; Innovation (UKRI)Natural Environment Research Council (NERC))</t>
  </si>
  <si>
    <t>10.1007/s00227-010-1570-x</t>
  </si>
  <si>
    <t>WOS:000286211200016</t>
  </si>
  <si>
    <t>Chuvochina, MS; Alekhina, IA; Normand, P; Petit, JR; Bulat, SA</t>
  </si>
  <si>
    <t>Chuvochina, M. S.; Alekhina, I. A.; Normand, P.; Petit, J. -R.; Bulat, S. A.</t>
  </si>
  <si>
    <t>Three Events of Saharan Dust Deposition on the Mont Blanc Glacier Associated with Different Snow-Colonizing Bacterial Phylotypes</t>
  </si>
  <si>
    <t>MICROBIOLOGY</t>
  </si>
  <si>
    <t>soil dust; dust deposition; snow; colonization; microorganisms; 16S rRNA; opportunistic pathogens; autotrophs; oligotrophs; psychrotrophs; astrobiology</t>
  </si>
  <si>
    <t>CULTURABLE BACTERIA; AFRICAN DUST; FRENCH ALPS; ICE-CORE; DIVERSITY; SOIL; ANTARCTICA; CALIFORNIA; MOUNTAINS; WATER</t>
  </si>
  <si>
    <t>A preliminary study has demonstrated that the structure and species composition of microbial communities associated with events of dust deposition from the Sahara Desert to the Mont Blanc glacier varied considerably between samples originating from different time periods. Even for depositions within a single month, the dominant microbial phylotypes and candidates to colonize the snow pack were different. It is therefore highly probable that the structure and species composition of microbial communities will be different between any events of the kind. Apparently, the phenomenon does not correlate with the time the dust stays in the snow cover and consequently with the probable development of microorganisms in situ (three months, one month, and one week). The reasons for the variation may be the differences in conditions in the epicenter of a specific North African dust storm, as well as the history of the dust transport in the atmosphere. The candidates for joining the snow biome of Mont Blanc turned out to be different for three dust events (DEs) and belong to different, mostly minor, phylotypes related to Crossiella cryophilus (Actinobacteria), Devosia limi (alpha-Proteobacteria), Deinococcus claudionis (Deinococcus-Thermus), Anabaena sp. (Cyanobacteria), and Hymenobacter soli (Bacteroidetes). Since all these phylotypes have been previously isolated from soil samples of the Antarctic and Arctic, Arctic snow and ice, and the Alpine belt soils and sedimentary rocks of the glacier bed, they were tentatively ascribed to the group of snow pack colonizers.</t>
  </si>
  <si>
    <t>[Chuvochina, M. S.; Alekhina, I. A.; Bulat, S. A.] Russian Acad Sci, St Petersburg Nucl Phys Inst, Gatchina 188300, Russia; [Chuvochina, M. S.; Alekhina, I. A.; Petit, J. -R.; Bulat, S. A.] CNRS, Div Mol &amp; Radiat Biophys, Lab Glaciol &amp; Geophys, F-38402 Grenoble, France; [Normand, P.] Univ Lyon 1, Div Microbial Ecol, F-69622 Villeurbanne, France</t>
  </si>
  <si>
    <t>National Research Centre - Kurchatov Institute; Petersburg Nuclear Physics Institute; Russian Academy of Sciences; Centre National de la Recherche Scientifique (CNRS); Universite Claude Bernard Lyon 1</t>
  </si>
  <si>
    <t>Chuvochina, MS (corresponding author), Russian Acad Sci, St Petersburg Nucl Phys Inst, Gatchina 188300, Russia.</t>
  </si>
  <si>
    <t>chuvochina@omrb.pnpi.spb.ru; sergey.bulat@ujf-grenoble.fr</t>
  </si>
  <si>
    <t>Normand, Philippe/ABD-2235-2020; Chuvochina, Maria/CAJ-3178-2022; Normand, Philippe/A-1142-2012; Alekhina, Irina/L-2163-2016</t>
  </si>
  <si>
    <t>Normand, Philippe/0000-0002-2139-2141; Chuvochina, Maria/0000-0002-3977-6012; Bulat, Sergey/0000-0002-2574-882X; Alekhina, Irina/0000-0001-9820-8675</t>
  </si>
  <si>
    <t>Russian Foundation for Basic Research [10-04-01223]; ANR [07-Blan-0223-Lac Vostok]</t>
  </si>
  <si>
    <t>Russian Foundation for Basic Research(Russian Foundation for Basic Research (RFBR)Spanish Government); ANR(Agence Nationale de la Recherche (ANR))</t>
  </si>
  <si>
    <t>The work was supported by a grant of the Russian Foundation for Basic Research (project no. 10-04-01223 (S.A. Bulat)) and ANR 07-Blan-0223-Lac Vostok (J.-R. Petit).</t>
  </si>
  <si>
    <t>MAIK NAUKA/INTERPERIODICA/SPRINGER</t>
  </si>
  <si>
    <t>233 SPRING ST, NEW YORK, NY 10013-1578 USA</t>
  </si>
  <si>
    <t>0026-2617</t>
  </si>
  <si>
    <t>MICROBIOLOGY+</t>
  </si>
  <si>
    <t>10.1134/S0026261711010061</t>
  </si>
  <si>
    <t>753QH</t>
  </si>
  <si>
    <t>WOS:000289794200017</t>
  </si>
  <si>
    <t>Cammen, K; Hoffman, JI; Knapp, LA; Harwood, J; Amos, W</t>
  </si>
  <si>
    <t>Cammen, K.; Hoffman, J. I.; Knapp, L. A.; Harwood, J.; Amos, W.</t>
  </si>
  <si>
    <t>Geographic variation of the major histocompatibility complex in Eastern Atlantic grey seals (Halichoerus grypus)</t>
  </si>
  <si>
    <t>MOLECULAR ECOLOGY</t>
  </si>
  <si>
    <t>grey seal; isolation by distance; major histocompatibility complex; microsatellites; selection</t>
  </si>
  <si>
    <t>MHC CLASS-IIB; MICROSATELLITE LOCI; CLASS-I; GENETIC DIFFERENTIATION; NUCLEOTIDE SUBSTITUTION; PARENTAL RELATEDNESS; POPULATION-STRUCTURE; PUP MORTALITY; HLA SYSTEM; SELECTION</t>
  </si>
  <si>
    <t>Pathogen-driven balancing selection maintains high genetic diversity in many vertebrates, particularly in the major histocompatibility complex (MHC) immune system gene family, which is often associated with disease susceptibility. In large natural populations where subpopulations face different pathogen pressures, the MHC should show greater genetic differentiation within a species than neutral markers. We examined genetic diversity at the MHC-DQB locus and nine putatively neutral microsatellite markers in grey seals (Halichoerus grypus) from eight United Kingdom (UK) colonies, the Faeroe Islands and Sable Island, Canada. Five DQB alleles were identified in grey seals, which varied in prevalence across the grey seal range. Among the seal colonies, significant differences in DQB allele and haplotype frequencies and in average DQB heterozygosity were observed. Additionally, the DQB gene exhibited greater differentiation among colonies compared with neutral markers, yet a weaker pattern of isolation by distance (IBD). After correcting for the underlying IBD pattern, subpopulations breeding in similar habitats were more similar to one another in DQB allele frequencies than populations breeding in different habitats, but the same did not hold true for microsatellites, suggesting that habitat-specific pathogen pressure influences MHC evolution. Overall, the data are consistent with selection at MHC-DQB loci in grey seals with both varying selective pressures and geographic population structure appearing to influence the DQB genetic composition of breeding colonies.</t>
  </si>
  <si>
    <t>[Cammen, K.; Hoffman, J. I.; Amos, W.] Univ Cambridge, Dept Zool, Cambridge CB2 3EJ, England; [Knapp, L. A.] Univ Cambridge, Dept Biol Anthropol, Cambridge CB2 3DZ, England; [Harwood, J.] Univ St Andrews, Sea Mammal Res Unit, Scottish Oceans Inst, St Andrews KY16 8LB, Fife, Scotland</t>
  </si>
  <si>
    <t>University of Cambridge; University of Cambridge; University of St Andrews</t>
  </si>
  <si>
    <t>Amos, W (corresponding author), Univ Cambridge, Dept Zool, Downing St, Cambridge CB2 3EJ, England.</t>
  </si>
  <si>
    <t>w.amos@cam.ac.uk</t>
  </si>
  <si>
    <t>Hoffman, Joseph/K-7725-2012</t>
  </si>
  <si>
    <t>Hoffman, Joseph/0000-0001-5895-8949</t>
  </si>
  <si>
    <t>Cambridge University Overseas Trust; British Antarctic Survey Strategic Alliance</t>
  </si>
  <si>
    <t>We thank Kyi Bean, Don Bowen, Ailsa Hall, Rob Harris, Bernie McConnell, Penny Allen, Paddy Pomeroy, Sean Twiss and Dorete Bloch for collecting samples. We also thank Karina Acevedo-Whitehouse, Nicholas Mundy and two anonymous reviewers for their comments on an earlier version of this paper. KC was funded by the Cambridge University Overseas Trust, and JH was supported by a British Antarctic Survey Strategic Alliance Fellowship.</t>
  </si>
  <si>
    <t>0962-1083</t>
  </si>
  <si>
    <t>1365-294X</t>
  </si>
  <si>
    <t>MOL ECOL</t>
  </si>
  <si>
    <t>Mol. Ecol.</t>
  </si>
  <si>
    <t>10.1111/j.1365-294X.2010.04975.x</t>
  </si>
  <si>
    <t>Biochemistry &amp; Molecular Biology; Ecology; Evolutionary Biology</t>
  </si>
  <si>
    <t>Biochemistry &amp; Molecular Biology; Environmental Sciences &amp; Ecology; Evolutionary Biology</t>
  </si>
  <si>
    <t>714VO</t>
  </si>
  <si>
    <t>WOS:000286837300006</t>
  </si>
  <si>
    <t>Radic, V; Hock, R</t>
  </si>
  <si>
    <t>Radic, Valentina; Hock, Regine</t>
  </si>
  <si>
    <t>Regionally differentiated contribution of mountain glaciers and ice caps to future sea-level rise</t>
  </si>
  <si>
    <t>MASS-BALANCE</t>
  </si>
  <si>
    <t>The contribution to sea-level rise from mountain glaciers and ice caps has grown over the past decades. They are expected to remain an important component of eustatic sea-level rise for at least another century(1,2), despite indications of accelerated wastage of the ice sheets(3-5). However, it is difficult to project the future contribution of these small-scale glaciers to sea-level rise on a global scale. Here, we project their volume changes due to melt in response to transient, spatially differentiated twenty-first century projections of temperature and precipitation from ten global climate models. We conduct the simulations directly on the more than 120,000 glaciers now available in the World Glacier Inventory(6), and upscale the changes to 19 regions that contain all mountain glaciers and ice caps in the world (excluding the Greenland and Antarctic ice sheets). According to our multi-model mean, sea-level rise from glacier wastage by 2100 will amount to 0.124 +/- 0.037 m, with the largest contribution from glaciers in Arctic Canada, Alaska and Antarctica. Total glacier volume will be reduced by 21 +/- 6%, but some regions are projected to lose up to 75% of their present ice volume. Ice losses on such a scale may have substantial impacts on regional hydrology and water availability(7).</t>
  </si>
  <si>
    <t>[Radic, Valentina] Univ British Columbia, Dept Earth &amp; Ocean Sci, Vancouver, BC V6T 1Z4, Canada; [Radic, Valentina; Hock, Regine] Univ Alaska, Inst Geophys, Fairbanks, AK 99775 USA; [Hock, Regine] Uppsala Univ, Dept Earth Sci, S-75236 Uppsala, Sweden</t>
  </si>
  <si>
    <t>University of British Columbia; University of Alaska System; University of Alaska Fairbanks; Uppsala University</t>
  </si>
  <si>
    <t>Radic, V (corresponding author), Univ British Columbia, Dept Earth &amp; Ocean Sci, Vancouver, BC V6T 1Z4, Canada.</t>
  </si>
  <si>
    <t>vradic@eos.ubc.ca</t>
  </si>
  <si>
    <t>Hock, Regine/C-6179-2013; Hock, Regine/JTT-4089-2023</t>
  </si>
  <si>
    <t>Hock, Regine/0000-0001-8336-9441; Radic, Valentina/0000-0002-1185-0751</t>
  </si>
  <si>
    <t>FORMAS, Sweden [21.4/2005-0387]</t>
  </si>
  <si>
    <t>FORMAS, Sweden(Swedish Research Council Formas)</t>
  </si>
  <si>
    <t>We thank A. Rasmussen, F. Anslow, A. Arendt, M. Haseloff and M. Truffer for comments on the manuscript. Mass balance data were provided by M. de Woul, M. Dyurgerov and J. Shea. The Arctic Region Supercomputing Center at the University of Alaska provided computing resources. Funding was provided by FORMAS, Sweden (project 21.4/2005-0387).</t>
  </si>
  <si>
    <t>10.1038/NGEO1052</t>
  </si>
  <si>
    <t>WOS:000286723300012</t>
  </si>
  <si>
    <t>Nemirovskaya, IA; Chernyavskii, NG</t>
  </si>
  <si>
    <t>Nemirovskaya, I. A.; Chernyavskii, N. G.</t>
  </si>
  <si>
    <t>Studies of Hydrocarbons in the Waters and Snow-Ice Cover of the Southeast Sector of the Antarctic</t>
  </si>
  <si>
    <t>OCEANOLOGY</t>
  </si>
  <si>
    <t>ORGANIC-COMPOUNDS; SEA; OCEAN</t>
  </si>
  <si>
    <t>Data are presented on the content of hydrocarbons (HC) relative to the concentrations of particulate matter, lipids, C(org), and chlorophyll a in the surface waters and snow-ice cover of the East Antarctic coastal areas. It was shown that the growth of the concentrations of aliphatic HC (AHC) to 30 mu g/l in the surface waters takes place in the frontal zones and under the young ice formation. The AHC content in the snow increases with the growth of the aerosol content in the atmosphere. In the lower part of the ice at the boundary with the seawater, despite the low temperatures, the autochthonous processes may provide high AHC concentrations (up to 289 mu g/l). Within the snow-ice cover on fast ice, synchronous content variations of all the compounds considered take place. DOI: 10.1134/S0001437011010139</t>
  </si>
  <si>
    <t>[Nemirovskaya, I. A.; Chernyavskii, N. G.] Russian Acad Sci, Shirshov Inst Oceanol, Moscow, Russia</t>
  </si>
  <si>
    <t>Russian Academy of Sciences; Shirshov Institute of Oceanology</t>
  </si>
  <si>
    <t>Nemirovskaya, IA (corresponding author), Russian Acad Sci, Shirshov Inst Oceanol, Moscow, Russia.</t>
  </si>
  <si>
    <t>nemir@ocean.ru</t>
  </si>
  <si>
    <t>Nemirovskaya, Inna/G-2392-2017</t>
  </si>
  <si>
    <t>RAE, the Russian Foundation for Basic Research [08-05-00094a]; Presidium of the Russian Academy of Sciences [17]; Russian Federation [NSh-2236.2006.5]; project Nanoparticles in Inner and Outer Spheres of the Earth</t>
  </si>
  <si>
    <t>RAE, the Russian Foundation for Basic Research; Presidium of the Russian Academy of Sciences(Russian Academy of Sciences); Russian Federation(Russian Federation); project Nanoparticles in Inner and Outer Spheres of the Earth</t>
  </si>
  <si>
    <t>This study was supported by the RAE, the Russian Foundation for Basic Research (project no. 08-05-00094a), by the Presidium of the Russian Academy of Sciences (program no. 17), by the Grant of the President of the Russian Federation (grant no. NSh-2236.2006.5), and by the project Nanoparticles in Inner and Outer Spheres of the Earth.</t>
  </si>
  <si>
    <t>0001-4370</t>
  </si>
  <si>
    <t>OCEANOLOGY+</t>
  </si>
  <si>
    <t>Oceanology</t>
  </si>
  <si>
    <t>10.1134/S0001437011010139</t>
  </si>
  <si>
    <t>868YH</t>
  </si>
  <si>
    <t>WOS:000298561900002</t>
  </si>
  <si>
    <t>Gestwa, K</t>
  </si>
  <si>
    <t>Gestwa, Klaus</t>
  </si>
  <si>
    <t>Polarisation of Soviet History The Antarctic in the Cold War</t>
  </si>
  <si>
    <t>OSTEUROPA</t>
  </si>
  <si>
    <t>German</t>
  </si>
  <si>
    <t>As a space lacking culture and history, the Antarctic secured its place on the political map only in the 1950s. Covered by a dense net of research stations and protected by international agreement, the icy sixth continent became a unique, exemplary global space. The Antarctic offered a fabulous projection surface on which the socialist community could show itself. At the South Pole, the eastern bloc in small format soon seemed no longer an imaginary but a lived community.</t>
  </si>
  <si>
    <t>[Gestwa, Klaus] Univ Tubingen, Tubingen, Germany</t>
  </si>
  <si>
    <t>Eberhard Karls University of Tubingen</t>
  </si>
  <si>
    <t>Gestwa, K (corresponding author), Univ Tubingen, Tubingen, Germany.</t>
  </si>
  <si>
    <t>BWV-BERLINER WISSENSCHAFTS-VERLAG GMBH</t>
  </si>
  <si>
    <t>AXEL-SPRINGER-STR 54 A, BERLIN, D-10117, GERMANY</t>
  </si>
  <si>
    <t>0030-6428</t>
  </si>
  <si>
    <t>2509-3444</t>
  </si>
  <si>
    <t>Osteuropa</t>
  </si>
  <si>
    <t>FEB-MAR</t>
  </si>
  <si>
    <t>+</t>
  </si>
  <si>
    <t>Political Science</t>
  </si>
  <si>
    <t>Social Science Citation Index (SSCI)</t>
  </si>
  <si>
    <t>Government &amp; Law</t>
  </si>
  <si>
    <t>V34AP</t>
  </si>
  <si>
    <t>WOS:000209059600020</t>
  </si>
  <si>
    <t>Hamel-Green, M</t>
  </si>
  <si>
    <t>Hamel-Green, Michael</t>
  </si>
  <si>
    <t>Nuclear-Free Zone Arctic Models and Prospects</t>
  </si>
  <si>
    <t>During the East-West conflict, the Arctic became one of the world's most militarised regions. Strategic submarines cruised the north polar sea. Long-range bombers and intercontinental missiles, whose routes would have led over the North Pole, were to see to nuclear deterrence. Today, there is a chance to establish a nuclear-free zone in the Arctic. The Antarctic Treaty offers a model for demilitarisation. The establishment of nuclear-free zones in other regions of the world made it possible that nuclear states do not have to take the initiative. Lessons are also to be learned from other nuclear-free zones. If civil society exerts pressure, and countries without nuclear weapons lead the way, the United States and Russia could follow.</t>
  </si>
  <si>
    <t>Victoria Univ, Melbourne, Vic 8001, Australia</t>
  </si>
  <si>
    <t>Victoria University</t>
  </si>
  <si>
    <t>Hamel-Green, M (corresponding author), Victoria Univ, Melbourne, Vic 8001, Australia.</t>
  </si>
  <si>
    <t>WOS:000209059600021</t>
  </si>
  <si>
    <t>Dawber, CF; Tripati, AK; Gale, AS; MacNiocaill, C; Hesselbo, SP</t>
  </si>
  <si>
    <t>Dawber, Caroline F.; Tripati, Aradhna K.; Gale, Andrew S.; MacNiocaill, Conall; Hesselbo, Stephen P.</t>
  </si>
  <si>
    <t>Glacioeustasy during the middle Eocene? Insights from the stratigraphy of the Hampshire Basin, UK</t>
  </si>
  <si>
    <t>PALAEOGEOGRAPHY PALAEOCLIMATOLOGY PALAEOECOLOGY</t>
  </si>
  <si>
    <t>Relative sea level; Hampshire Basin; Barton Clay Formation; Glaicoeustasy; Bartonian; Middle Eocene</t>
  </si>
  <si>
    <t>GLOBAL SEA-LEVEL; ISLE-OF-WIGHT; ORBITALLY-INDUCED OSCILLATIONS; OLIGOCENE BATHYMETRIC CHANGES; JERSEY COASTAL-PLAIN; ANTARCTIC ICE-SHEET; WESTERN ROSS SEA; SEQUENCE STRATIGRAPHY; BENTHIC FORAMINIFERA; CALCITE COMPENSATION</t>
  </si>
  <si>
    <t>The sedimentary strata of the Hampshire Basin constitute some of the best-preserved Palaeogene sequences worldwide, and include the traditional 'unit stratotype' for the Bartonian (similar to 36.9-41.4 Ma). The Barton Clay Formation at Alum Bay on the Isle of Wight (IOW) was studied to assess the evidence for middle Eocene sea-level variation in records of grain size, sediment properties, faunal assemblage, foraminiferal diversity indices and foraminiferal stable isotopes. Sedimentary cycles of 1-10 Myr (third order) and 0.2-0.5 Myr (fourth order) duration are reported and interpreted to reflect similar to 20-60 metre variations in water depth. Additionally, an integrated magneto-bio-chemostratigraphical age model for the succession at Alum Bay is presented and new and published litho- and bio-stratigraphical markers are used to correlate additional successions. Based on this age model, it appears that during the late Lutetian and early Bartonian (similar to 42-38 Ma), water depth variation identified within the basin was synchronous. Sedimentary and fossil evidence supports episodic uplift in the eastern part of the Hampshire Basin during the Bartonian, which at present precludes the calculation of eustatic sea-level. However, the amplitude and frequency of water-depth variations identified in the Barton Clay Formation, and correlations to published sea-level curves, are consistent with a component of these changes being glacioeustatic during the middle Eocene. There is also evidence for a large excursion (delta O-18 &gt; 1 parts per thousand) in the mono-specific benthic foraminiferal oxygen-isotope record (Alum Bay) similar to 39.9 Ma, which is correlated to the isotope excursion at the 'middle Eocene climatic optimum' previously reported in the Southern Ocean, and other localities. A contemporaneous water-depth increase of similar to 40 m at Alum Bay may indicate that a component of this 'global' oxygen-isotope excursion results from a reduction in continental ice storage. (C) 2011 Elsevier B.V. All rights reserved.</t>
  </si>
  <si>
    <t>[Dawber, Caroline F.; Tripati, Aradhna K.] Univ Cambridge, Dept Earth Sci, Cambridge CB1 2EQ, England; [Tripati, Aradhna K.] Univ Calif Los Angeles, Inst Geophys &amp; Planetary Phys, Los Angeles, CA 90095 USA; [Tripati, Aradhna K.] Univ Calif Los Angeles, Dept Earth &amp; Space Sci, Los Angeles, CA 90095 USA; [Tripati, Aradhna K.] Univ Calif Los Angeles, Dept Atmospher &amp; Ocean Sci, Los Angeles, CA 90095 USA; [Gale, Andrew S.] Univ Portsmouth, Sch Earth &amp; Environm Sci, Portsmouth PO1 3QL, Hants, England; [MacNiocaill, Conall; Hesselbo, Stephen P.] Univ Oxford, Dept Earth Sci, Oxford OX1 3PR, England</t>
  </si>
  <si>
    <t>University of Cambridge; University of California System; University of California Los Angeles; University of California System; University of California Los Angeles; University of California System; University of California Los Angeles; University of Portsmouth; University of Oxford</t>
  </si>
  <si>
    <t>Dawber, CF (corresponding author), Univ Cambridge, Dept Earth Sci, Downing St, Cambridge CB1 2EQ, England.</t>
  </si>
  <si>
    <t>cfd25@esc.cam.ac.uk</t>
  </si>
  <si>
    <t>Niocaill, Conall Mac/B-9834-2009; Tripati, Aradhna/C-9419-2011</t>
  </si>
  <si>
    <t>Niocaill, Conall Mac/0000-0002-3782-0198; Tripati, Aradhna/0000-0002-1695-1754</t>
  </si>
  <si>
    <t>NERC; NERC, Magdalene College at the University of Cambridge; UCLA Division of Physical Sciences</t>
  </si>
  <si>
    <t>NERC(UK Research &amp; Innovation (UKRI)Natural Environment Research Council (NERC)); NERC, Magdalene College at the University of Cambridge(UK Research &amp; Innovation (UKRI)Natural Environment Research Council (NERC)); UCLA Division of Physical Sciences</t>
  </si>
  <si>
    <t>The authors gratefully acknowledge M.P Aubry, L Booth, S. Crowhurst, and M. Hall for providing the technical assistance, and I. West, J. Todd, D. Kemp and N. McCave for the discussions of this work. This manuscript benefited from the constructive reviews of editor F. Surlyk, G. Dunbar and an anonymous reviewer. We thank Natural England and the Needles Theme Park for access to the succession at Alum Bay. C.F.D. was funded by a NERC studentship. A.T. gratefully acknowledges the financial support by NERC, Magdalene College at the University of Cambridge, and the UCLA Division of Physical Sciences.</t>
  </si>
  <si>
    <t>0031-0182</t>
  </si>
  <si>
    <t>1872-616X</t>
  </si>
  <si>
    <t>PALAEOGEOGR PALAEOCL</t>
  </si>
  <si>
    <t>Paleogeogr. Paleoclimatol. Paleoecol.</t>
  </si>
  <si>
    <t>1-4</t>
  </si>
  <si>
    <t>10.1016/j.palaeo.2010.12.012</t>
  </si>
  <si>
    <t>Geography, Physical; Geosciences, Multidisciplinary; Paleontology</t>
  </si>
  <si>
    <t>Physical Geography; Geology; Paleontology</t>
  </si>
  <si>
    <t>725CI</t>
  </si>
  <si>
    <t>WOS:000287622400008</t>
  </si>
  <si>
    <t>Taton, A; Wilmotte, A; Smarda, J; Elster, J; Komárek, J</t>
  </si>
  <si>
    <t>Taton, A.; Wilmotte, A.; Smarda, J.; Elster, J.; Komarek, J.</t>
  </si>
  <si>
    <t>Plectolyngbya hodgsonii: a novel filamentous cyanobacterium from Antarctic lakes</t>
  </si>
  <si>
    <t>POLAR BIOLOGY</t>
  </si>
  <si>
    <t>Cyanobacteria; New species; Antarctica; Benthos of lakes; Polyphasic approach</t>
  </si>
  <si>
    <t>DNA</t>
  </si>
  <si>
    <t>A special cluster of filamentous, false-branched cyanobacteria, isolated from littoral mat samples in coastal lakes of the Larsemann Hills region (coll. by D. Hodgson) was studied by a polyphasic approach. This morphotype has several characters corresponding to the traditional genera Leptolyngbya (morphology of trichomes), Pseudo-phormidium (type of false branching) or Schizothrix (occasional multiple arrangement of trichomes in the sheaths). However, this cluster of strains is distinctly isolated according to its phylogenetic position (based on 16S rRNA gene sequences), and thus, a separate generic classification its justified. The cytomorphology of this generic entity is also characteristic. Therefore, a new genus (Plectolyngbya with the type species P. hodgsonii) was described. The same cyanobacterial morphotype was found in the littoral zone of the partially frozen inland Monolith Lake in the northern, deglaciated area of James Ross Island, in the NW part of the Weddell Sea. Plectolyngbya hodgsonii occurs evidently in more Antarctic lakes of the continental type, under very particular conditions (littoral with average temperature below 3 C during the Antarctic summer season, with periodical drying and freezing for more than 8 months in a year). The valid definition, phenotype documentation and ultrastructural characters of this cyanobacterium are presented in this article. Morphologically (and possibly genetically) similar types are common in other habitats in various regions and represent probably different species.</t>
  </si>
  <si>
    <t>[Elster, J.; Komarek, J.] Acad Sci Czech Republ, Inst Bot, CS-37982 Trebon, Czech Republic; [Taton, A.; Wilmotte, A.] Univ Liege, Ctr Ingn Prot, Inst Chem, B-4000 Liege, Belgium; [Taton, A.] Univ Calif San Diego, Div Biol Sci, La Jolla, CA 92093 USA; [Smarda, J.] Masaryk Univ, Dept Biol, Fak Med, Brno 62500, Bohunice, Czech Republic; [Elster, J.; Komarek, J.] Univ S Bohemia, Fac Sci, Ceske Budejovice 37005, Czech Republic</t>
  </si>
  <si>
    <t>Czech Academy of Sciences; Institute of Botany of the Czech Academy of Sciences; University of Liege; University of California System; University of California San Diego; Masaryk University Brno; University of South Bohemia Ceske Budejovice</t>
  </si>
  <si>
    <t>Komárek, J (corresponding author), Acad Sci Czech Republ, Inst Bot, Dukelska 135, CS-37982 Trebon, Czech Republic.</t>
  </si>
  <si>
    <t>komarek@butbn.cas.cz</t>
  </si>
  <si>
    <t>Komarek, Jiri/H-1597-2014; Elster, Josef/B-1031-2008; Wilmotte, Annick/H-1686-2011</t>
  </si>
  <si>
    <t>Elster, Josef/0000-0002-4535-5636; Wilmotte, Annick/0000-0003-3546-3489</t>
  </si>
  <si>
    <t>grant agencies of the Czech Republic GACR [206/05/0253, AV0Z60050516]; Czech Academy of Sciences/FNRS [1247]; bilateral co-operation Wallonie-Bruxelles International (WBI)/Czech Republic; FRS-FNRS (Funds for Scientific Research) of Belgium; FRIA</t>
  </si>
  <si>
    <t>grant agencies of the Czech Republic GACR; Czech Academy of Sciences/FNRS(Czech Academy of SciencesFonds de la Recherche Scientifique - FNRS); bilateral co-operation Wallonie-Bruxelles International (WBI)/Czech Republic(Czech Republic Government); FRS-FNRS (Funds for Scientific Research) of Belgium(Fonds de la Recherche Scientifique - FNRS); FRIA(Fonds de la Recherche Scientifique - FNRS)</t>
  </si>
  <si>
    <t>The authors thank Dominic Hodgson (British Antarctic Survey, Cambridge, UK) for providing the Antarctic material. They are indebted also to Dobromila Klemova and to Ladislav Ilkovics for their skilled assistance in electron microscopy and Dana Svehlova for technical assistance. The paper was prepared in the frame of grant supports of grant agencies of the Czech Republic GACR 206/05/0253, AV0Z60050516, a travel grant of the Czech Academy of Sciences/FNRS (1247) and the bilateral co-operation Wallonie-Bruxelles International (WBI)/Czech Republic. A. Wilmotte is research associate of the FRS-FNRS (Funds for Scientific Research) of Belgium and benefited from the FNRS Credit 1.5104.04. A. Taton had a FRIA fellowship.</t>
  </si>
  <si>
    <t>0722-4060</t>
  </si>
  <si>
    <t>1432-2056</t>
  </si>
  <si>
    <t>POLAR BIOL</t>
  </si>
  <si>
    <t>Polar Biol.</t>
  </si>
  <si>
    <t>10.1007/s00300-010-0868-y</t>
  </si>
  <si>
    <t>728WG</t>
  </si>
  <si>
    <t>WOS:000287904600003</t>
  </si>
  <si>
    <t>Dunn, MJ; Silk, JRD; Trathan, PN</t>
  </si>
  <si>
    <t>Dunn, M. J.; Silk, J. R. D.; Trathan, P. N.</t>
  </si>
  <si>
    <t>Post-breeding dispersal of Adelie penguins (Pygoscelis adeliae) nesting at Signy Island, South Orkney Islands</t>
  </si>
  <si>
    <t>Pygoscelis adeliae; South Orkneys; Moult; Wintering; Satellite telemetry; Geolocation; Tracking</t>
  </si>
  <si>
    <t>ANTARCTIC SEA-ICE; CLIMATE-CHANGE; CHINSTRAP PENGUINS; WINTER MIGRATION; ROSS SEA; SEASONAL DISTRIBUTION; POPULATION-DYNAMICS; CIRCUMPOLAR CURRENT; RECORDING DEVICES; EUPHAUSIA-SUPERBA</t>
  </si>
  <si>
    <t>ARGOS satellite telemetry and Global Location Sensors (geolocators) were used to identify the moult locations and the winter foraging dispersal of Adelie penguins after they left their breeding colonies on Signy Island in the South Orkney Islands. Animals were tracked during the period December 2004 to October 2005. All birds displayed a similar pattern of migratory behaviour, remaining away from colonies for approximately 9 months, at distances of up to 2,235 km. Moult locations were within the pack ice. Mean daily travel speeds to the moult locations were significantly faster when moving through open water than through pack ice. Moult occurred during February/March within a narrow latitudinal range (65-71 degrees S), at a mean distance of 126 km from the ice edge; the mean duration of individual moult was c. 18.6 days. After moult, penguins spent the subsequent winter months moving north or north-eastward within the expanding winter pack ice, at a mean distance of 216 km from the ice edge, and in areas with ice cover &gt; 80%. The penguins returned to the vicinity of their colony between September 26 and October 22, 2005. This dependence of Adelie penguins on sea ice habitat suggests that any further reductions in sea ice extent in the Weddell Sea region would potentially have important impacts on the population processes of this pagophilic species.</t>
  </si>
  <si>
    <t>[Dunn, M. J.; Silk, J. R. D.; Trathan, P. N.] British Antarctic Survey, Nat Environm Res Council, Cambridge CB3 0ET, England</t>
  </si>
  <si>
    <t>UK Research &amp; Innovation (UKRI); Natural Environment Research Council (NERC); NERC British Antarctic Survey</t>
  </si>
  <si>
    <t>Dunn, MJ (corresponding author), British Antarctic Survey, Nat Environm Res Council, Madingley Rd, Cambridge CB3 0ET, England.</t>
  </si>
  <si>
    <t>mdunn@bas.ac.uk</t>
  </si>
  <si>
    <t>Dunn, Michael/0000-0003-4633-5466</t>
  </si>
  <si>
    <t>10.1007/s00300-010-0870-4</t>
  </si>
  <si>
    <t>hybrid</t>
  </si>
  <si>
    <t>WOS:000287904600005</t>
  </si>
  <si>
    <t>Uriz, MJ; Gili, JM; Orejas, C; Perez-Porro, AR</t>
  </si>
  <si>
    <t>Uriz, Maria-J.; Gili, Josep-Maria; Orejas, Covadonga; Perez-Porro, Alicia-R.</t>
  </si>
  <si>
    <t>Do bipolar distributions exist in marine sponges? Stylocordyla chupachups sp. nv. (Porifera: Hadromerida) from the Weddell Sea (Antarctic), previously reported as S. borealis (Loven, 1868)</t>
  </si>
  <si>
    <t>Porifera; Hadromerida; Cryptic species; Bipolar distributions</t>
  </si>
  <si>
    <t>CRYPTIC SPECIATION</t>
  </si>
  <si>
    <t>Sponges are the dominant invertebrates in many Antarctic communities, where they play a decisive structural function thanks to their abundance and large sizes. However, current knowledge on Antarctic sponges remains poor even with respect to basic aspects such as taxonomy. Here, we report on an Antarctic species of the genus Stylocordyla, which has been recorded for a long time under the name of the boreal S. borealis due to spicule and growth habit similarities. A thorough study of dense populations of the only Stylocordyla species known up to now from the eastern zone of the Weddell Sea as well as the re-examination of several specimens (including the type material) of S. borealis has allowed us to assess the variability of the boreal species and to confirm that the austral species is not S. borealis (Loven, 1868) but a new species of Stylocordyla, different from the other congeners recorded from southern latitudes. The new species S. chupachups commonly dwells on horizontal or slighted sloped hard bottoms of the continental shelf of Weddell Sea, from 100 m to below 400 m depth, although the densest populations usually occur between 150 and 300 m. It is a pioneer species in areas that have been scoured by icebergs, and thus its presence may be considered an indicator of recent colonisation.</t>
  </si>
  <si>
    <t>[Uriz, Maria-J.; Perez-Porro, Alicia-R.] Ctr Estudis Avancats Blanes CEAB CSIC, Blanes 17300, Girona, Spain; [Gili, Josep-Maria; Orejas, Covadonga] Inst Ciencies Mar ICM CSIC, Barcelona 08003, Spain</t>
  </si>
  <si>
    <t>Consejo Superior de Investigaciones Cientificas (CSIC); CSIC - Centre d'Estudis Avancats de Blanes (CEAB); Consejo Superior de Investigaciones Cientificas (CSIC); CSIC - Centro Mediterraneo de Investigaciones Marinas y Ambientales (CMIMA); CSIC - Instituto de Ciencias del Mar (ICM)</t>
  </si>
  <si>
    <t>Uriz, MJ (corresponding author), Ctr Estudis Avancats Blanes CEAB CSIC, Acces Cala St Francesc 14, Blanes 17300, Girona, Spain.</t>
  </si>
  <si>
    <t>Iosune@ceab.csic.es</t>
  </si>
  <si>
    <t>Uriz, Maria J./AGP-4595-2022; Orejas, Covadonga/B-1644-2012; Uriz, Maria J/J-9001-2012; Perez-Porro, Alicia/F-9384-2012</t>
  </si>
  <si>
    <t>Uriz, Maria J./0000-0002-8169-3173; Perez-Porro, Alicia/0000-0002-8873-1734; Orejas Saco del Valle, Covadonga/0000-0002-2580-1002</t>
  </si>
  <si>
    <t>CLIMANT [POL2006-06399/CGL]; FILANT [REN2003-04236]; MARMOL [CTM2007-66635-CO2]; EU [TMR-CT97-2813]</t>
  </si>
  <si>
    <t>CLIMANT; FILANT; MARMOL; EU(European Union (EU))</t>
  </si>
  <si>
    <t>We thank colleagues who helped to collect material on board and the officers and crew of the RV Polarstern for their cooperation and hospitality during the ANT XVII/3 (EASIZ III) cruise. We also thank Pablo Lopez for helping in the specimens tracking, Karin Sindemark Kronestedt, Curatorial assistant of he Swedish Museum of Natural History (Stockholm), and Ole S. Tendal, curator of the Copenhagen Museum, for lending the types and other specimens of S. borealis, and J.M Fortuno (ICM) for processing the samples for SEM. The study has been partially funded by projects CLIMANT (POL2006-06399/CGL), FILANT (REN2003-04236) to JMG and MARMOL (CTM2007-66635-CO2) to MJU, and a TMR-CT97-2813 fellowship (EU) to CO.</t>
  </si>
  <si>
    <t>10.1007/s00300-010-0876-y</t>
  </si>
  <si>
    <t>WOS:000287904600009</t>
  </si>
  <si>
    <t>Fretwell, PT; Convey, P; Fleming, AH; Peat, HJ; Hughes, KA</t>
  </si>
  <si>
    <t>Fretwell, P. T.; Convey, P.; Fleming, A. H.; Peat, H. J.; Hughes, K. A.</t>
  </si>
  <si>
    <t>Detecting and mapping vegetation distribution on the Antarctic Peninsula from remote sensing data</t>
  </si>
  <si>
    <t>Remote sensing; Vegetation mapping; Climate change; Regional warming; Deschampsia antarctica; NDVI; Antarctica</t>
  </si>
  <si>
    <t>VASCULAR PLANTS; TERRESTRIAL; ECOSYSTEMS; DIVERSITY</t>
  </si>
  <si>
    <t>We present the first regional map of vegetation of anywhere on the Antarctic continent based on remote sensing (RS) data. We have used a normalized difference vegetation index (NDVI) for the examination of Landsat ETM data on the Antarctic Peninsula. The results show that 44.6 km(2) (0.086%) of the study area (74,468 km(2)) is classed with a probability of vegetation of over 50%. The NDVI analysis is ground-truthed against vegetation surveys in Ryder Bay on the Antarctic Peninsula, and the results have been corrected for several factors influencing low NDVI readings in this environment. This methodology has been applied to 13 Landsat scenes covering Graham Land in the Northern part of the Antarctic Peninsula to examine the distribution of vegetation in the region. The Antarctic Peninsula region is important, as it has shown rapid warming of over 3 degrees C during the past 50 years, and predictions indicate accelerated future warming. A baseline survey of the amount and distribution of vegetation is required against which to monitor future change. The results give a comprehensive coverage and allow us to present the first remote sensing-based vegetation map in Antarctica. However, initial results point to the need for further investigation of apparent errors resulting from geology on bare ground.</t>
  </si>
  <si>
    <t>[Fretwell, P. T.; Convey, P.; Fleming, A. H.; Peat, H. J.; Hughes, K. A.] British Antarctic Survey, NERC, Cambridge CB3 0ET, England</t>
  </si>
  <si>
    <t>Fretwell, PT (corresponding author), British Antarctic Survey, NERC, High Cross,Madingley Rd, Cambridge CB3 0ET, England.</t>
  </si>
  <si>
    <t>ptf@bas.ac.uk</t>
  </si>
  <si>
    <t>Hughes, Kevin/JVZ-0793-2024; Peat, Helen J/E-9666-2015; Convey, Peter/AAV-5728-2020</t>
  </si>
  <si>
    <t>Convey, Peter/0000-0001-8497-9903; Peat, Helen/0000-0003-2017-8597</t>
  </si>
  <si>
    <t>10.1007/s00300-010-0880-2</t>
  </si>
  <si>
    <t>WOS:000287904600011</t>
  </si>
  <si>
    <t>Cowan, DA; Pointing, SB; Stevens, MI; Cary, SC; Stomeo, F; Tuffin, IM</t>
  </si>
  <si>
    <t>Cowan, Don A.; Pointing, Stephen B.; Stevens, Mark I.; Cary, S. Craig; Stomeo, Francesca; Tuffin, I. Marla</t>
  </si>
  <si>
    <t>Distribution and abiotic influences on hypolithic microbial communities in an Antarctic Dry Valley</t>
  </si>
  <si>
    <t>Miers valley; Antarctica; Cryptic microbial communities; Hypolithons; Microniches</t>
  </si>
  <si>
    <t>ENVIRONMENTAL GRADIENTS; CHINA HOT; DIVERSITY; ECOLOGY</t>
  </si>
  <si>
    <t>The Miers Valley within the McMurdo Dry Valleys of Antarctica supports abundant quartz and marble substrates for hypolithons-microbial colonists on the underside of these translucent rocks. Three physically distinct hypolithic community types have been identified: cyanobacteria dominated (Type I), fungus dominated (Type II) or moss dominated (Type III). The distribution of the three types was mapped across much of the similar to 75 km(2) area of the upper Miers Valley and correlated this with the measurements of selected micro-environmental variables. Type I hypolithons were most common and occurred at all altitudes up to 824 in, whilst Type II and Type III hypolithons were less abundant and restricted to lower altitudes on the valley floor (&lt; 415 m and &lt; 257 m, respectively). Whilst all colonized quartz effectively filtered incident UVB irradiance, transmittance levels for UVA and PAR varied markedly and were significant in determining hypolith type. Notably, the Type I hypolithons occurred under rocks with a significantly lower transmittance of photosynthetically active radiation than Type II and III hypolithons. Altitude and aspect were also significant factors determining hypolith type, and a role for altitude-related abiotic variables in determining the distribution of Type I, II and III hypolithons is proposed.</t>
  </si>
  <si>
    <t>[Cowan, Don A.; Stomeo, Francesca; Tuffin, I. Marla] Univ Western Cape, Inst Microbial Biotechnol &amp; Metagenom, ZA-7535 Cape Town, South Africa; [Pointing, Stephen B.] Univ Hong Kong, Sch Biol Sci, Hong Kong, Hong Kong, Peoples R China; [Stevens, Mark I.] S Australian Museum, Adelaide, SA 5000, Australia; [Stevens, Mark I.] Univ Adelaide, Sch Earth &amp; Environm Sci, Adelaide, SA 5000, Australia; [Cary, S. Craig] Univ Waikato, Dept Biol Sci, Hamilton, New Zealand; [Cary, S. Craig] Univ Delaware, Grad Coll Marine Studies, Lewes, DE 19958 USA</t>
  </si>
  <si>
    <t>University of the Western Cape; University of Hong Kong; University of Adelaide; University of Waikato; University of Delaware</t>
  </si>
  <si>
    <t>Cowan, DA (corresponding author), Univ Western Cape, Inst Microbial Biotechnol &amp; Metagenom, ZA-7535 Cape Town, South Africa.</t>
  </si>
  <si>
    <t>dcowan@uwc.ac.za</t>
  </si>
  <si>
    <t>Trindade, Marla/AAU-9730-2020; Cowan, Donald A/E-3991-2012; Pointing, Stephen/JHT-2500-2023</t>
  </si>
  <si>
    <t>Trindade, Marla/0000-0002-2478-0270; Cowan, Donald A/0000-0001-8059-861X; stomeo, francesca/0000-0003-1776-6128; Cary, Stephen/0000-0002-2876-2387</t>
  </si>
  <si>
    <t>Australian Antarctic Division [ASAC 2355]; Waikato University; National Research Foundation; Hong Kong Research Grants Council [7733/08MM]; Antarctica New Zealand; NZ Foundation for Research Science &amp; Technology (Terrestrial Antarctic Biocomplexity Survey, nzTABS); Office of Polar Programs (OPP); Directorate For Geosciences [0739648] Funding Source: National Science Foundation</t>
  </si>
  <si>
    <t>Australian Antarctic Division; Waikato University; National Research Foundation; Hong Kong Research Grants Council(Hong Kong Research Grants Council); Antarctica New Zealand; NZ Foundation for Research Science &amp; Technology (Terrestrial Antarctic Biocomplexity Survey, nzTABS)(New Zealand Foundation for Research, Science and Technology); Office of Polar Programs (OPP); Directorate For Geosciences(National Science Foundation (NSF)NSF - Directorate for Geosciences (GEO))</t>
  </si>
  <si>
    <t>This research was undertaken under the auspices of the South African Antarctic Research Project, Australian Antarctic Division (ASAC 2355) and the Waikato University Antarctic Terrestrial Biology Research Program. We thank Irfan Jones and Brian Storey (Gateway Antarctica, Univ. of Canterbury, NZ) for preparing Fig. 1. The authors gratefully acknowledge funding from the National Research Foundation (SA), the Hong Kong Research Grants Council (7733/08MM), Antarctica New Zealand and the NZ Foundation for Research Science &amp; Technology (Terrestrial Antarctic Biocomplexity Survey, nzTABS).</t>
  </si>
  <si>
    <t>10.1007/s00300-010-0872-2</t>
  </si>
  <si>
    <t>hybrid, Green Submitted</t>
  </si>
  <si>
    <t>WOS:000287904600015</t>
  </si>
  <si>
    <t>Simms, AR; DeWitt, R; Kouremenos, P; Drewry, AM</t>
  </si>
  <si>
    <t>Simms, Alexander R.; DeWitt, Regina; Kouremenos, Peter; Drewry, Ann Marie</t>
  </si>
  <si>
    <t>A new approach to reconstructing sea levels in Antarctica using optically stimulated luminescence of cobble surfaces</t>
  </si>
  <si>
    <t>QUATERNARY GEOCHRONOLOGY</t>
  </si>
  <si>
    <t>Sea level; Optically stimulated luminescence; Antarctica; Beaches; Holocene; Coastal geology</t>
  </si>
  <si>
    <t>SOUTH SHETLAND-ISLANDS; KING-GEORGE-ISLAND; LAST GLACIAL MAXIMUM; REGENERATIVE-DOSE PROTOCOL; PENINSULA ICE-SHEET; MELTWATER-PULSE-IA; EAST ANTARCTICA; WEST ANTARCTICA; QUATERNARY SEDIMENTS; TAYLOR VALLEY</t>
  </si>
  <si>
    <t>Most current methods of reconstructing past sea levels within Antarctica rely on radiocarbon dating. However, radiocarbon dating is limited by the availability of material for dating and problems inherent with radiocarbon reservoirs in Antarctic marine systems. Here we report on the success of a new approach to dating raised beach deposits in Antarctica for the purpose of reconstructing past sea levels. This new approach is the use of optically stimulated luminescence (OSL) on quartz-grains obtained from the underside of cobbles within raised beaches and boulder pavements. We obtained eight OSL dates from three sites along the shores of Maxwell Bay in the South Shetland Islands of the Antarctic Peninsula. These dates are internally consistent and fit well with previously published radiocarbon ages obtained from the same deposits. In addition, when the technique was applied to a modern beach, it resulted in an age of zero. Our results suggest that this method will provide a valuable tool in the reconstruction of past sea levels in Antarctica and other coarse-grained beach deposits across the globe. (c) 2010 Elsevier B.V. All rights reserved.</t>
  </si>
  <si>
    <t>[Simms, Alexander R.; Kouremenos, Peter; Drewry, Ann Marie] Oklahoma State Univ, Boone Pickens Sch Geol, NRC 105, Stillwater, OK 74074 USA; [DeWitt, Regina] Oklahoma State Univ, Dept Phys, Radiat Dosimetry Lab, Stillwater, OK 74074 USA</t>
  </si>
  <si>
    <t>Oklahoma State University System; Oklahoma State University - Stillwater; Oklahoma State University System; Oklahoma State University - Stillwater</t>
  </si>
  <si>
    <t>Simms, AR (corresponding author), Univ Calif Santa Barbara, Dept Earth Sci, 1006 Webb Hall, Santa Barbara, CA 93106 USA.</t>
  </si>
  <si>
    <t>asimms@geol.ucsb.edu; regina.kalchgruber@okstate.edu; pkouremenos@yahoo.com.ca; annie.drewry@questar.com</t>
  </si>
  <si>
    <t>Simms, Alexander R/E-5609-2012</t>
  </si>
  <si>
    <t>DeWitt, Regina/0000-0003-2876-5489; Simms, Alexander/0000-0001-5034-2189</t>
  </si>
  <si>
    <t>National Science Foundation [OPP-07-24929]; Directorate For Geosciences; Office of Polar Programs (OPP) [0838781] Funding Source: National Science Foundation</t>
  </si>
  <si>
    <t>National Science Foundation(National Science Foundation (NSF)); Directorate For Geosciences; Office of Polar Programs (OPP)(National Science Foundation (NSF)NSF - Directorate for Geosciences (GEO))</t>
  </si>
  <si>
    <t>The authors would like to thank the science party and crew of the R/V Nathaniel B. Palmer NBP0703 cruise for logistical support and scientific discussions. We would also like to thank German Martella and Albert Lluberas from the Jefe Departamento Ocean-ografia for the tidal observations and predictions for Artigas Base. This manuscript was greatly improved by thoughtful reviews by two anonymous reviewers and editor Richard Roberts. This project was funded by the National Science Foundation award #OPP-07-24929.</t>
  </si>
  <si>
    <t>ELSEVIER SCI LTD</t>
  </si>
  <si>
    <t>THE BOULEVARD, LANGFORD LANE, KIDLINGTON, OXFORD OX5 1GB, OXON, ENGLAND</t>
  </si>
  <si>
    <t>1871-1014</t>
  </si>
  <si>
    <t>QUAT GEOCHRONOL</t>
  </si>
  <si>
    <t>Quat. Geochronol.</t>
  </si>
  <si>
    <t>10.1016/j.quageo.2010.06.004</t>
  </si>
  <si>
    <t>696HU</t>
  </si>
  <si>
    <t>WOS:000285433300006</t>
  </si>
  <si>
    <t>Blagoveshchenskaya, NF; Borisova, FTD; Yeoman, TK; Rietveld, MT</t>
  </si>
  <si>
    <t>Blagoveshchenskaya, N. F.; Borisova, F. T. D.; Yeoman, T. K.; Rietveld, M. T.</t>
  </si>
  <si>
    <t>THE EFFECTS OF MODIFICATION OF A HIGH-LATITUDE IONOSPHERE BY HIGH-POWER HF RADIO WAVES. PART 1. RESULTS OF MULTI-INSTRUMENT GROUND-BASED OBSERVATIONS</t>
  </si>
  <si>
    <t>RADIOPHYSICS AND QUANTUM ELECTRONICS</t>
  </si>
  <si>
    <t>MAGNETIC ZENITH; IRREGULARITIES; FREQUENCY; REGION; TROMSO</t>
  </si>
  <si>
    <t>We present the results of multi-instrument experiments related to studying the phenomena in the high-latitude ionosphere affected by high-power radio waves using the EISCAT technical facilities. It was found for the first time that strong small-scale artificial field-aligned irregularities (AFAIs) are excited when the ionospheric F region is heated by a high-power HF radio wave with X-mode polarization near the altitude at which the critical frequency f(xF2) of the F-2 layer is equal to the frequency f(H) of the heating accompanied by an up to 50% increase in the electron temperature. The spatial structure of the artificially perturbed ionospheric F region is examined in detail using an incoherent scatter radar operated in the regime of scanning over elevation angles from 92 degrees to 74 degrees with a 2 degrees step. It is shown that the spatial size of the heated patch strongly depends on the angle of the HF pumping relative to the Earth's magnetic field. The phenomena occurring in the artificially modified ionospheric F region heated at frequencies near the third electron gyroharmonic, i.e., at f(H) = 3f(ce) = f(UH), where f(UH) is the upper-hybrid frequency, are explored on the basis of multi-instrument observation data.</t>
  </si>
  <si>
    <t>[Blagoveshchenskaya, N. F.; Borisova, F. T. D.] Arctic &amp; Antarctic Res Inst, St Petersburg 199226, Russia; [Yeoman, T. K.] Univ Leicester, Leicester, Leics, England; [Rietveld, M. T.] EISCAT Sci Assoc, Ramfjordbotn, Norway</t>
  </si>
  <si>
    <t>Arctic &amp; Antarctic Research Institute; University of Leicester</t>
  </si>
  <si>
    <t>Blagoveshchenskaya, NF (corresponding author), Arctic &amp; Antarctic Res Inst, St Petersburg 199226, Russia.</t>
  </si>
  <si>
    <t>nataly@aari.nw.ru</t>
  </si>
  <si>
    <t>Blagoveshchenskaya, Nataly/AAE-4093-2022; Yeoman, Timothy k/L-9105-2014; Blagoveshchenskaya, Nataly F./S-4342-2017</t>
  </si>
  <si>
    <t>Blagoveshchenskaya, Nataly/0000-0003-1752-3273; Yeoman, Timothy k/0000-0002-8434-4825; Blagoveshchenskaya, Nataly F./0000-0003-1752-3273</t>
  </si>
  <si>
    <t>Science and Technology Council of Great Britain [PP/E007929/1, ST/H002480/1]; Meteorological Institute of Finland; Institute for Space Physics of Sweden; Federal Target Program Geophysics; Russian Foundation for Basic Research [07-05-00167a]; Science and Technology Facilities Council [PP/E007929/1, ST/H002480/1] Funding Source: researchfish</t>
  </si>
  <si>
    <t>Science and Technology Council of Great Britain; Meteorological Institute of Finland; Institute for Space Physics of Sweden; Federal Target Program Geophysics; Russian Foundation for Basic Research(Russian Foundation for Basic Research (RFBR)Spanish Government); Science and Technology Facilities Council(UK Research &amp; Innovation (UKRI)Science &amp; Technology Facilities Council (STFC))</t>
  </si>
  <si>
    <t>The authors are grateful to the EISCAT collaborators for help with the experiments in Tromso (Norway). The system of CUTLASS radars in Finland and Iceland was supported by the Science and Technology Council of Great Britain, project No. PP/E007929/1, the Meteorological Institute of Finland, and the Institute for Space Physics of Sweden. This work was supported in part by the Federal Target Program Geophysics and the Russian Foundation for Basic Research (project No. 07-05-00167a). Dr. TK. Yeoman was supported by the Science and Technology Council of Great Britain (project No. ST/H002480/1).</t>
  </si>
  <si>
    <t>0033-8443</t>
  </si>
  <si>
    <t>1573-9120</t>
  </si>
  <si>
    <t>RADIOPHYS QUANT EL+</t>
  </si>
  <si>
    <t>Radiophys. Quantum Electron.</t>
  </si>
  <si>
    <t>9-10</t>
  </si>
  <si>
    <t>10.1007/s11141-011-9247-y</t>
  </si>
  <si>
    <t>Engineering, Electrical &amp; Electronic; Physics, Applied; Physics, Fluids &amp; Plasmas</t>
  </si>
  <si>
    <t>Engineering; Physics</t>
  </si>
  <si>
    <t>759UI</t>
  </si>
  <si>
    <t>WOS:000290273600002</t>
  </si>
  <si>
    <t>Shivaji, S; Kumari, K; Kishore, KH; Pindi, PK; Rao, PS; Srinivas, TNR; Asthana, R; Ravindra, R</t>
  </si>
  <si>
    <t>Shivaji, Sisinthy; Kumari, Kiran; Kishore, Kankipati Hara; Pindi, Pavan Kumar; Rao, Pasupuleti Sreenivasa; Srinivas, Tanuku Naga Radha; Asthana, Rajesh; Ravindra, Rasik</t>
  </si>
  <si>
    <t>Vertical distribution of bacteria in a lake sediment from Antarctica by culture-independent and culture-dependent approaches</t>
  </si>
  <si>
    <t>RESEARCH IN MICROBIOLOGY</t>
  </si>
  <si>
    <t>T-RFLP; 16S rRNA clone library; Culturable approach</t>
  </si>
  <si>
    <t>LENGTH-POLYMORPHISM ANALYSIS; MCMURDO DRY VALLEYS; SP-NOV.; COMMUNITY STRUCTURE; SCHIRMACHER OASIS; MICROBIAL COMMUNITIES; METABOLIC-ACTIVITY; MAT SAMPLE; DIVERSITY; 16S</t>
  </si>
  <si>
    <t>Bacterial diversity of the subsurface (18-22 cm), middle (60-64 cm) and bottom (100-104 cm) of a 136-cm-long sediment core sampled from a freshwater lake in Antarctica was determined by the culturable approach, T-RFLP and 16S rRNA gene clone libraries. Using the culturable approach, 41 strains were isolated and, based on phylogenetic analysis, they could be categorized into 14 groups. Representatives of the 14 groups varied in their growth temperature range (4-30 degrees C), in their tolerance to NaCl (0-2 M NaCl) and in the growth pH range (5-11). Eleven of fourteen representative strains exhibited either amylase, lipase, protease and (or) urease activities at 4 degrees C. Bacterial diversity at the phyla level using T-RFLP and 16S rRNA clone libraries was similar and clones were affiliated with Proteobacteria, Bacteroidetes, Actinobacteria and Firmicutes. TRFs affiliated with Spirochaetes were detected only by the T-RFLP approach and clones affiliated with Caldiserica only in the clone libraries. Stratification of bacteria along the depth of the sediment was observed both with the T-RFLP and the 16S rRNA gene clone library methods, and results indicated that stratification was dependent on the nature of the organism, aerobic or anaerobic. For instance, aerobic Janthinobacterium and Polaromonas were confined to the surface of the sediment, whereas anaerobic Caldisericum was present only in the bottom portion of the core. It may be concluded that the bacterial diversity of an Antarctic lake sediment core sample varies throughout the length of the core depending oil the oxic-anoxic conditions of the sediment. Furthermore, these psychrophilic bacteria, due to their ability to produce extracellular cold active enzymes, might play a key role in the transformation of complex organic compounds. (C) 2010 Institut Pasteur. Published by Elsevier Masson SAS. All rights reserved.</t>
  </si>
  <si>
    <t>[Shivaji, Sisinthy; Kumari, Kiran; Kishore, Kankipati Hara; Pindi, Pavan Kumar; Rao, Pasupuleti Sreenivasa; Srinivas, Tanuku Naga Radha] Ctr Cellular &amp; Mol Biol, Hyderabad 500007, Andhra Pradesh, India; [Asthana, Rajesh] Geol Survey India, Antarctic Div, Faridabad 121001, India; [Ravindra, Rasik] Natl Ctr Antarctic &amp; Ocean Res, Vasco Da Gama 403804, Goa, India</t>
  </si>
  <si>
    <t>Council of Scientific &amp; Industrial Research (CSIR) - India; CSIR - Centre for Cellular &amp; Molecular Biology (CCMB); Geological Survey India; Ministry of Earth Sciences (MoES) - India; National Centre for Polar and Ocean Research (NCPOR)</t>
  </si>
  <si>
    <t>Shivaji, S (corresponding author), Ctr Cellular &amp; Mol Biol, Uppal Rd, Hyderabad 500007, Andhra Pradesh, India.</t>
  </si>
  <si>
    <t>shivas@ccmb.res.in; Kiran777@ccmb.res.in; harakishore@ccmb.res.in; pavankumarpindi@gmail.com; drpsrao@comb.res.in; tanuku@nio.res.in; rasik@ncaor.org</t>
  </si>
  <si>
    <t>TANUKU, SRINIVAS N R/F-1029-2013</t>
  </si>
  <si>
    <t>shivaji, sisinthy/0000-0003-0376-4658</t>
  </si>
  <si>
    <t>National Center for Antarctic and Ocean Research, Goa; CSIR Network [NWP0006]</t>
  </si>
  <si>
    <t>National Center for Antarctic and Ocean Research, Goa; CSIR Network(Council of Scientific &amp; Industrial Research (CSIR) - India)</t>
  </si>
  <si>
    <t>We would like to thank the National Center for Antarctic and Ocean Research, Goa and the CSIR Network Project titled Exploitation of India's rich microbial diversity (NWP0006) for funding. TNRS acknowledges the CSIR, the Government of India for the award of a Research Associate position.</t>
  </si>
  <si>
    <t>0923-2508</t>
  </si>
  <si>
    <t>1769-7123</t>
  </si>
  <si>
    <t>RES MICROBIOL</t>
  </si>
  <si>
    <t>Res. Microbiol.</t>
  </si>
  <si>
    <t>10.1016/j.resmic.2010.09.020</t>
  </si>
  <si>
    <t>741QZ</t>
  </si>
  <si>
    <t>WOS:000288880500012</t>
  </si>
  <si>
    <t>Zvyagintsev, AM; Ivanova, NS; Kruchenitskii, GM</t>
  </si>
  <si>
    <t>Zvyagintsev, A. M.; Ivanova, N. S.; Kruchenitskii, G. M.</t>
  </si>
  <si>
    <t>Ozone content over the Russian federation in 2010</t>
  </si>
  <si>
    <t>RUSSIAN METEOROLOGY AND HYDROLOGY</t>
  </si>
  <si>
    <t>The review is compiled based on the results of the operation of the total ozone (TO) monitoring system in the CIS and Baltic countries, functioning in the operational regime at the Central Aerological Observatory (CAO). The monitoring system uses the data from the national network of filter ozonometers M-124 type under supervision of the Main Geophysical Observatory (MGO). The proper operation of the entire system is under an operational control from observations with the OMI satellite (US NASA) equipment. Basic TO observation data for each month of the fourth quarter of 2010, for the quarter and the year as a whole are generalized. Peculiarities of the Spring Antarctic Ozone Anomaly development in 2010 are described. Basic results of regular observations of the surface ozone and other minor atmospheric gas components in the Moscow region in 2010 are also under consideration.</t>
  </si>
  <si>
    <t>[Zvyagintsev, A. M.; Ivanova, N. S.; Kruchenitskii, G. M.] Cent Aerol Observ, Dolgoprudnyi 141700, Moscow Oblast, Russia</t>
  </si>
  <si>
    <t>Zvyagintsev, AM (corresponding author), Cent Aerol Observ, Pervomaiskaya Ul 3, Dolgoprudnyi 141700, Moscow Oblast, Russia.</t>
  </si>
  <si>
    <t>ALLERTON PRESS INC</t>
  </si>
  <si>
    <t>18 WEST 27TH ST, NEW YORK, NY 10001 USA</t>
  </si>
  <si>
    <t>1068-3739</t>
  </si>
  <si>
    <t>RUSS METEOROL HYDRO+</t>
  </si>
  <si>
    <t>Russ. Meteorol. Hydrol.</t>
  </si>
  <si>
    <t>10.3103/S1068373911020105</t>
  </si>
  <si>
    <t>739II</t>
  </si>
  <si>
    <t>WOS:000288708700010</t>
  </si>
  <si>
    <t>Arenz, BE; Blanchette, RA</t>
  </si>
  <si>
    <t>Arenz, B. E.; Blanchette, R. A.</t>
  </si>
  <si>
    <t>Distribution and abundance of soil fungi in Antarctica at sites on the Peninsula, Ross Sea Region and McMurdo Dry Valleys</t>
  </si>
  <si>
    <t>SOIL BIOLOGY &amp; BIOCHEMISTRY</t>
  </si>
  <si>
    <t>Antarctica; Fungi; Biodiversity; Microbial Ecology; Salinity; pH; Carbon; Nitrogen</t>
  </si>
  <si>
    <t>HISTORIC EXPEDITION HUTS; ORGANIC-MATTER; DIVERSITY; MARITIME; DECOMPOSITION; MICROBIOLOGY; COMMUNITIES; LICHENS; ISLAND; LAND</t>
  </si>
  <si>
    <t>Fungal abundance and diversity were studied from 245 soil samples collected in 18 distinct ice-free locations in Antarctica including areas in the McMurdo Dry Valleys, Ross Sea Region, and the Antarctic Peninsula. Cultivable fungal abundance in soil was found to be most positively correlated with percent carbon and nitrogen based on a Spearman's rank correlation test of six soil parameters. Soil moisture and C/N ratio were also positively correlated with fungal abundance while pH and conductivity were negatively correlated. These results suggest that nutrient limitations in these highly oligotrophic environments are a primary factor in determining the distribution and abundance of indigenous fungi. Other effects of the extreme Antarctic environment likely affect fungi indirectly by limiting the distribution and abundance of plant-derived sources of carbon. (C) 2010 Elsevier Ltd. All rights reserved.</t>
  </si>
  <si>
    <t>[Arenz, B. E.; Blanchette, R. A.] Univ Minnesota, Dept Plant Pathol, St Paul, MN 55108 USA</t>
  </si>
  <si>
    <t>University of Minnesota System; University of Minnesota Twin Cities</t>
  </si>
  <si>
    <t>Arenz, BE (corresponding author), Univ Minnesota, Dept Plant Pathol, 495 Borlaug Hall,1991 Upper Buford Circle, St Paul, MN 55108 USA.</t>
  </si>
  <si>
    <t>Aren0058@umn.edu</t>
  </si>
  <si>
    <t>Blanchette, Robert A./0000-0003-2819-6511</t>
  </si>
  <si>
    <t>National Science Foundation [0537143]; Directorate For Geosciences; Division Of Polar Programs [0537143] Funding Source: National Science Foundation</t>
  </si>
  <si>
    <t>National Science Foundation(National Science Foundation (NSF)); Directorate For Geosciences; Division Of Polar Programs(National Science Foundation (NSF)NSF - Directorate for Geosciences (GEO))</t>
  </si>
  <si>
    <t>We would like to thank the British Antarctic Survey (BAS) and the crew of the HMS Endurance for facilitating travel to sites on the Antarctic Peninsula in 2007. We also specifically thank John Shears and Dave Burkitt from BAS and Stephen Pointing and Maggie Lau from the University of Hong Kong as well as Joel Jurgens and Ben Held from the University of Minnesota for assistance with sampling events. Thanks to David Manning for assistance with carbon and nitrogen analysis. We thank Mark Holland of the University of Minnesota for advice with statistical analysis and support personnel of Scott Base and McMurdo Station and Antarctica New Zealand and National Science Foundation for logistic support. This research is based upon work supported by the National Science Foundation Grant No. 0537143.</t>
  </si>
  <si>
    <t>0038-0717</t>
  </si>
  <si>
    <t>1879-3428</t>
  </si>
  <si>
    <t>SOIL BIOL BIOCHEM</t>
  </si>
  <si>
    <t>Soil Biol. Biochem.</t>
  </si>
  <si>
    <t>10.1016/j.soilbio.2010.10.016</t>
  </si>
  <si>
    <t>Soil Science</t>
  </si>
  <si>
    <t>Agriculture</t>
  </si>
  <si>
    <t>716KP</t>
  </si>
  <si>
    <t>WOS:000286967800011</t>
  </si>
  <si>
    <t>[Anonymous]</t>
  </si>
  <si>
    <t>THE 2ND ANTARCTIC STATION</t>
  </si>
  <si>
    <t>SPACE</t>
  </si>
  <si>
    <t>SPACE MAGAZINE</t>
  </si>
  <si>
    <t>SEOUL</t>
  </si>
  <si>
    <t>219 WONSEO-DONG, JONGNO-GU, SEOUL, 110-280, SOUTH KOREA</t>
  </si>
  <si>
    <t>1228-2472</t>
  </si>
  <si>
    <t>Space</t>
  </si>
  <si>
    <t>Architecture</t>
  </si>
  <si>
    <t>Arts &amp; Humanities Citation Index (A&amp;HCI)</t>
  </si>
  <si>
    <t>727DV</t>
  </si>
  <si>
    <t>WOS:000287778700016</t>
  </si>
  <si>
    <t>Wang, YB; Mia, JL; He, BJ; Liang, QA; Liu, FM; Zheng, Z</t>
  </si>
  <si>
    <t>Wang Yi-bin; Mia Jin-lai; He Bi-juan; Liang Qiang; Liu Fang-ming; Zheng Zhou</t>
  </si>
  <si>
    <t>Laser Tweezers Raman Spectroscopy Analysis of Cold-Adapted Aromatic Hydrocarbons-Degradating Strains Isolated from Antarctic Sea</t>
  </si>
  <si>
    <t>SPECTROSCOPY AND SPECTRAL ANALYSIS</t>
  </si>
  <si>
    <t>Chinese</t>
  </si>
  <si>
    <t>Laser tweezers Raman spectroscopy (LTRS); Antarctica microorganisms; Low-temperature biodegradation; Polycyclic aromatic hydrocarbons (PAHs)</t>
  </si>
  <si>
    <t>CELLS</t>
  </si>
  <si>
    <t>Laser tweezers Raman spectroscopy can help with observing and studying individual cells or organelles in a natural state for a relatively long period. In the present experiment, Laser tweezers Raman spectroscopy (LTRS) was used as a tool to report physiological metabolism such as cells growth and nucleic acid, proteins, lipid and glucose of a single active cold-adapted Aromatic hydrocarbons-degradating strains isolated from Antarctic Sea. After the Raman spectrum was collected and analyzed, the findings are as follows; Raman spectrum identified the components of a single cold-adapted Aromatic hydrocarbons-degradating strain and there were more proteins and carbohydrate produced during the Planococcus sp. NJ41 and Shewanella sp. NJ49 growth and degradation; but there was more lipid than the proteins produced during the Pseudoalteromonas sp. NJ289 growth and degradation; the amount of proteins produced by the strains corresponds with the production of degradation rate-limiting enzyme, and was also related to the capacity of low-temperature degradation of aromatic hydrocarbons.</t>
  </si>
  <si>
    <t>[Wang Yi-bin; Mia Jin-lai; Liang Qiang; Liu Fang-ming; Zheng Zhou] State Ocean Adm, Inst Oceanog 1, Qingdao 266061, Peoples R China; [Wang Yi-bin; Mia Jin-lai; Liang Qiang; Liu Fang-ming; Zheng Zhou] State Ocean Adm, Key Lab Marine Bioact Subst, Qingdao 266061, Peoples R China; [He Bi-juan] Guangxi Acad Sci, Nanning 530007, Peoples R China</t>
  </si>
  <si>
    <t>First Institute of Oceanography, Ministry of Natural Resources; Guangxi Academy of Sciences</t>
  </si>
  <si>
    <t>Mia, JL (corresponding author), State Ocean Adm, Inst Oceanog 1, Qingdao 266061, Peoples R China.</t>
  </si>
  <si>
    <t>wangyb1983@163.com; miaojinlai@163.com</t>
  </si>
  <si>
    <t>xin, liang/JFS-5770-2023; Zheng, Zhou/JJD-0602-2023</t>
  </si>
  <si>
    <t>OFFICE SPECTROSCOPY &amp; SPECTRAL ANALYSIS</t>
  </si>
  <si>
    <t>BEIJING</t>
  </si>
  <si>
    <t>NO 76 COLLAGE SOUTH RD BEIJING, BEIJING 100081, PEOPLES R CHINA</t>
  </si>
  <si>
    <t>1000-0593</t>
  </si>
  <si>
    <t>SPECTROSC SPECT ANAL</t>
  </si>
  <si>
    <t>Spectrosc. Spectr. Anal.</t>
  </si>
  <si>
    <t>10.3964/j.issn.1000-0593(2011)02-0418-04</t>
  </si>
  <si>
    <t>Spectroscopy</t>
  </si>
  <si>
    <t>720EO</t>
  </si>
  <si>
    <t>WOS:000287263400029</t>
  </si>
  <si>
    <t>Luo, YH; Liu, WQ; Bian, LG; Lu, CG; Xie, PH; Si, FQ; Sun, LG</t>
  </si>
  <si>
    <t>Luo Yu-han; Liu Wen-qing; Bian Lin-gen; Lu Chang-gui; Xie Pin-hua; Si Fu-qi; Sun Li-guang</t>
  </si>
  <si>
    <t>The Retrieval of Ozone Column Densities by Passive Differential Optical Absorption Spectroscopy during Summer at Zhongshan Station, Antarctic</t>
  </si>
  <si>
    <t>Ozone; Vertical column density; Passive DOAS; Antarctic</t>
  </si>
  <si>
    <t>LIGHT OBSERVATIONS; TRACE GASES; DOAS; SCATTERING</t>
  </si>
  <si>
    <t>Daily ozone column densities were monitored by Passive DOAS (differential optical absorption spectroscopy) from December 10th, 2008 to Feb 19th, 2009 at Zhongshan Station, Antarctic (69 22'24 '' S, 76 22'14 '' E). Considering the absorption of O-3, OClO, NO2, O-4, BrO and the Ring effect, ozone slant column densities were retrieved using the zenith scattered sunlight as the light source. The results showed that there was no obvious ozone hole during the monitoring period, but ozone VCD (vertical column density) had greatly changed within short time scale, especially in middle December and early February. The analysis of passive DOAS and Brewer measurements of ozone VCD showed good agreement with the correlative coefficient of 0. 863, while satellite board OMI measurements with the correlative coefficient of 0. 840, which confirmed the validity of the monitoring of Passive DOAS.</t>
  </si>
  <si>
    <t>[Luo Yu-han; Liu Wen-qing; Xie Pin-hua; Si Fu-qi] Chinese Acad Sci, Anhui Inst Opt &amp; Fine Mech, Hefei 230031, Peoples R China; [Luo Yu-han; Sun Li-guang] Univ Sci &amp; Technol China, Inst Polar Environm, Hefei 230026, Peoples R China; [Bian Lin-gen; Lu Chang-gui] Chinese Acad Meteorol Sci, Beijing 100081, Peoples R China</t>
  </si>
  <si>
    <t>Chinese Academy of Sciences; Hefei Institutes of Physical Science, CAS; Anhui Institute of Optics &amp; Fine Mechanics (AIOFM), CAS; Chinese Academy of Sciences; University of Science &amp; Technology of China, CAS; China Meteorological Administration; Chinese Academy of Meteorological Sciences (CAMS)</t>
  </si>
  <si>
    <t>Liu, WQ (corresponding author), Chinese Acad Sci, Anhui Inst Opt &amp; Fine Mech, Hefei 230031, Peoples R China.</t>
  </si>
  <si>
    <t>yuhanluo@mail.ustc.edu.cn; wqliu@aiofm.ac.cn</t>
  </si>
  <si>
    <t>liu, wen/HGE-3071-2022</t>
  </si>
  <si>
    <t>10.3964/j.issn.1000-0593(2011)02-0456-05</t>
  </si>
  <si>
    <t>WOS:000287263400038</t>
  </si>
  <si>
    <t>Anesio, AM; Bellas, CM</t>
  </si>
  <si>
    <t>Anesio, Alexandre M.; Bellas, Christopher M.</t>
  </si>
  <si>
    <t>Are low temperature habitats hot spots of microbial evolution driven by viruses?</t>
  </si>
  <si>
    <t>TRENDS IN MICROBIOLOGY</t>
  </si>
  <si>
    <t>BACTERIOPHAGE-HOST INTERACTIONS; NEOPROTEROZOIC SNOWBALL EARTH; MARINE-ENVIRONMENT; ANTAGONISTIC COEVOLUTION; EMILIANIA-HUXLEYI; ANTARCTIC LAKES; VIRAL DYNAMICS; BACTERIAL; GENES; TRANSDUCTION</t>
  </si>
  <si>
    <t>There is an increasing body of evidence to show that viruses are important drivers of microbial evolution and that they can store a great deal of the Earth's microbial diversity in their genomes. Examination of microbial diversity in polar regions has revealed a higher than expected diversity of viruses, bacteria and eukaryotic microbes. Further, the few available studies in polar regions reveal that viral control of microbial mortality is important in these habitats. In this opinion article, we argue that strong relationships between viruses and their hosts in a range of polar habitats could be key in explaining why polar regions are in fact hot spots of microbial diversity and evolution. Further, we argue that periodic glaciations, and particularly the Neoproterozoic low-latitude glaciation, known as 'snowball Earth', could have been periods of intense diversification in aquatic refuges.</t>
  </si>
  <si>
    <t>[Anesio, Alexandre M.; Bellas, Christopher M.] Univ Bristol, Sch Geog Sci, Bristol Glaciol Ctr, Bristol BS8 1SS, Avon, England</t>
  </si>
  <si>
    <t>University of Bristol</t>
  </si>
  <si>
    <t>Anesio, AM (corresponding author), Univ Bristol, Sch Geog Sci, Bristol Glaciol Ctr, Bristol BS8 1SS, Avon, England.</t>
  </si>
  <si>
    <t>a.m.anesio@bristol.ac.uk</t>
  </si>
  <si>
    <t>Anesio, Alexandre/A-7597-2008; Bellas, Christopher M/C-6292-2015</t>
  </si>
  <si>
    <t>Anesio, Alexandre/0000-0003-2990-4014; Bellas, Christopher/0000-0001-5084-7830</t>
  </si>
  <si>
    <t>UK Natural Environmental Research Council [NERC - NE/G00496X/1]; NERC; NERC [NE/G00496X/1] Funding Source: UKRI; Natural Environment Research Council [NE/G00496X/1] Funding Source: researchfish</t>
  </si>
  <si>
    <t>UK Natural Environmental Research Council(UK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</si>
  <si>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This research is funded by the UK Natural Environmental Research Council (NERC - NE/G00496X/1) to AMA. CMB is funded by a NERC Doctoral Training Programme grant. We would thank Professor Laybourn-Parry, Dr. Gail Teitzel and two anonymous referees for constructive comments on earlier versions of this manuscript.</t>
  </si>
  <si>
    <t>0966-842X</t>
  </si>
  <si>
    <t>1878-4380</t>
  </si>
  <si>
    <t>TRENDS MICROBIOL</t>
  </si>
  <si>
    <t>Trends Microbiol.</t>
  </si>
  <si>
    <t>10.1016/j.tim.2010.11.002</t>
  </si>
  <si>
    <t>728VT</t>
  </si>
  <si>
    <t>WOS:000287903300003</t>
  </si>
  <si>
    <t>Wittmann, AC; Storch, D; Anger, K; Pörtner, HO; Sartoris, FJ</t>
  </si>
  <si>
    <t>Wittmann, Astrid C.; Storch, Daniela; Anger, Klaus; Poertner, Hans O.; Sartoris, Franz J.</t>
  </si>
  <si>
    <t>Temperature-dependent activity in early life stages of the stone crab Paralomis granulosa (Decapoda, Anomura, Lithodidae): A role for ionic and magnesium regulation?</t>
  </si>
  <si>
    <t>JOURNAL OF EXPERIMENTAL MARINE BIOLOGY AND ECOLOGY</t>
  </si>
  <si>
    <t>Activity; Antarctic; Haemolymph ion composition; Heart rate; Magnesium; Paralomis granulosa; Temperature</t>
  </si>
  <si>
    <t>LOBSTER HOMARUS-GAMMARUS; CARCINUS-MAENAS L; EARLY JUVENILE DEVELOPMENT; HIGH SOUTHERN LATITUDES; KING CRAB; OSMOTIC REGULATION; THERMAL TOLERANCE; HEMOLYMPH MAGNESIUM; BIOCHEMICAL-CHANGES; SALINITY TOLERANCE</t>
  </si>
  <si>
    <t>Marine brachyuran and anomuran crustaceans are completely absent from the extremely cold (-1.8 degrees C) Antarctic continental shelf, but caridean shrimps are abundant. This has at least partly been attributed to low capacities for magnesium excretion in brachyuran and anomuran lithodid crabs ([Mg2+](HL) =20-50 mmol L-1 compared to caridean shrimp species [Mg2+](HL) = 5-12 mmol L-1). Magnesium has an anaesthetizing effect and reduces cold tolerance and activity of adult brachyuran crabs. We investigated whether the capacity for magnesium regulation is a factor that influences temperature-dependent activity of early ontogenetic stages of the Sub-Antarctic lithodid crab Paralomis granulosa. Ion composition (Na+, Mg2+, Ca2+, Cl-, SO42-) was measured in haemolymph withdrawn from larval stages, the first and second juvenile instars (crabs I and II) and adult males and females. Magnesium excretion improved during ontogeny, but haemolymph sulphate concentration was lowest in the zoeal stages. Neither haemolymph magnesium concentrations nor Ca2+:Mg2+ ratios paralleled activity levels of the life stages. Long-term (3 week) cold exposure of crab I to 1 degrees C caused a significant rise of haemolymph sulphate concentration and a decrease in magnesium and calcium concentrations compared to control temperature (9 degrees C). Spontaneous swimming activity of the zoeal stages was determined at 1,4 and 9 degrees C in natural sea water (NSW, [Mg2+] =51 mmol L-1) and in sea water enriched with magnesium (NSW+ Mg2+, [Mg2+]= 97 mmol L-1). It declined significantly with temperature but only insignificantly with increased magnesium concentration. Spontaneous velocities were low, reflecting the demersal life style of the zoeae. Heart rate, scaphognathite beat rate and forced swimming activity (maxilliped beat rate, zoea I) or antennule beat rate (crab I) were investigated in response to acute temperature change (9, 6, 3, 1, - 1 degrees C) in NSW or NSW + Mg2+. High magnesium concentration reduced heart rates in both stages. The temperature-frequency curve of the maxilliped beat (maximum: 9.6 beats s(-1) at 6.6 degrees C in NSW) of zoea I was depressed and shifted towards warmer temperatures by 2 degrees C in NSW + Mg2+, but antennule beat rate of crab I was not affected. Magnesium may therefore influence cold tolerance of highly active larvae, but it remains questionable whether the slow-moving lithodid crabs with demersal larvae would benefit from an enhanced magnesium excretion in nature. (C) 2010 Elsevier B.V. All rights reserved.</t>
  </si>
  <si>
    <t>[Wittmann, Astrid C.; Storch, Daniela; Anger, Klaus; Poertner, Hans O.; Sartoris, Franz J.] Alfred Wegener Inst Polar &amp; Marine Res, D-27570 Bremerhaven, Germany</t>
  </si>
  <si>
    <t>Helmholtz Association; Alfred Wegener Institute, Helmholtz Centre for Polar &amp; Marine Research</t>
  </si>
  <si>
    <t>Wittmann, AC (corresponding author), Alfred Wegener Inst Polar &amp; Marine Res, Handelshafen 12, D-27570 Bremerhaven, Germany.</t>
  </si>
  <si>
    <t>Astrid.Wittmann@awi.de</t>
  </si>
  <si>
    <t>Pörtner, Hans-O./ISU-9397-2023; Pörtner, Hans-O./K-9429-2016</t>
  </si>
  <si>
    <t>Pörtner, Hans-O./0000-0001-6535-6575; Wittmann, Astrid/0000-0002-4839-5633; Storch, Daniela/0000-0003-3090-7554; Sartoris, Franz-Josef/0000-0001-7228-3220</t>
  </si>
  <si>
    <t>Deutsche Forschungsgemeinschaft [SA 1713/1-1, SA 1713/1-2]; Alexander von Humboldt Foundation, Germany</t>
  </si>
  <si>
    <t>Deutsche Forschungsgemeinschaft(German Research Foundation (DFG)); Alexander von Humboldt Foundation, Germany(Alexander von Humboldt Foundation)</t>
  </si>
  <si>
    <t>We greatly appreciate the help of the crew of RV Polarstern and Fredy Veliz Moraleda during the transport of live animals. We would like to thank Uwe Nettelmann and Dana Pargmann for their assistance with culturing larvae and juveniles and Charlyn Volker and Marc Bullwinkel for their help with the analysis of the videos. The experiments comply with the current laws of the country in which they were performed. This study was supported by Deutsche Forschungsgemeinschaft grants no. SA 1713/1-1 and 1-2 and by the Alexander von Humboldt Foundation, Germany (Feodor Lynen fellowship to DS). The authors declare that there is no conflict of interest. [SS]</t>
  </si>
  <si>
    <t>0022-0981</t>
  </si>
  <si>
    <t>1879-1697</t>
  </si>
  <si>
    <t>J EXP MAR BIOL ECOL</t>
  </si>
  <si>
    <t>J. Exp. Mar. Biol. Ecol.</t>
  </si>
  <si>
    <t>JAN 31</t>
  </si>
  <si>
    <t>10.1016/j.jembe.2010.11.005</t>
  </si>
  <si>
    <t>718IB</t>
  </si>
  <si>
    <t>WOS:000287113400005</t>
  </si>
  <si>
    <t>Luque, SP; Fried, R</t>
  </si>
  <si>
    <t>Luque, Sebastian P.; Fried, Roland</t>
  </si>
  <si>
    <t>Recursive Filtering for Zero Offset Correction of Diving Depth Time Series with GNU R Package diveMove</t>
  </si>
  <si>
    <t>PLOS ONE</t>
  </si>
  <si>
    <t>LEATHERBACK TURTLES; DERMOCHELYS-CORIACEA; BEHAVIOR; MIGRATION; PENGUINS</t>
  </si>
  <si>
    <t>Zero offset correction of diving depth measured by time-depth recorders is required to remove artifacts arising from temporal changes in accuracy of pressure transducers. Currently used methods for this procedure are in the proprietary software domain, where researchers cannot study it in sufficient detail, so they have little or no control over how their data were changed. GNU R package diveMove implements a procedure in the Free Software domain that consists of recursively smoothing and filtering the input time series using moving quantiles. This paper describes, demonstrates, and evaluates the proposed method by using a perfect data set, which is subsequently corrupted to provide input for the proposed procedure. The method is evaluated by comparing the corrected time series to the original, uncorrupted, data set from an Antarctic fur seal (Arctocephalus gazella Peters, 1875). The Root Mean Square Error of the corrected data set, relative to the perfect data set, was nearly identical to the magnitude of noise introduced into the latter. The method, thus, provides a flexible, reliable, and efficient mechanism to perform zero offset correction for analyses of diving behaviour. We illustrate applications of the method to data sets from four species with large differences in diving behaviour, measured using different sampling protocols and instrument characteristics.</t>
  </si>
  <si>
    <t>[Luque, Sebastian P.] Univ Manitoba, Dept Biol Sci, Winnipeg, MB, Canada; [Fried, Roland] Tech Univ Dortmund, Fak Stat, Dortmund, Germany</t>
  </si>
  <si>
    <t>University of Manitoba; Dortmund University of Technology</t>
  </si>
  <si>
    <t>Luque, SP (corresponding author), Univ Manitoba, Dept Biol Sci, Winnipeg, MB, Canada.</t>
  </si>
  <si>
    <t>spluque@gmail.com</t>
  </si>
  <si>
    <t>Luque, Susana/A-6607-2018; Fried, Roland/AAB-9091-2020</t>
  </si>
  <si>
    <t>LUQUE, SONIA/0000-0002-3215-320X</t>
  </si>
  <si>
    <t>Institut Polaire Francais Paul Emile Victor (IPEV); Centre National de la Recherche Scientifique</t>
  </si>
  <si>
    <t>Institut Polaire Francais Paul Emile Victor (IPEV); Centre National de la Recherche Scientifique(Centre National de la Recherche Scientifique (CNRS))</t>
  </si>
  <si>
    <t>This research was funded by grants from Institut Polaire Francais Paul Emile Victor (IPEV) and Centre National de la Recherche Scientifique. The funders had no role in study design, data collection and analysis, decision to publish, or preparation of the manuscript.</t>
  </si>
  <si>
    <t>PUBLIC LIBRARY SCIENCE</t>
  </si>
  <si>
    <t>SAN FRANCISCO</t>
  </si>
  <si>
    <t>185 BERRY ST, STE 1300, SAN FRANCISCO, CA 94107 USA</t>
  </si>
  <si>
    <t>1932-6203</t>
  </si>
  <si>
    <t>PLoS One</t>
  </si>
  <si>
    <t>JAN 28</t>
  </si>
  <si>
    <t>e15850</t>
  </si>
  <si>
    <t>10.1371/journal.pone.0015850</t>
  </si>
  <si>
    <t>Multidisciplinary Sciences</t>
  </si>
  <si>
    <t>Science &amp; Technology - Other Topics</t>
  </si>
  <si>
    <t>712JX</t>
  </si>
  <si>
    <t>Green Submitted, Green Published, gold</t>
  </si>
  <si>
    <t>WOS:000286664100011</t>
  </si>
  <si>
    <t>Cnossen, I; Lu, H; Bell, CJ; Gray, LJ; Joshi, MM</t>
  </si>
  <si>
    <t>Cnossen, I.; Lu, H.; Bell, C. J.; Gray, L. J.; Joshi, M. M.</t>
  </si>
  <si>
    <t>Solar signal propagation: The role of gravity waves and stratospheric sudden warmings</t>
  </si>
  <si>
    <t>JOURNAL OF GEOPHYSICAL RESEARCH-ATMOSPHERES</t>
  </si>
  <si>
    <t>NORTHERN-HEMISPHERE; MIDDLE-ATMOSPHERE; TROPOSPHERIC CIRCULATION; CLIMATE SENSITIVITY; PLANETARY-WAVES; CYCLE; QBO; IMPACT; PARAMETERIZATION; TEMPERATURE</t>
  </si>
  <si>
    <t>We use a troposphere-stratosphere model of intermediate complexity to study the atmospheric response to an idealized solar forcing in the subtropical upper stratosphere during Northern Hemisphere (NH) early winter. We investigate two conditions that could influence poleward and downward propagation of the response: (1) the representation of gravity wave effects and (2) the presence/absence of stratospheric sudden warmings (SSWs). We also investigate how the perturbation influences the timing and frequency of SSWs. Differences in the poleward and downward propagation of the response within the stratosphere are found depending on whether Rayleigh friction (RF) or a gravity wave scheme (GWS) is used to represent gravity wave effects. These differences are likely related to differences in planetary wave activity in the GWS and RF versions, as planetary wave redistribution plays an important role in the downward and poleward propagation of stratospheric signals. There is also remarkable sensitivity in the tropospheric response to the representation of the gravity wave effects. It is most realistic for GWS. Further, tropospheric responses are systematically different dependent on the absence/presence of SSWs. When only years with SSWs are examined, the tropospheric signal appears to have descended from the stratosphere, while the signal in the troposphere appears disconnected from the stratosphere when years with SSWs are excluded. Different troposphere-stratosphere coupling mechanisms therefore appear to be dominant for years with and without SSWs. The forcing does not affect the timing of SSWs, but does result in a higher occurrence frequency throughout NH winter. Quasi-Biennial Oscillation effects were not included.</t>
  </si>
  <si>
    <t>[Cnossen, I.; Lu, H.] British Antarctic Survey, Cambridge CB3 0ET, England; [Bell, C. J.; Gray, L. J.; Joshi, M. M.] Univ Reading, Dept Meteorol, Reading RG6 6BB, Berks, England</t>
  </si>
  <si>
    <t>UK Research &amp; Innovation (UKRI); Natural Environment Research Council (NERC); NERC British Antarctic Survey; University of Reading</t>
  </si>
  <si>
    <t>Cnossen, I (corresponding author), Natl Ctr Atmospher Res, High Altitude Observ, 3080 Ctr Green Dr, Boulder, CO 80301 USA.</t>
  </si>
  <si>
    <t>icnossen@ucar.edu</t>
  </si>
  <si>
    <t>Cnossen, Ingrid/E-5809-2010; Joshi, Manoj/C-1795-2008; Lu, Hua/GXA-0276-2022; Gray, Lesley J/D-3610-2009</t>
  </si>
  <si>
    <t>Cnossen, Ingrid/0000-0001-6469-7861; Joshi, Manoj/0000-0002-2948-2811; Lu, Hua/0000-0001-9485-5082; Gray, Lesley/0000-0002-7803-9277</t>
  </si>
  <si>
    <t>Natural Environment Research Council [NE/H024409/1, bas0100023, NE/D002753/1, ncas10009, NE/D003652/1] Funding Source: researchfish; NERC [bas0100023, NE/D003652/1, NE/H024409/1, NE/D002753/1] Funding Source: UKRI</t>
  </si>
  <si>
    <t>Natural Environment Research Council(UK Research &amp; Innovation (UKRI)Natural Environment Research Council (NERC)); NERC(UK Research &amp; Innovation (UKRI)Natural Environment Research Council (NERC))</t>
  </si>
  <si>
    <t>2169-897X</t>
  </si>
  <si>
    <t>2169-8996</t>
  </si>
  <si>
    <t>J GEOPHYS RES-ATMOS</t>
  </si>
  <si>
    <t>J. Geophys. Res.-Atmos.</t>
  </si>
  <si>
    <t>JAN 27</t>
  </si>
  <si>
    <t>D02118</t>
  </si>
  <si>
    <t>10.1029/2010JD014535</t>
  </si>
  <si>
    <t>713SI</t>
  </si>
  <si>
    <t>Bronze, Green Accepted</t>
  </si>
  <si>
    <t>WOS:000286757300005</t>
  </si>
  <si>
    <t>Boakes, PD; Milan, SE; Abel, GA; Freeman, MP; Chisham, G; Hubert, B</t>
  </si>
  <si>
    <t>Boakes, P. D.; Milan, S. E.; Abel, G. A.; Freeman, M. P.; Chisham, G.; Hubert, B.</t>
  </si>
  <si>
    <t>A superposed epoch investigation of the relation between magnetospheric solar wind driving and substorm dynamics with geosynchronous particle injection signatures</t>
  </si>
  <si>
    <t>JOURNAL OF GEOPHYSICAL RESEARCH-SPACE PHYSICS</t>
  </si>
  <si>
    <t>ADVANCED COMPOSITION EXPLORER; OPEN MAGNETIC-FLUX; POLAR-CAP AREA; GEOSTATIONARY ORBIT; IMAGE SPACECRAFT; GROWTH-PHASE; BOUNDARY; FUV; IONOSPHERE; EVOLUTION</t>
  </si>
  <si>
    <t>We report a superposed epoch analysis of the hemispheric open magnetic flux, maximum nightside auroral intensity, geomagnetic activity, and solar wind and interplanetary magnetic field conditions around the time of substorm onset for three distinct categories of substorms defined by their energetic particle injection signatures. Substorms identified from global auroral imagery are classified into one of three categories based on their energetic particle injection signatures as seen at geosynchronous orbit by the Los Alamos National Laboratory spacecraft. Category 1 events are associated with a classic substorm injection, category 2 events show varied activity (i.e., energetic enhancements not following the evolution expected for classic substorms), and category 3 events show no apparent injection activity. The superposed epoch analysis reveals that the three distinct particle injection categories exhibit distinct differences in the level and continuity of magnetospheric driving by the solar wind, such that category 1 events can be described as classic substorm events, category 2 as continuously driven events, and category 3 as weak events. The results of this study suggest that the level and continuity of the dayside solar wind driving of the magnetosphere during substorms have a direct impact on the injection of energetic particles to geosynchronous orbit at substorm onset. These results could have considerable value in empirical predictions of the space weather environment.</t>
  </si>
  <si>
    <t>[Boakes, P. D.; Milan, S. E.] Univ Leicester, Dept Phys &amp; Astron, Leicester LE1 7RH, Leics, England; [Boakes, P. D.; Abel, G. A.; Freeman, M. P.; Chisham, G.] British Antarctic Survey, Cambridge CB3 0ET, England; [Hubert, B.] Univ Liege, Lab Planetary &amp; Atmospher Phys, B-4000 Liege, Belgium</t>
  </si>
  <si>
    <t>University of Leicester; UK Research &amp; Innovation (UKRI); Natural Environment Research Council (NERC); NERC British Antarctic Survey; University of Liege</t>
  </si>
  <si>
    <t>Boakes, PD (corresponding author), Univ Leicester, Dept Phys &amp; Astron, Univ Rd, Leicester LE1 7RH, Leics, England.</t>
  </si>
  <si>
    <t>p.boakes@ion.le.ac.uk</t>
  </si>
  <si>
    <t>Abel, Gary/ABE-1765-2021; Freeman, Mervyn/E-5687-2019</t>
  </si>
  <si>
    <t>Abel, Gary/0000-0003-2231-5161; Milan, Steve/0000-0001-5050-9604; Freeman, Mervyn/0000-0002-8653-8279</t>
  </si>
  <si>
    <t>PPARC/STFC [PPA/S/C/2006/04488]; STFC [PP/E000983/1]; Belgian National Fund for Scientific Research (FNRS); UK Natural Environment Research Council through BAS; NERC [bas0100026] Funding Source: UKRI; STFC [PP/E000983/1, ST/H002480/1] Funding Source: UKRI; Natural Environment Research Council [bas0100026] Funding Source: researchfish; Science and Technology Facilities Council [ST/H002480/1, PP/E000983/1] Funding Source: researchfish</t>
  </si>
  <si>
    <t>PPARC/STFC(UK Research &amp; Innovation (UKRI)Science &amp; Technology Facilities Council (STFC)); STFC(UK Research &amp; Innovation (UKRI)Science &amp; Technology Facilities Council (STFC)); Belgian National Fund for Scientific Research (FNRS)(Fonds de la Recherche Scientifique - FNRS); UK Natural Environment Research Council through BAS;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</si>
  <si>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P. D. B. was supported by a PPARC/STFC CASE award, grant PPA/S/C/2006/04488; S. E. M. was supported by STFC grant PP/E000983/1; B. H. is supported by the Belgian National Fund for Scientific Research (FNRS); G. C. and M. P. F. are supported by the UK Natural Environment Research Council through the Complexity work package of the BAS Environmental Change and Evolution program. The authors would like to thank the many dedicated scientists who have made the IMAGE mission a success. The solar wind data used in this paper were accessed through CDAWeb. AL, AU, and SYM-H indices were provided courtesy of the World Data Center for Geomagnetism, Kyoto University. We thank H. U. Frey for use of his substorm onset list. We acknowledge the U. S. Department of Energy for the use of the Los Alamos geosynchronous energetic particle data.</t>
  </si>
  <si>
    <t>2169-9380</t>
  </si>
  <si>
    <t>2169-9402</t>
  </si>
  <si>
    <t>J GEOPHYS RES-SPACE</t>
  </si>
  <si>
    <t>J. Geophys. Res-Space Phys.</t>
  </si>
  <si>
    <t>A01214</t>
  </si>
  <si>
    <t>10.1029/2010JA016007</t>
  </si>
  <si>
    <t>713VB</t>
  </si>
  <si>
    <t>Green Published, Green Accepted</t>
  </si>
  <si>
    <t>WOS:000286764400007</t>
  </si>
  <si>
    <t>Saavedra-Pellitero, M; Flores, JA; Lamy, F; Sierro, FJ; Cortina, A</t>
  </si>
  <si>
    <t>Saavedra-Pellitero, M.; Flores, J. A.; Lamy, F.; Sierro, F. J.; Cortina, A.</t>
  </si>
  <si>
    <t>Coccolithophore estimates of paleotemperature and paleoproductivity changes in the southeast Pacific over the past ∼27 kyr</t>
  </si>
  <si>
    <t>PALEOCEANOGRAPHY</t>
  </si>
  <si>
    <t>SEA-SURFACE TEMPERATURE; EQUATORIAL PACIFIC; CLIMATE-CHANGE; PLANKTONIC-FORAMINIFERA; ATLANTIC-OCEAN; CHILE; PHYTOPLANKTON; PRODUCTIVITY; SEDIMENTS; RECONSTRUCTION</t>
  </si>
  <si>
    <t>We provide high-resolution sea surface temperature (SST) and paleoproductivity data focusing on Termination 1. We describe a new method for estimating SSTs based on multivariate statistical analyses performed on modern coccolithophore census data, and we present the first downcore reconstructions derived from coccolithophore assemblages at Ocean Drilling Project (ODP) Site 1233 located offshore Chile. We compare our coccolithophore SST record to alkenone-based SSTs as well as SST reconstructions based on dinoflagellates and radiolaria. All reconstructions generally show a remarkable concordance. As in the alkenone SST record, the Last Glacial Maximum (LGM, 19-23 kyr B. P.) is not clearly defined in our SST reconstruction. After the onset of deglaciation, three major warming steps are recorded: from 18.6 to 18 kyr B. P. (similar to 2.6 degrees C), from 15.7 to 15.3 kyr B. P. (similar to 2.5 degrees C), and from 13 to 11.4 kyr B. P. (similar to 3.4 degrees C). Consistent with the other records from Site 1233 and Antarctic ice core records, we observed a clear Holocene Climatic Optimum (HCO) from similar to 8-12 kyr B. P. Combining the SST reconstruction with coccolith absolute abundances and accumulation rates, we show that colder temperatures during the LGM are linked to higher coccolithophore productivity offshore Chile and warmer SSTs during the HCO to lower coccolithophore productivity, with indications of weak coastal upwelling. We interpret our data in terms of latitudinal displacements of the Southern Westerlies and the northern margin of the Antarctic Circumpolar Current system over the deglaciation and the Holocene.</t>
  </si>
  <si>
    <t>[Saavedra-Pellitero, M.; Flores, J. A.; Sierro, F. J.; Cortina, A.] Univ Salamanca, Dept Geol, E-37008 Salamanca, Spain; [Lamy, F.] Alfred Wegener Inst Polar &amp; Marine Res, D-27568 Bremerhaven, Germany</t>
  </si>
  <si>
    <t>University of Salamanca; Helmholtz Association; Alfred Wegener Institute, Helmholtz Centre for Polar &amp; Marine Research</t>
  </si>
  <si>
    <t>Saavedra-Pellitero, M (corresponding author), Univ Salamanca, Dept Geol, Plaza Merced S-N, E-37008 Salamanca, Spain.</t>
  </si>
  <si>
    <t>Saavedra-Pellitero, Mariem/I-7468-2019; Flores, José-Abel/D-4218-2009; Sierro, Francisco/A-4714-2008; Lamy, Frank/H-3611-2014; Cortina, Aleix/B-1251-2016</t>
  </si>
  <si>
    <t>Saavedra-Pellitero, Mariem/0000-0003-0621-7932; Flores, José-Abel/0000-0003-1909-293X; Sierro, Francisco/0000-0002-8647-456X; Lamy, Frank/0000-0001-5952-1765; Cortina, Aleix/0000-0002-4772-3404</t>
  </si>
  <si>
    <t>Spanish Ministerio de Ciencia e Innovacion MICINN [PASUR CGL2009-08651, CSD 2007-00067]; Regional government of Castilla; MEC FPU [AP-2004-2374]</t>
  </si>
  <si>
    <t>Spanish Ministerio de Ciencia e Innovacion MICINN(Spanish Government); Regional government of Castilla; MEC FPU(Spanish Government)</t>
  </si>
  <si>
    <t>The reviewers are acknowledged for their critical evaluation, constructive opinions, and helpful suggestions. The authors wish to thank O. Romero, A. Mix, F. Abrantes, D. Hebbeln, and M. Mohtadi for the material supplied. Karl-Heinz Baumann and Babette Boeckel are thanked for their suggestions. N. Pisias is thanked for providing data. This work was funded by the Spanish Ministerio de Ciencia e Innovacion MICINN project PASUR CGL2009-08651 and GRACCIE (CONSOLIDER-INGENIO CSD 2007-00067), the Regional government of Castilla and Leon project GR34Project, and a MEC FPU grant (AP-2004-2374) awarded to Mariem Saavedra-Pellitero.</t>
  </si>
  <si>
    <t>0883-8305</t>
  </si>
  <si>
    <t>1944-9186</t>
  </si>
  <si>
    <t>Paleoceanography</t>
  </si>
  <si>
    <t>PA1201</t>
  </si>
  <si>
    <t>10.1029/2009PA001824</t>
  </si>
  <si>
    <t>Geosciences, Multidisciplinary; Oceanography; Paleontology</t>
  </si>
  <si>
    <t>Geology; Oceanography; Paleontology</t>
  </si>
  <si>
    <t>713WK</t>
  </si>
  <si>
    <t>Green Published, Bronze</t>
  </si>
  <si>
    <t>WOS:000286767900001</t>
  </si>
  <si>
    <t>Waller, RG; Scanlon, KM; Robinson, LF</t>
  </si>
  <si>
    <t>Waller, Rhian G.; Scanlon, Kathryn M.; Robinson, Laura F.</t>
  </si>
  <si>
    <t>Cold-Water Coral Distributions in the Drake Passage Area from Towed Camera Observations - Initial Interpretations</t>
  </si>
  <si>
    <t>BIOLOGY; DEEP; REGION; REEFS</t>
  </si>
  <si>
    <t>Seamounts are unique deep-sea features that create habitats thought to have high levels of endemic fauna, productive fisheries and benthic communities vulnerable to anthropogenic impacts. Many seamounts are isolated features, occurring in the high seas, where access is limited and thus biological data scarce. There are numerous seamounts within the Drake Passage (Southern Ocean), yet high winds, frequent storms and strong currents make seafloor sampling particularly difficult. As a result, few attempts to collect biological data have been made, leading to a paucity of information on benthic habitats or fauna in this area, particularly those on primarily hard-bottom seamounts and ridges. During a research cruise in 2008 six locations were examined (two on the Antarctic margin, one on the Shackleton Fracture Zone, and three on seamounts within the Drake Passage), using a towed camera with onboard instruments to measure conductivity, temperature, depth and turbidity. Dominant fauna and bottom type were categorized from 200 randomized photos from each location. Cold-water corals were present in high numbers in habitats both on the Antarctic margin and on the current swept seamounts of the Drake Passage, though the diversity of orders varied. Though the Scleractinia (hard corals) were abundant on the sedimented margin, they were poorly represented in the primarily hard-bottom areas of the central Drake Passage. The two seamount sites and the Shackleton Fracture Zone showed high numbers of stylasterid (lace) and alcyonacean (soft) corals, as well as large numbers of sponges. Though data are preliminary, the geological and environmental variability (particularly in temperature) between sample sites may be influencing cold-water coral biogeography in this region. Each area observed also showed little similarity in faunal diversity with other sites examined for this study within all phyla counted. This manuscript highlights how little is understood of these isolated features, particularly in Polar regions.</t>
  </si>
  <si>
    <t>[Waller, Rhian G.] Univ Hawaii Manoa, Sch Ocean &amp; Earth Sci &amp; Technol, Honolulu, HI 96822 USA; [Scanlon, Kathryn M.] US Geol Survey, Woods Hole, MA 02543 USA; [Robinson, Laura F.] Woods Hole Oceanog Inst, Marine Chem &amp; Geochem Dept, Woods Hole, MA 02543 USA</t>
  </si>
  <si>
    <t>University of Hawaii System; University of Hawaii Manoa; United States Department of the Interior; United States Geological Survey; Woods Hole Oceanographic Institution</t>
  </si>
  <si>
    <t>Waller, RG (corresponding author), Univ Maine, Darling Marine Ctr, Sch Marine Sci, Walpole, ME 04573 USA.</t>
  </si>
  <si>
    <t>rhian.waller@maine.edu</t>
  </si>
  <si>
    <t>Waller, Rhian G/C-9000-2009</t>
  </si>
  <si>
    <t>Robinson, Laura/0000-0001-6811-0140</t>
  </si>
  <si>
    <t>National Science Foundation [ANT0636787]; CenSeam; University of Hawaii at Manoa; Office of Polar Programs (OPP); Directorate For Geosciences [1127582] Funding Source: National Science Foundation</t>
  </si>
  <si>
    <t>National Science Foundation(National Science Foundation (NSF)); CenSeam; University of Hawaii at Manoa; Office of Polar Programs (OPP); Directorate For Geosciences(National Science Foundation (NSF)NSF - Directorate for Geosciences (GEO))</t>
  </si>
  <si>
    <t>This work was funded by the National Science Foundation's Antarctic Earth Sciences Program (ANT0636787 awarded to LFR and RGW) and a CenSeam minigrant (awarded to RGW), and RGW is supported by a SOEST Young Investigator Fellowship from the University of Hawaii at Manoa. The funders had no role in study design, data collection and analysis, decision to publish, or preparation of the manuscript.</t>
  </si>
  <si>
    <t>1160 BATTERY STREET, STE 100, SAN FRANCISCO, CA 94111 USA</t>
  </si>
  <si>
    <t>JAN 25</t>
  </si>
  <si>
    <t>e16153</t>
  </si>
  <si>
    <t>10.1371/journal.pone.0016153</t>
  </si>
  <si>
    <t>712IZ</t>
  </si>
  <si>
    <t>Green Submitted, gold, Green Published</t>
  </si>
  <si>
    <t>WOS:000286661400030</t>
  </si>
  <si>
    <t>Gardner, CS; Chu, XZ; Espy, PJ; Plane, JMC; Marsh, DR; Janches, D</t>
  </si>
  <si>
    <t>Gardner, Chester S.; Chu, Xinzhao; Espy, Patrick J.; Plane, John M. C.; Marsh, Daniel R.; Janches, Diego</t>
  </si>
  <si>
    <t>Seasonal variations of the mesospheric Fe layer at Rothera, Antarctica (67.5°S, 68.0°W)</t>
  </si>
  <si>
    <t>LIDAR OBSERVATIONS; POLAR MESOSPHERE; SOUTH-POLE; GENERAL-CIRCULATION; METEORIC IRON; TEMPERATURE; CHEMISTRY; CLOUDS; PARAMETERIZATION; MESOPAUSE</t>
  </si>
  <si>
    <t>Lidar observations of Fe densities between 75 and 105 km above Rothera, Antarctica, are used to characterize the seasonal variations of the mesospheric Fe layer near the Antarctic Circle and the differences are compared to the South Pole. The maximum Fe abundance occurs in late autumn (early May) at Rothera, rather than in midwinter. A secondary Fe enhancement occurs 6 months later in late spring (October-November) prior to the formation of polar mesospheric cloud (PMC) layers in summer. The midsummer Fe layer is 3 km lower at Rothera because Fe depletion by PMC layers near the mesopause is not as extensive or as complete as at the South Pole. These observations are modeled satisfactorily using a mesospheric one-dimensional Fe chemistry model driven by a general circulation model and including a detailed micrometeoroid flux and ablation model. Our study shows that the autumnal maximum in the Fe abundance is caused primarily by the seasonal temperature maximum in the mesopause region, reinforced by the seasonal peak in the meteor input function (MIF). The Fe abundance at Rothera declines throughout the winter in response to the decrease in the MIF and the slowly falling temperatures. The modeled Fe injection rate is similar to 5 times smaller while the eddy diffusivity values between 80 and 90 km are 4.1 times smaller than the corresponding values used in the South Pole model. This comparison demonstrates the sensitivity of the metal atom densities to the balance between injection by meteoric ablation and removal by downward transport.</t>
  </si>
  <si>
    <t>[Gardner, Chester S.] Univ Illinois, Dept Elect &amp; Comp Engn, Urbana, IL 61801 USA; [Chu, Xinzhao] Univ Colorado, Cooperat Inst Res Environm Sci, Boulder, CO 80309 USA; [Espy, Patrick J.] Norwegian Univ Sci &amp; Technol, Dept Phys, N-7491 Trondheim, Norway; [Janches, Diego] NW Res Associates Inc, Colorado Res Associates, Boulder, CO 80301 USA; [Marsh, Daniel R.] Natl Ctr Atmospher Res, Boulder, CO 80307 USA; [Plane, John M. C.] Univ Leeds, Sch Chem, Leeds LS2 9JT, W Yorkshire, England; [Chu, Xinzhao] Univ Colorado, Dept Aerosp Engn Sci, Boulder, CO 80309 USA</t>
  </si>
  <si>
    <t>University of Illinois System; University of Illinois Urbana-Champaign; University of Colorado System; University of Colorado Boulder; Norwegian University of Science &amp; Technology (NTNU); NorthWest Research Associates; National Center Atmospheric Research (NCAR) - USA; University of Leeds; University of Colorado System; University of Colorado Boulder</t>
  </si>
  <si>
    <t>Gardner, CS (corresponding author), Univ Illinois, Dept Elect &amp; Comp Engn, 313 CSL Bldg,1308 W Main St, Urbana, IL 61801 USA.</t>
  </si>
  <si>
    <t>xinzhao.chu@colorado.edu</t>
  </si>
  <si>
    <t>Marsh, Daniel/A-8406-2008; Plane, John M C/C-7444-2015; Janches, Diego/D-4674-2012; CHU, XINZHAO/I-5670-2015</t>
  </si>
  <si>
    <t>Marsh, Daniel/0000-0001-6699-494X; Janches, Diego/0000-0001-8615-5166; CHU, XINZHAO/0000-0001-6147-1963</t>
  </si>
  <si>
    <t>U.K. Natural Environmental Research Council; U.S. National Science Foundation (NSF) [ATM-0602334]; NSF [ATM-0645584, ANT-0839091, ATM-05311464, ATM-0525655]; Cornell University [51861-8406]; NWRA [51861-8406]; Directorate For Geosciences; Office of Polar Programs (OPP) [0839091] Funding Source: National Science Foundation</t>
  </si>
  <si>
    <t>U.K. Natural Environmental Research Council(UK Research &amp; Innovation (UKRI)Natural Environment Research Council (NERC)); U.S. National Science Foundation (NSF)(National Science Foundation (NSF)); NSF(National Science Foundation (NSF)); Cornell University; NWRA; Directorate For Geosciences; Office of Polar Programs (OPP)(National Science Foundation (NSF)NSF - Directorate for Geosciences (GEO))</t>
  </si>
  <si>
    <t>We gratefully acknowledge the lidar winter-over scientist Graeme J. Nott, the lidar engineer Jan C. Diettrich, and the staff of the British Antarctic Survey for their operational support of the Fe lidar and other correlative instruments at Rothera. The authors wish to thank Jonathan T. Fentzke for discussion on the MIF model. The Rothera lidar project was supported by the U.K. Natural Environmental Research Council and the U.S. National Science Foundation (NSF) grant ATM-0602334. X. C. and C. S. G. were partially supported by NSF grants ATM-0645584 and ANT-0839091. D. J. was supported under NSF grants ATM-05311464 and ATM-0525655 to Northwest Research Associates and agreement 51861-8406 between Cornell University and NWRA. The National Center for Atmospheric Research is sponsored by the National Science Foundation.</t>
  </si>
  <si>
    <t>JAN 22</t>
  </si>
  <si>
    <t>D02304</t>
  </si>
  <si>
    <t>10.1029/2010JD014655</t>
  </si>
  <si>
    <t>710OC</t>
  </si>
  <si>
    <t>WOS:000286520100007</t>
  </si>
  <si>
    <t>Hill, KL; Rintoul, SR; Ridgway, KR; Oke, PR</t>
  </si>
  <si>
    <t>Hill, K. L.; Rintoul, S. R.; Ridgway, K. R.; Oke, P. R.</t>
  </si>
  <si>
    <t>Decadal changes in the South Pacific western boundary current system revealed in observations and ocean state estimates</t>
  </si>
  <si>
    <t>EAST AUSTRALIAN CURRENT; HEAT BUDGETS; VARIABILITY; HEMISPHERE; CIRCULATION; MODEL; MASS</t>
  </si>
  <si>
    <t>Observations and ocean state estimates are used to investigate the nature and mechanism of decadal variability in the East Australian Current (EAC) system and South Pacific subtropical gyre. A 62 year record on the Tasmanian continental shelf shows decadal variations of temperature and salinity, as well as a long-term trend, which has been related to wind-driven variations in the poleward extension of the EAC. Repeat expendable bathythermograph lines spanning the last 15 years suggest that low-frequency variations in the transport of the EAC extension and Tasman Front are anticorrelated, but the time series are too short to draw firm conclusions. Here we use two ocean state estimates spanning the past 50 years to diagnose the physical mechanisms and spatial structure of the decadal variability of the South Pacific subtropical gyre. The observations and state estimates paint a consistent picture of the decadal variability of the gyre and EAC system. Strengthening of the basin-wide wind stress curl drives a southward expansion of the subtropical gyre. As the gyre shifts south, the EAC extension pathway is favored at the expense of the Tasman Front, resulting in the observed anticorrelation of the these two major currents. The results suggest that the subtropical gyre and western boundary current respond to decadal variability in basin-scale wind stress curl, consistent with Island Rule dynamics; that strong decadal variability of the South Pacific gyre complicates efforts to infer trends from short-term records; and that wind stress curl changes over the South Pacific basin drive changes in the EAC system that are likely to have implications for marine ecosystems and regional climate.</t>
  </si>
  <si>
    <t>[Rintoul, S. R.; Ridgway, K. R.; Oke, P. R.] CSIRO, Ctr Australian Weather &amp; Climate Res, Hobart, Tas 7001, Australia; [Rintoul, S. R.; Ridgway, K. R.; Oke, P. R.] Bur Meteorol, Hobart, Tas, Australia; [Hill, K. L.] CSIRO, CSIRO UTAS Quantitat Marine Sci Program, Marine &amp; Atmospher Res, Hobart, Tas 7001, Australia; [Rintoul, S. R.; Ridgway, K. R.; Oke, P. R.] CSIRO Wealth Oceans Flagship, Hobart, Tas, Australia; [Rintoul, S. R.] Antarctic Climate &amp; Ecosyst CRC, Hobart, Tas, Australia</t>
  </si>
  <si>
    <t>Commonwealth Scientific &amp; Industrial Research Organisation (CSIRO); Bureau of Meteorology - Australia; Commonwealth Scientific &amp; Industrial Research Organisation (CSIRO); Commonwealth Scientific &amp; Industrial Research Organisation (CSIRO); University of Tasmania</t>
  </si>
  <si>
    <t>Hill, KL (corresponding author), Univ Tasmania, Private Bag 110, Hobart, Tas 7001, Australia.</t>
  </si>
  <si>
    <t>katy.hill@imos.org.au; steve.rintoul@csiro.au; ken.ridgway@csiro.au; peter.oke@csiro.au</t>
  </si>
  <si>
    <t>Rintoul, Stephen R/A-1471-2012; Ridgway, Ken/AAA-4040-2019; Oke, Peter/C-5127-2011</t>
  </si>
  <si>
    <t>Rintoul, Stephen R/0000-0002-7055-9876; Ridgway, Ken/0000-0002-5861-1360; Oke, Peter/0000-0002-3163-5610</t>
  </si>
  <si>
    <t>Department of Climate Change and Energy Efficiency; Australian Government Cooperative Research Centre (CRC) through the Antarctic Climate and Ecosystems CRC</t>
  </si>
  <si>
    <t>Department of Climate Change and Energy Efficiency; Australian Government Cooperative Research Centre (CRC) through the Antarctic Climate and Ecosystems CRC(Australian GovernmentDepartment of Industry, Innovation and ScienceCooperative Research Centres (CRC) Programme)</t>
  </si>
  <si>
    <t>The authors would like to thank Bernadette Sloyan, George Cresswell, and two anonymous reviewers for their thoughtful comments and Ben Geise and Armin Koehl for their help and patience in data matters. This work was conducted as part of the Quantitative Marine Sciences Ph.D. Program, a joint initiative between the University of Tasmania and CSIRO. This study was supported in part by the Department of Climate Change and Energy Efficiency through the Australian Climate Change Science Programand the Australian Government Cooperative Research Centre (CRC) program through the Antarctic Climate and Ecosystems CRC.</t>
  </si>
  <si>
    <t>JAN 20</t>
  </si>
  <si>
    <t>C01009</t>
  </si>
  <si>
    <t>10.1029/2009JC005926</t>
  </si>
  <si>
    <t>710NS</t>
  </si>
  <si>
    <t>WOS:000286519100001</t>
  </si>
  <si>
    <t>Fripiat, F; Cavagna, AJ; Savoye, N; Dehairs, F; André, L; Cardinal, D</t>
  </si>
  <si>
    <t>Fripiat, Francois; Cavagna, Anne-Julie; Savoye, Nicolas; Dehairs, Frank; Andre, Luc; Cardinal, Damien</t>
  </si>
  <si>
    <t>Isotopic constraints on the Si-biogeochemical cycle of the Antarctic Zone in the Kerguelen area (KEOPS)</t>
  </si>
  <si>
    <t>MARINE CHEMISTRY</t>
  </si>
  <si>
    <t>Diatoms; Silicon isotopes; Isotope fractionation; Silicon cycle; Southern Ocean; Antarctic Zone</t>
  </si>
  <si>
    <t>NATURAL IRON FERTILIZATION; PARTICULATE ORGANIC-MATTER; SOUTHERN-OCEAN; BIOGENIC SILICA; PACIFIC SECTOR; SEASONAL PROGRESSION; CHLOROPHYLL MAXIMUM; STABLE-ISOTOPES; ATLANTIC SECTOR; FRACTIONATION</t>
  </si>
  <si>
    <t>Estimation of the silicon (Si) mass balance in the ocean from direct measurements (Si uptake-dissolution rates ...) is plagued by the strong temporal and spatial variability of the surface ocean as well as methodological artifacts. Tracers with different sensitivities toward physical and biological processes would be of great complementary use. Silicon isotopic composition is a promising proxy to improve constraints on the Si-biogeochemical cycle, since it integrates over longer timescales in comparison with direct measurements and since the isotopic balance allows to resolve the processes involved, i.e. uptake, dissolution, mixing. Si-isotopic signatures of seawater Si(OH)(4) and biogenic silica (bSiO(2)) were investigated in late summer 2005 during the KEOPS experiment, focusing on two contrasting biogeochemical areas in the Antarctic Zone: a natural iron-fertilized area above the Kerguelen Plateau (&lt;500 m water depth) and the High Nutrient Low Chlorophyll area (HNLC) east of the plateau (&gt;1000 m water depth). For the HNLC area the Si-isotopic constraint identified Upper Circumpolar Deep Water as being the ultimate Si-source. The latter supplies summer mixed layer with 4.0 +/- 0.7 mol Si m(-2) yr(-1). This supply must be equivalent to the net annual bSiO(2) production and exceeds the seasonal depletion as estimated from a simple mixed layer mass balance (2.5 +/- 0.2 mol Si m(-2) yr(-1)). This discrepancy reveals that some 1.5 +/- 0.7 mol Si m(-2) yr(-1) must be supplied to the mixed layer during the stratification period. For the fertilized plateau bloom area, a low apparent mixed layer isotopic fractionation value (Delta Si-30) probably reflects (1) a significant impact of bSiO(2) dissolution, enriching the bSiO(2) pool in heavy isotope: and/or (2) a high Si uptake over supply ratio in mixed layer at the beginning of the bloom, following an initial closed system operating mode, which, however, becomes supplied toward the end of the bloom (low Si uptake over supply ratio) with isotopically light Si(OH)(4) from below when the surface Si(OH)(4) pool is significantly depleted. We estimated a net integrated bSiO(2) production of 10.5 +/- 1.4 mol Si m(-2) yr(-1) in the AASW above the plateau, which includes a significant contribution of bSiO(2) production below the euphotic layer. However, advection which could be significant for this area has not been taken into account in the latter estimation based on a 1D approach of the plateau system. Finally, combining the KEOPS Si-isotopic data with those from previous studies, we refined the average Si-isotopic fractionation factor to -1.2 +/- 0.2 parts per thousand for the Antarctic Circumpolar Current. (C) 2010 Elsevier B.V. All rights reserved.</t>
  </si>
  <si>
    <t>[Fripiat, Francois; Andre, Luc; Cardinal, Damien] Royal Museum Cent Afr, Sect Mineral &amp; Petrog, Tervuren, Belgium; [Fripiat, Francois] Univ Libre Bruxelles, Dept Earth &amp; Environm Sci, B-1050 Brussels, Belgium; [Cavagna, Anne-Julie; Savoye, Nicolas; Dehairs, Frank] Vrije Univ Brussel, Brussels, Belgium; [Savoye, Nicolas] CNRS, Observ Aquitain Sci Univers, UMR 6805, EPOC,Lab Oceanog Biol, Arcachon, France; [Cardinal, Damien] Univ Paris 06, LOCEAN, Paris, France</t>
  </si>
  <si>
    <t>Royal Museum for Central Africa; Universite Libre de Bruxelles; Vrije Universiteit Brussel; Centre National de la Recherche Scientifique (CNRS); Sorbonne Universite; Museum National d'Histoire Naturelle (MNHN)</t>
  </si>
  <si>
    <t>Fripiat, F (corresponding author), Leuvensesteenweg 13, B-3080 Tervuren, Belgium.</t>
  </si>
  <si>
    <t>ffripiat@ulb.ac.be</t>
  </si>
  <si>
    <t>Fripiat, François/ABB-8918-2021; Cardinal, Damien/AAM-6215-2021</t>
  </si>
  <si>
    <t>Cardinal, Damien/0000-0003-1238-8412; Fripiat, Francois/0000-0002-2591-6301; Andre, Luc/0000-0002-7286-0072</t>
  </si>
  <si>
    <t>BELSPO, the Belgian Science Policy; FNRS [2.4512.00]</t>
  </si>
  <si>
    <t>BELSPO, the Belgian Science Policy(Belgian Federal Science Policy Office); FNRS(Fonds de la Recherche Scientifique - FNRS)</t>
  </si>
  <si>
    <t>Our warm thanks go to the officers and crew of the R/V Marion Dufresne during the KEOPS program, as well as to S. Blain (chief scientist) and S. Jacquet for sampling. We are also grateful to J. De Jong and N. Mattielli for the management of the MC-ICP-MS laboratory at ULB and to L Monin and N. Dahkani (RMCA) for their help in sample processing and to Warren Joubert (University of Cape Town) for improvement of English. This paper greatly benefited from the constructive reviews of two anonymous referees. This work was conducted within the BELCANTO III network (contracts SD/CA/03A of SPSDIII, Support Plan for Sustainable Development) funded by BELSPO, the Belgian Science Policy. Luc Andre thanks the FNRS for its financial support (FRFC project 2.4512.00).</t>
  </si>
  <si>
    <t>0304-4203</t>
  </si>
  <si>
    <t>1872-7581</t>
  </si>
  <si>
    <t>MAR CHEM</t>
  </si>
  <si>
    <t>Mar. Chem.</t>
  </si>
  <si>
    <t>10.1016/j.marchem.2010.08.005</t>
  </si>
  <si>
    <t>Chemistry, Multidisciplinary; Oceanography</t>
  </si>
  <si>
    <t>Chemistry; Oceanography</t>
  </si>
  <si>
    <t>715DE</t>
  </si>
  <si>
    <t>WOS:000286859800002</t>
  </si>
  <si>
    <t>Detrixhe, M; Besson, D; Gorham, PW; Allison, P; Baughmann, B; Beatty, JJ; Belov, K; Bevan, S; Binns, WR; Chen, C; Chen, P; Clem, JM; Connolly, A; De Marco, D; Dowkontt, PF; DuVernois, MA; Frankenfeld, C; Grashorn, EW; Hogan, DP; Griffith, N; Hill, B; Hoover, S; Israel, MH; Javaid, A; Liewer, KM; Matsuno, S; Mercurio, BC; Miki, C; Mottram, M; Nam, J; Nichol, RJ; Palladino, K; Romero-Wolf, A; Ruckman, L; Saltzberg, D; Seckel, D; Varner, GS; Vieregg, AG; Wang, Y</t>
  </si>
  <si>
    <t>Detrixhe, M.; Besson, D.; Gorham, P. W.; Allison, P.; Baughmann, B.; Beatty, J. J.; Belov, K.; Bevan, S.; Binns, W. R.; Chen, C.; Chen, P.; Clem, J. M.; Connolly, A.; De Marco, D.; Dowkontt, P. F.; DuVernois, M. A.; Frankenfeld, C.; Grashorn, E. W.; Hogan, D. P.; Griffith, N.; Hill, B.; Hoover, S.; Israel, M. H.; Javaid, A.; Liewer, K. M.; Matsuno, S.; Mercurio, B. C.; Miki, C.; Mottram, M.; Nam, J.; Nichol, R. J.; Palladino, K.; Romero-Wolf, A.; Ruckman, L.; Saltzberg, D.; Seckel, D.; Varner, G. S.; Vieregg, A. G.; Wang, Y.</t>
  </si>
  <si>
    <t>ANITA Collaboration</t>
  </si>
  <si>
    <t>Ultrarelativistic magnetic monopole search with the ANITA-II balloon-borne radio interferometer</t>
  </si>
  <si>
    <t>PHYSICAL REVIEW D</t>
  </si>
  <si>
    <t>FLUX</t>
  </si>
  <si>
    <t>We have conducted a search for extended energy deposition trails left by ultrarelativistic magnetic monopoles interacting in Antarctic ice. The nonobservation of any satisfactory candidates in the 31 days of accumulated ANITA-II (Antarctic Impulsive Transient Antenna) flight data results in an upper limit on the diffuse flux of relativistic monopoles. We obtain a 90% C.L. limit of order 10(-19) (cm(2) s sr)(-1) for values of Lorentz factor, gamma, 10(10) &lt;= at the anticipated energy E-tot = 10(16) GeV. This bound is stronger than all previously published experimental limits for this kinematic range.</t>
  </si>
  <si>
    <t>[Detrixhe, M.; Besson, D.; Frankenfeld, C.; Hogan, D. P.] Univ Kansas, Dept Phys &amp; Astron, Lawrence, KS 66045 USA; [Gorham, P. W.; Allison, P.; DuVernois, M. A.; Hill, B.; Matsuno, S.; Miki, C.; Romero-Wolf, A.; Ruckman, L.; Varner, G. S.; Wang, Y.] Univ Hawaii, Dept Phys &amp; Astron, Manoa, HI 96822 USA; [Wang, Y.] Stanford Linear Accelerator Ctr, Menlo Pk, CA 94025 USA; [Baughmann, B.; Beatty, J. J.; Grashorn, E. W.; Griffith, N.; Mercurio, B. C.; Palladino, K.] Ohio State Univ, Dept Phys, Columbus, OH 43210 USA; [Binns, W. R.; Dowkontt, P. F.; Israel, M. H.] Washington Univ, Dept Phys, St Louis, MO 63130 USA; [Chen, C.; Chen, P.] Natl Taiwan Univ, Dept Phys, Taipei, Taiwan; [Clem, J. M.; De Marco, D.; Javaid, A.; Seckel, D.] Univ Delaware, Dept Phys, Newark, DE 19716 USA; [Bevan, S.; Connolly, A.; Mottram, M.; Nichol, R. J.] UCL, Dept Phys, London, England; [Belov, K.; Hoover, S.; Saltzberg, D.; Vieregg, A. G.] Univ Calif Los Angeles, Dept Phys &amp; Astron, Los Angeles, CA 90095 USA; [Liewer, K. M.] CALTECH, Jet Prop Lab, Pasadena, CA 91109 USA; [Nam, J.] Ewha Womans Univ, Seoul, South Korea</t>
  </si>
  <si>
    <t>University of Kansas; University of Hawaii System; University of Hawaii Manoa; Stanford University; United States Department of Energy (DOE); SLAC National Accelerator Laboratory; University System of Ohio; Ohio State University; Washington University (WUSTL); National Taiwan University; University of Delaware; University of London; University College London; University of California System; University of California Los Angeles; National Aeronautics &amp; Space Administration (NASA); NASA Jet Propulsion Laboratory (JPL); California Institute of Technology; Ewha Womans University</t>
  </si>
  <si>
    <t>Detrixhe, M (corresponding author), Univ Kansas, Dept Phys &amp; Astron, Lawrence, KS 66045 USA.</t>
  </si>
  <si>
    <t>Connolly, Amy Lynn/J-3958-2013; Nichol, Ryan/C-1645-2008; Beatty, James/D-9310-2011; Chen, Pisin/IAO-8769-2023; Vieregg, Abigail/D-2287-2012; Belov, Konstantin V/D-2520-2013</t>
  </si>
  <si>
    <t>Nichol, Ryan/0000-0003-0557-0443; Beatty, James/0000-0003-0481-4952; Chen, Pisin/0000-0001-5251-7210; Belov, Konstantin V/0000-0002-8861-110X; Palladino, Kimberly/0000-0002-5175-5628; Gorham, Peter/0000-0002-0923-9363; Allison, Patrick/0000-0001-8141-2653</t>
  </si>
  <si>
    <t>AMER PHYSICAL SOC</t>
  </si>
  <si>
    <t>COLLEGE PK</t>
  </si>
  <si>
    <t>ONE PHYSICS ELLIPSE, COLLEGE PK, MD 20740-3844 USA</t>
  </si>
  <si>
    <t>1550-7998</t>
  </si>
  <si>
    <t>1550-2368</t>
  </si>
  <si>
    <t>PHYS REV D</t>
  </si>
  <si>
    <t>Phys. Rev. D</t>
  </si>
  <si>
    <t>JAN 19</t>
  </si>
  <si>
    <t>10.1103/PhysRevD.83.023513</t>
  </si>
  <si>
    <t>Astronomy &amp; Astrophysics; Physics, Particles &amp; Fields</t>
  </si>
  <si>
    <t>Astronomy &amp; Astrophysics; Physics</t>
  </si>
  <si>
    <t>714IO</t>
  </si>
  <si>
    <t>Green Accepted, Green Submitted, hybrid</t>
  </si>
  <si>
    <t>WOS:000286803300006</t>
  </si>
  <si>
    <t>Hassler, CS; Schoemann, V; Nichols, CM; Butler, ECV; Boyd, PW</t>
  </si>
  <si>
    <t>Hassler, Christel S.; Schoemann, Veronique; Nichols, Carol Mancuso; Butler, Edward C. V.; Boyd, Philip W.</t>
  </si>
  <si>
    <t>Saccharides enhance iron bioavailability to Southern Ocean phytoplankton</t>
  </si>
  <si>
    <t>PROCEEDINGS OF THE NATIONAL ACADEMY OF SCIENCES OF THE UNITED STATES OF AMERICA</t>
  </si>
  <si>
    <t>trace metals; carbohydrates; organic matter; exopolymeric substances; plankton</t>
  </si>
  <si>
    <t>EXTRACELLULAR POLYMERIC SUBSTANCES; CATHODIC STRIPPING VOLTAMMETRY; DISSOLVED ORGANIC-MATTER; FUTURE-DIRECTIONS; HUMIC SUBSTANCES; PSEUDO-NITZSCHIA; MARINE-BACTERIA; ATLANTIC-OCEAN; FE; ACID</t>
  </si>
  <si>
    <t>Iron limits primary productivity in vast regions of the ocean. Given that marine phytoplankton contribute up to 40% of global biological carbon fixation, it is important to understand what parameters control the availability of iron (iron bioavailability) to these organisms. Most studies on iron bioavailability have focused on the role of siderophores; however, eukaryotic phytoplankton do not produce or release siderophores. Here, we report on the pivotal role of saccharides-which may act like an organic ligand-in enhancing iron bioavailability to a Southern Ocean cultured diatom, a prymnesiophyte, as well as to natural populations of eukaryotic phytoplankton. Addition of a monosaccharide (&gt;2 nM of glucuronic acid, GLU) to natural planktonic assemblages from both the polar front and subantarctic zones resulted in an increase in iron bioavailability for eukaryotic phytoplankton, relative to bacterioplankton. The enhanced iron bioavailability observed for several groups of eukaryotic phytoplankton (i.e., cultured and natural populations) using three saccharides, suggests it is a common phenomenon. Increased iron bioavailability resulted from the combination of saccharides forming highly bioavailable organic associations with iron and increasing iron solubility, mainly as colloidal iron. As saccharides are ubiquitous, present at nanomolar to micromolar concentrations, and produced by biota in surface waters, they also satisfy the prerequisites to be important constituents of the poorly defined ligand soup, known to weakly bind iron. Our findings point to an additional type of organic ligand, controlling iron bioavailability to eukaryotic phytoplankton-a key unknown in iron biogeochemistry.</t>
  </si>
  <si>
    <t>[Hassler, Christel S.; Butler, Edward C. V.] CSIRO, Ctr Australian Weather &amp; Climate Res, Hobart, Tas 7000, Australia; [Hassler, Christel S.; Butler, Edward C. V.] Bur Meteorol, Hobart, Tas 7000, Australia; [Hassler, Christel S.; Nichols, Carol Mancuso; Butler, Edward C. V.] CSIRO, Clayton, Vic 3169, Australia; [Hassler, Christel S.] Univ Technol Sydney, Sydney, NSW 2007, Australia; [Schoemann, Veronique] Univ Libre Bruxelles, Ecol Syst Aquat, B-1050 Brussels, Belgium; [Schoemann, Veronique] Royal Netherlands Inst Sea Res, NL-1797 SZ T Horntje, Texel, Netherlands; [Boyd, Philip W.] Univ Otago, Dept Chem, Ctr Chem &amp; Phys Oceanog, Natl Inst Water &amp; Atmospher Res, Dunedin 9012, New Zealand</t>
  </si>
  <si>
    <t>Commonwealth Scientific &amp; Industrial Research Organisation (CSIRO); Bureau of Meteorology - Australia; Commonwealth Scientific &amp; Industrial Research Organisation (CSIRO); University of Technology Sydney; Universite Libre de Bruxelles; Utrecht University; Royal Netherlands Institute for Sea Research (NIOZ); National Institute of Water &amp; Atmospheric Research (NIWA) - New Zealand; University of Otago</t>
  </si>
  <si>
    <t>Hassler, CS (corresponding author), CSIRO, Ctr Australian Weather &amp; Climate Res, Hobart, Tas 7000, Australia.</t>
  </si>
  <si>
    <t>Christel.hassler@uts.edu.au</t>
  </si>
  <si>
    <t>Nichols, Carol/C-2290-2008; Boyd, Philip/J-7624-2014</t>
  </si>
  <si>
    <t>Nichols, Carol/0000-0002-2739-4690; Hassler, Christel/0000-0002-8976-5469; Boyd, Philip/0000-0001-7850-1911; Butler, Edward/0000-0002-6660-3985</t>
  </si>
  <si>
    <t>Australian Research Council [1092892]; Australian Antarctic Division [2720]; Antarctic Climate and Ecosystems Cooperative Research Center; Commonwealth Scientific and Industrial Research Organization (CSIRO) Office of the Chief Executive; University of Technology Sydney; Belgian Federal Science Policy Office [SD/CA/03A]; Belgian French Community (Actions de Recherche Concertee) [2/07-287]; Netherlands Organisation for Scientific Research [851.20.046]; New Zealand Foundation for Research Science and Technology Coasts and Oceans Outcome Based Investment; European Network of Excellence EUR-OCEANS [511106-2]</t>
  </si>
  <si>
    <t>Australian Research Council(Australian Research Council); Australian Antarctic Division; Antarctic Climate and Ecosystems Cooperative Research Center; Commonwealth Scientific and Industrial Research Organization (CSIRO) Office of the Chief Executive(Commonwealth Scientific &amp; Industrial Research Organisation (CSIRO)); University of Technology Sydney; Belgian Federal Science Policy Office(Belgian Federal Science Policy Office); Belgian French Community (Actions de Recherche Concertee); Netherlands Organisation for Scientific Research(Netherlands Organization for Scientific Research (NWO)); New Zealand Foundation for Research Science and Technology Coasts and Oceans Outcome Based Investment; European Network of Excellence EUR-OCEANS</t>
  </si>
  <si>
    <t>The authors thank Brian Griffiths and Andrew Bowie for water sampling and the opportunity to join the SAZ-Sense oceanographic campaign; the laboratory of Ken Bruland for SAFe reference seawater; Ros Watson and Jeanette O'Sullivan for ICP-MS analysis; Lesley Clementson and Corina Brussaard for HPLC pigments and flow cytometry analysis, respectively; and Tom Trull, Richard Matear, and Brian Griffiths for comments. The authors also thank the Australian Research Council for funding (DP 1092892), the Australian Antarctic Division (Australian Antarctic Science Project 2720), and the Antarctic Climate and Ecosystems Cooperative Research Center. C.S.H. was funded by the Commonwealth Scientific and Industrial Research Organization (CSIRO) Office of the Chief Executive Postdoctoral Fellowship and the University of Technology Sydney Chancellor Fellowship; C.M.N. was supported by a Postdoctoral Fellowship. The Belgian Federal Science Policy Office (Contract SD/CA/03A), Belgian French Community (Actions de Recherche Concertee Contract 2/07-287) and the Netherlands Organisation for Scientific Research (Netherlands Polar Project 851.20.046) provided financial support to V.S. The New Zealand Foundation for Research Science and Technology Coasts and Oceans Outcome Based Investment funded P.W B. This study is also a contribution to the Surface Ocean-Lower Atmosphere Study international research initiative and the European Network of Excellence EUR-OCEANS (Contract 511106-2).</t>
  </si>
  <si>
    <t>NATL ACAD SCIENCES</t>
  </si>
  <si>
    <t>2101 CONSTITUTION AVE NW, WASHINGTON, DC 20418 USA</t>
  </si>
  <si>
    <t>0027-8424</t>
  </si>
  <si>
    <t>P NATL ACAD SCI USA</t>
  </si>
  <si>
    <t>Proc. Natl. Acad. Sci. U. S. A.</t>
  </si>
  <si>
    <t>JAN 18</t>
  </si>
  <si>
    <t>10.1073/pnas.1010963108</t>
  </si>
  <si>
    <t>707TF</t>
  </si>
  <si>
    <t>WOS:000286310300037</t>
  </si>
  <si>
    <t>Pickering, MD; Keely, BJ</t>
  </si>
  <si>
    <t>Pickering, Matthew D.; Keely, Brendan J.</t>
  </si>
  <si>
    <t>Low temperature abiotic formation of mesopyrophaeophorbide a from pyrophaeophorbide a under conditions simulating anoxic natural environments</t>
  </si>
  <si>
    <t>GEOCHIMICA ET COSMOCHIMICA ACTA</t>
  </si>
  <si>
    <t>SULFUR-RICH GEOMACROMOLECULES; SEDIMENTARY ORGANIC-MATTER; CHLOROPHYLL DERIVATIVES; INORGANIC POLYSULFIDES; SUBSTITUTION-REACTIONS; LABORATORY SIMULATION; EARLY DIAGENESIS; NITRO-GROUP; SULFURIZATION; REDUCTION</t>
  </si>
  <si>
    <t>Reduction of the C-3 vinyl group to an ethyl substituent is a key, yet poorly understood, event in the diagenetic pathway linking chlorophyll a to sedimentary alkyl porphyrins. Laboratory simulation experiments employing conditions that mimic those of natural anoxic environments (aqueous media, low temperature, presence of H2S and limitation of oxygen) lead to partial conversion of the chlorophyll a derivative methyl pyrophaeophorbide a to mesopyrophaeophorbide a via reduction of the C-3 vinyl substituent mediated by H2S. The mild conditions employed, and the apparent susceptibility of methyl pyrophaeophorbide a to reductive transformation, implies that reduction mediated by H2S could be a widespread process occurring in anoxic depositional environments. Our findings have implications for the geological preservation of chlorins and other biological markers and provide clear evidence that reactions involving H2S are important in the geochemical reduction of sedimenting organic matter and can occur at temperatures within the range for natural environments. (C) 2010 Elsevier Ltd. All rights reserved.</t>
  </si>
  <si>
    <t>[Pickering, Matthew D.; Keely, Brendan J.] Univ York, Dept Chem, York YO10 5DD, N Yorkshire, England</t>
  </si>
  <si>
    <t>University of York - UK</t>
  </si>
  <si>
    <t>Keely, BJ (corresponding author), Univ York, Dept Chem, York YO10 5DD, N Yorkshire, England.</t>
  </si>
  <si>
    <t>brendan.keely@york.ac.uk</t>
  </si>
  <si>
    <t>Keely, Brendan John/0000-0002-8560-1862; Pickering, Matthew D/0000-0002-6234-2108</t>
  </si>
  <si>
    <t>University of York; British Antarctic Survey</t>
  </si>
  <si>
    <t>The authors would like to thank the University of York and British Antarctic Survey for funding this research. The three anonymous reviewers are also thanked for their helpful comments and suggestions.</t>
  </si>
  <si>
    <t>0016-7037</t>
  </si>
  <si>
    <t>1872-9533</t>
  </si>
  <si>
    <t>GEOCHIM COSMOCHIM AC</t>
  </si>
  <si>
    <t>Geochim. Cosmochim. Acta</t>
  </si>
  <si>
    <t>JAN 15</t>
  </si>
  <si>
    <t>10.1016/j.gca.2010.10.020</t>
  </si>
  <si>
    <t>708GF</t>
  </si>
  <si>
    <t>WOS:000286349600014</t>
  </si>
  <si>
    <t>Ritz, SP; Stocker, TF; Joos, F</t>
  </si>
  <si>
    <t>Ritz, Stefan P.; Stocker, Thomas F.; Joos, Fortunat</t>
  </si>
  <si>
    <t>A Coupled Dynamical Ocean-Energy Balance Atmosphere Model for Paleoclimate Studies</t>
  </si>
  <si>
    <t>LAST GLACIAL MAXIMUM; SEA-ICE; OVERTURNING CIRCULATION; ATLANTIC-OCEAN; SYSTEM MODEL; ANNUAL CYCLE; CLIMATE; PARAMETERIZATION; SIMULATION; FLUXES</t>
  </si>
  <si>
    <t>The Bern3D coupled three-dimensional dynamical ocean-energy balance atmosphere model is introduced and the atmospheric component is discussed in detail. The model is of reduced complexity, developed to perform extensive sensitivity studies and ensemble simulations extending over several glacial-interglacial cycles. On large space scales, the modern steady state of the model compares well with observations. In a first application, several 800 000-yr simulations with prescribed orbital, greenhouse gas, and ice sheet forcings are performed. The model shows an increase of Atlantic meridional overturning circulation strength at glacial inceptions followed by a decrease throughout the glaciation and ending in a circulation at glacial maxima that is weaker than at present. The sensitivity of ocean temperature to atmospheric temperature, Atlantic meridional overturning circulation (AMOC), and Antarctic bottom water (AABW) strength is analyzed at 23 locations. In a second application the climate sensitivities of the modern and of the Last Glacial Maximum (LGM) state are compared. The temperature rise for a doubling of the CO2 concentration from LGM conditions is 4.3 degrees C and thus notably larger than in the modern case (3 degrees C). The relaxation time scale is strongly dependent on the response of AABW to the CO2 change, since it determines the ventilation of the deep Pacific and Indian Ocean.</t>
  </si>
  <si>
    <t>Univ Bern, Oeschger Ctr Climate Change Res, CH-3012 Bern, Switzerland; [Ritz, Stefan P.] Univ Bern, Inst Phys, CH-3012 Bern, Switzerland</t>
  </si>
  <si>
    <t>University of Bern; University of Bern</t>
  </si>
  <si>
    <t>Ritz, SP (corresponding author), Univ Bern, Inst Phys, Sidlerstr 5, CH-3012 Bern, Switzerland.</t>
  </si>
  <si>
    <t>ritz@climate.unibe.ch</t>
  </si>
  <si>
    <t>Keyes, Dennis/AAZ-9285-2021; Joos, Fortunat/B-4118-2018; Stocker, Thomas F/B-1273-2013</t>
  </si>
  <si>
    <t>Joos, Fortunat/0000-0002-9483-6030;</t>
  </si>
  <si>
    <t>GRACCIE; Swiss National Science Foundation; European Community [FP7/2007-2013]; Project Past4Future; Swiss Staatssekretariat far Bildung und Forschung [735]</t>
  </si>
  <si>
    <t>GRACCIE; Swiss National Science Foundation(Swiss National Science Foundation (SNSF)); European Community; Project Past4Future; Swiss Staatssekretariat far Bildung und Forschung</t>
  </si>
  <si>
    <t>This study was funded by GRACCIE (CONSOLIDER-INGENIO 2010) and by the Swiss National Science Foundation. F. Joos acknowledges support by the European Community's Seventh Framework Programme (FP7/2007-2013) through the European Project on Ocean Acidification (EPOCA) and the Project Past4Future and by the Swiss Staatssekretariat far Bildung und Forschung (Cost Action 735). We thank J. Lynch-Stieglitz for providing the LGM cadmium data, M. Gerber for sharing the regridded CFC data, and N. Edwards for valuable comments concerning the EBM. We also thank N. Edwards, S. A. Muller, T. Tschumi, P. Parekh, R.Gangsto, M. Gerber, and A. Bass for their contributions in the development of the Bern3D model and three anonymous reviewers, whose comments have considerably improved the paper. ERA-40 reanalysis fields used in the EBM are provided by the European Centre for Medium-Range Weather Forecasts (ECMWF).</t>
  </si>
  <si>
    <t>10.1175/2010JCLI3351.1</t>
  </si>
  <si>
    <t>716VR</t>
  </si>
  <si>
    <t>WOS:000287002100002</t>
  </si>
  <si>
    <t>Franzke, C; Woollings, T</t>
  </si>
  <si>
    <t>Franzke, Christian; Woollings, Tim</t>
  </si>
  <si>
    <t>On the Persistence and Predictability Properties of North Atlantic Climate Variability</t>
  </si>
  <si>
    <t>TIME-SERIES; NOISE; FREQUENCY; BLOCKING; TREND</t>
  </si>
  <si>
    <t>The persistence and climate noise properties of North Atlantic climate variability are of importance for trend identification and assessing predictability on all time scales from several days to many decades. Here, the authors analyze these properties by applying empirical mode decomposition to a time series of the latitude of the North Atlantic eddy-driven jet stream. In previous studies, it has been argued that a slow decay of the autocorrelation function at large lags suggests potential extended-range predictability during the winter season. The authors show that the increased autocorrelation time scale does not necessarily lead to enhanced intraseasonal predictive skill. They estimate the fraction of interannual variability that likely arises due to climate noise as 43%-48% in winter and 70%-71% in summer. The analysis also indentifies a significant poleward trend of the jet stream that cannot be explained as arising from climate noise. These findings have important implications for the predictability of North Atlantic climate variability.</t>
  </si>
  <si>
    <t>[Franzke, Christian] British Antarctic Survey, Cambridge CB3 0ET, England; [Woollings, Tim] Univ Reading, Dept Meteorol, Reading, Berks, England</t>
  </si>
  <si>
    <t>Franzke, C (corresponding author), British Antarctic Survey, Madingley Rd, Cambridge CB3 0ET, England.</t>
  </si>
  <si>
    <t>chan1@bas.ac.uk</t>
  </si>
  <si>
    <t>; Franzke, Christian/A-6191-2012</t>
  </si>
  <si>
    <t>Franzke, Christian/0000-0002-8084-3256; Woollings, Tim/0000-0002-5815-9079; Franzke, Christian/0000-0003-4111-1228</t>
  </si>
  <si>
    <t>Natural Environment Research Council; Natural Environment Research Council [NE/E012744/1, bas0100026] Funding Source: researchfish; NERC [NE/E012744/1, bas0100026]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</si>
  <si>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</si>
  <si>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It was funded by The Natural Environment Research Council. We thank the European Centre for Medium-Range Weather Forecasts for providing the ERA-40 and the anonymous reviewers for their constructive comments, which helped to improve the manuscript.</t>
  </si>
  <si>
    <t>10.1175/2010JCLI3739.1</t>
  </si>
  <si>
    <t>WOS:000287002100009</t>
  </si>
  <si>
    <t>Smale, DA; Wernberg, T; Peck, LS; Barnes, DKA</t>
  </si>
  <si>
    <t>Smale, Dan A.; Wernberg, Thomas; Peck, Lloyd S.; Barnes, David K. A.</t>
  </si>
  <si>
    <t>Turning on the Heat: Ecological Response to Simulated Warming in the Sea</t>
  </si>
  <si>
    <t>CLIMATE-CHANGE; MICROCOSM EXPERIMENTS; TEMPERATURE; RECRUITMENT; COMMUNITIES; DISTURBANCE; IMPACTS; GROWTH</t>
  </si>
  <si>
    <t>Significant warming has been observed in every ocean, yet our ability to predict the consequences of oceanic warming on marine biodiversity remains poor. Experiments have been severely limited because, until now, it has not been possible to manipulate seawater temperature in a consistent manner across a range of marine habitats. We constructed a hot-plate'' system to directly examine ecological responses to elevated seawater temperature in a subtidal marine system. The substratum available for colonisation and overlying seawater boundary layer were warmed for 36 days, which resulted in greater biomass of marine organisms and a doubling of space coverage by a dominant colonial ascidian. The hot-plate'' system will facilitate complex manipulations of temperature and multiple stressors in the field to provide valuable information on the response of individuals, populations and communities to environmental change in any aquatic habitat.</t>
  </si>
  <si>
    <t>[Smale, Dan A.; Wernberg, Thomas] Univ Western Australia, Sch Plant Biol, Oceans Inst, Perth, WA 6009, Australia; [Wernberg, Thomas] Univ Western Australia, Australian Inst Marine Sci, Oceans Inst, Perth, WA 6009, Australia; [Peck, Lloyd S.; Barnes, David K. A.] British Antarctic Survey, NERC, Cambridge CB3 0ET, England</t>
  </si>
  <si>
    <t>University of Western Australia; Australian Institute of Marine Science; University of Western Australia; UK Research &amp; Innovation (UKRI); Natural Environment Research Council (NERC); NERC British Antarctic Survey</t>
  </si>
  <si>
    <t>Smale, DA (corresponding author), Univ Western Australia, Sch Plant Biol, Oceans Inst, Perth, WA 6009, Australia.</t>
  </si>
  <si>
    <t>daniel.smale@uwa.edu.au</t>
  </si>
  <si>
    <t>Smale, Daniel/Y-2909-2019; Wernberg, Thomas/B-4172-2010; Smale, Dan A/B-3240-2011</t>
  </si>
  <si>
    <t>Smale, Daniel/0000-0003-4157-541X; Wernberg, Thomas/0000-0003-1185-9745;</t>
  </si>
  <si>
    <t>University of Western Australia [AUD 30K]; NERC [bas0100025, dml011000] Funding Source: UKRI; Natural Environment Research Council [bas0100025, dml011000] Funding Source: researchfish</t>
  </si>
  <si>
    <t>University of Western Australia; NERC(UK Research &amp; Innovation (UKRI)Natural Environment Research Council (NERC)); Natural Environment Research Council(UK Research &amp; Innovation (UKRI)Natural Environment Research Council (NERC))</t>
  </si>
  <si>
    <t>Funding was sourced from the University of Western Australia's postdoctoral development award to DS (AUD 30K). The funders had no role in study design, data collection and analysis, decision to publish, or preparation of the manuscript.</t>
  </si>
  <si>
    <t>JAN 14</t>
  </si>
  <si>
    <t>e16050</t>
  </si>
  <si>
    <t>10.1371/journal.pone.0016050</t>
  </si>
  <si>
    <t>710MS</t>
  </si>
  <si>
    <t>Green Accepted, gold, Green Published, Green Submitted</t>
  </si>
  <si>
    <t>WOS:000286516500024</t>
  </si>
  <si>
    <t>Thornalley, DJR; Barker, S; Broecker, WS; Elderfield, H; McCave, IN</t>
  </si>
  <si>
    <t>Thornalley, David J. R.; Barker, Stephen; Broecker, Wallace S.; Elderfield, Henry; McCave, I. Nick</t>
  </si>
  <si>
    <t>The Deglacial Evolution of North Atlantic Deep Convection</t>
  </si>
  <si>
    <t>SCIENCE</t>
  </si>
  <si>
    <t>SOUTHERN-OCEAN; CIRCULATION; MELTWATER; CARBON; VARIABILITY; VENTILATION; ICE</t>
  </si>
  <si>
    <t>Deepwater formation in the North Atlantic by open-ocean convection is an essential component of the overturning circulation of the Atlantic Ocean, which helps regulate global climate. We use water-column radiocarbon reconstructions to examine changes in northeast Atlantic convection since the Last Glacial Maximum. During cold intervals, we infer a reduction in open-ocean convection and an associated incursion of an extremely radiocarbon (C-14)-depleted water mass, interpreted to be Antarctic Intermediate Water. Comparing the timing of deep convection changes in the northeast and northwest Atlantic, we suggest that, despite a strong control on Greenland temperature by northeast Atlantic convection, reduced open-ocean convection in both the northwest and northeast Atlantic is necessary to account for contemporaneous perturbations in atmospheric circulation.</t>
  </si>
  <si>
    <t>[Thornalley, David J. R.; Barker, Stephen] Cardiff Univ, Sch Earth &amp; Ocean Sci, Cardiff CF10 3YE, S Glam, Wales; [Thornalley, David J. R.; Elderfield, Henry; McCave, I. Nick] Univ Cambridge, Dept Earth Sci, Godwin Lab Palaeoclimate Res, Cambridge CB2 3EQ, England; [Broecker, Wallace S.] Columbia Univ, Lamont Doherty Earth Observ, Palisades, NY 10964 USA</t>
  </si>
  <si>
    <t>Cardiff University; University of Cambridge; Columbia University</t>
  </si>
  <si>
    <t>Thornalley, DJR (corresponding author), Cardiff Univ, Sch Earth &amp; Ocean Sci, Cardiff CF10 3YE, S Glam, Wales.</t>
  </si>
  <si>
    <t>d.thornalley@cantab.net</t>
  </si>
  <si>
    <t>McCave, Nick N/G-7323-2016; Stephen, Barker/C-2770-2009; McCave, I. Nick/O-3992-2018</t>
  </si>
  <si>
    <t>McCave, Nick N/0000-0002-4702-5489; McCave, I. Nick/0000-0002-4702-5489; Barker, Stephen/0000-0001-7870-6431</t>
  </si>
  <si>
    <t>NERC [NER/T/S/2002/00436, NE/F002734/1]; National Science Foundation [OCE 04-35703]; NERC [NE/F002734/1, NE/D001803/1, NRCF010001] Funding Source: UKRI; Natural Environment Research Council [NE/D001803/1, NE/F002734/1, NRCF010001] Funding Source: researchfish</t>
  </si>
  <si>
    <t>NERC(UK Research &amp; Innovation (UKRI)Natural Environment Research Council (NERC)); National Science Foundation(National Science Foundation (NSF)); NERC(UK Research &amp; Innovation (UKRI)Natural Environment Research Council (NERC)); Natural Environment Research Council(UK Research &amp; Innovation (UKRI)Natural Environment Research Council (NERC))</t>
  </si>
  <si>
    <t>We thank L. Booth for help in picking planktic 14C dates. D. T. thanks S. Bryan, I. Hall, L. Keigwin, G. Knorr, T. Marchitto, and L. Skinner for useful discussions. Radiocarbon dates were analyzed by Natural Environment Research Council (NERC, UK) and National Ocean Sciences Accelerator Mass Spectrometry (NOSAMS, USA) facilities. This work was funded by NERC grants NER/T/S/2002/00436 and NE/F002734/1 and National Science Foundation grant OCE 04-35703.</t>
  </si>
  <si>
    <t>AMER ASSOC ADVANCEMENT SCIENCE</t>
  </si>
  <si>
    <t>1200 NEW YORK AVE, NW, WASHINGTON, DC 20005 USA</t>
  </si>
  <si>
    <t>0036-8075</t>
  </si>
  <si>
    <t>1095-9203</t>
  </si>
  <si>
    <t>Science</t>
  </si>
  <si>
    <t>10.1126/science.1196812</t>
  </si>
  <si>
    <t>709JA</t>
  </si>
  <si>
    <t>WOS:000286433100039</t>
  </si>
  <si>
    <t>Hassler, B; Bodeker, GE; Solomon, S; Young, PJ</t>
  </si>
  <si>
    <t>Hassler, B.; Bodeker, G. E.; Solomon, S.; Young, P. J.</t>
  </si>
  <si>
    <t>Changes in the polar vortex: Effects on Antarctic total ozone observations at various stations</t>
  </si>
  <si>
    <t>GEOPHYSICAL RESEARCH LETTERS</t>
  </si>
  <si>
    <t>SOUTHERN-HEMISPHERE; POTENTIAL VORTICITY; HIGH-LATITUDES; DEPLETION; TRENDS</t>
  </si>
  <si>
    <t>October mean total column ozone data from four Antarctic stations form the basis for understanding the evolution of the ozone hole since 1960. While these stations show similar emergence of the ozone hole from 1960 to 1980, the records are divergent in the last two decades. The effects of long-term changes in vortex shape and location are considered by gridding the measurements by equivalent latitude. A clear eastward shift of the mean position of the vortex in October with time is revealed, which changes the fraction of ozone measurements taken inside/outside the vortex for stations in the vortex collar region. After including only those measurements made inside the vortex, ozone behavior in the last two decades at the four stations is very similar. This suggests that dynamical influence must be considered when interpreting and intercomparing ozone measurements from Antarctic stations for detecting ozone recovery and ozone-related changes in Antarctic climate. Citation: Hassler, B., G. E. Bodeker, S. Solomon, and P. J. Young (2011), Changes in the polar vortex: Effects on Antarctic total ozone observations at various stations, Geophys. Res. Lett., 38, L01805, doi:10.1029/2010GL045542.</t>
  </si>
  <si>
    <t>[Hassler, B.; Young, P. J.] Univ Colorado, Cooperat Inst Res Environm Sci, Boulder, CO 80309 USA; [Hassler, B.; Solomon, S.; Young, P. J.] NOAA, Earth Syst Res Lab, Boulder, CO 80305 USA; [Bodeker, G. E.] Bodeker Sci, Alexandra 9391, Central Otago, New Zealand</t>
  </si>
  <si>
    <t>University of Colorado System; University of Colorado Boulder; National Oceanic Atmospheric Admin (NOAA) - USA</t>
  </si>
  <si>
    <t>Hassler, B (corresponding author), Univ Colorado, Cooperat Inst Res Environm Sci, Boulder, CO 80309 USA.</t>
  </si>
  <si>
    <t>Young, Paul J/E-8739-2010; Bodeker, Greg E/A-8870-2008; Hassler, Birgit/E-8987-2010</t>
  </si>
  <si>
    <t>Bodeker, Gregory/0000-0003-1094-5852; Hassler, Birgit/0000-0003-2724-709X</t>
  </si>
  <si>
    <t>0094-8276</t>
  </si>
  <si>
    <t>GEOPHYS RES LETT</t>
  </si>
  <si>
    <t>Geophys. Res. Lett.</t>
  </si>
  <si>
    <t>JAN 12</t>
  </si>
  <si>
    <t>L01805</t>
  </si>
  <si>
    <t>10.1029/2010GL045542</t>
  </si>
  <si>
    <t>707XA</t>
  </si>
  <si>
    <t>WOS:000286323300003</t>
  </si>
  <si>
    <t>Dagkesamanskii, RD; Matveev, VA; Zheleznykh, IM</t>
  </si>
  <si>
    <t>Dagkesamanskii, R. D.; Matveev, V. A.; Zheleznykh, I. M.</t>
  </si>
  <si>
    <t>Prospects of radio detection of extremely high energy neutrinos bombarding the Moon</t>
  </si>
  <si>
    <t>NUCLEAR INSTRUMENTS &amp; METHODS IN PHYSICS RESEARCH SECTION A-ACCELERATORS SPECTROMETERS DETECTORS AND ASSOCIATED EQUIPMENT</t>
  </si>
  <si>
    <t>Article; Proceedings Paper</t>
  </si>
  <si>
    <t>4th International Workshop on a Very Large Volume Neutrino Telescope for the Mediterranean Sea</t>
  </si>
  <si>
    <t>OCT 13-16, 2009</t>
  </si>
  <si>
    <t>Athens, GREECE</t>
  </si>
  <si>
    <t>Neutrino; Radio detection</t>
  </si>
  <si>
    <t>EMISSION; SPECTRUM</t>
  </si>
  <si>
    <t>The idea of RAMHAND-type experiments proposed by Dagkesamanskii and Zheleznykh is similar to that of RAMAND-type experiments. Both types are based on Askaryan's effect, described by Askaryan in the beginning of the 1960s. The main difference between them is that different targets are used. RAMAND-type experiments use the massif of Antarctic ice, whereas the other experiments use the surface of the Moon. In both cases radio antennas are used as the detectors of the Cherenkov radio pulses arising in relatively dense dielectrics. Several RAMHAND-type experiments (Parks. Glue and Kalyazin experiments) carried out at frequencies around 1.4 GHz and higher had placed only an upper limit to the isotropic flux of EHE-neutrinos (E-v similar to 10(20-21) eV). Some advantages of observations at lower frequencies (especially for the detection of the extremely high energy neutrinos. with E-v &gt; 10(22) eV) were considered by several teams during the last years. A different strategy was suggested by Australian scientists, who suggested a technique of estimating the anisotropic EHE-neutrinos fluxes only from the near AGNs and their vicinities. Impressive prospects for the investigation of the EHE-neutrinos fluxes will be opened with the construction of new generation of giant radio telescopes, like LOFAR, FAST, SKA and other multi-element and multi-beam systems. Radio antennas placed on board of the lunar satellite (LORD-Lunar Orbital Radio Detector project) will provide scientists with another interesting possibility of studying neutrino physics, high-energy astrophysics and cosmology. (c) 2010 Elsevier B.V. All rights reserved.</t>
  </si>
  <si>
    <t>[Dagkesamanskii, R. D.] Russian Acad Sci, Pushchino Radio Astron Observ, PN Lebedev Phys Inst, Pushchino 142290, Moscow Region, Russia; [Matveev, V. A.; Zheleznykh, I. M.] Russian Acad Sci, Inst Nucl Res, Moscow 117312, Russia</t>
  </si>
  <si>
    <t>Russian Academy of Sciences; Pushchino Scientific Center for Biological Research (PSCBI) of the Russian Academy of Sciences; Russian Academy of Science Lebedev Physical Institute; Russian Academy of Sciences; Institute for Nuclear Research of the Russian Academy of Sciences</t>
  </si>
  <si>
    <t>Dagkesamanskii, RD (corresponding author), Russian Acad Sci, Pushchino Radio Astron Observ, PN Lebedev Phys Inst, Pushchino 142290, Moscow Region, Russia.</t>
  </si>
  <si>
    <t>rdd@prao.ru; zhelezny@minus.inr.ac.ru</t>
  </si>
  <si>
    <t>Dagkesamanskii, Rustam D/N-2113-2015</t>
  </si>
  <si>
    <t>0168-9002</t>
  </si>
  <si>
    <t>1872-9576</t>
  </si>
  <si>
    <t>NUCL INSTRUM METH A</t>
  </si>
  <si>
    <t>Nucl. Instrum. Methods Phys. Res. Sect. A-Accel. Spectrom. Dect. Assoc. Equip.</t>
  </si>
  <si>
    <t>JAN 11</t>
  </si>
  <si>
    <t>S</t>
  </si>
  <si>
    <t>S44</t>
  </si>
  <si>
    <t>S47</t>
  </si>
  <si>
    <t>10.1016/j.nima.2010.04.025</t>
  </si>
  <si>
    <t>Instruments &amp; Instrumentation; Nuclear Science &amp; Technology; Physics, Nuclear; Physics, Particles &amp; Fields</t>
  </si>
  <si>
    <t>Science Citation Index Expanded (SCI-EXPANDED); Conference Proceedings Citation Index - Science (CPCI-S)</t>
  </si>
  <si>
    <t>Instruments &amp; Instrumentation; Nuclear Science &amp; Technology; Physics</t>
  </si>
  <si>
    <t>709NG</t>
  </si>
  <si>
    <t>WOS:000286446800010</t>
  </si>
  <si>
    <t>Nichol, RJ</t>
  </si>
  <si>
    <t>Nichol, R. J.</t>
  </si>
  <si>
    <t>Radio detection of high-energy particles with the ANITA experiment</t>
  </si>
  <si>
    <t>ANITA</t>
  </si>
  <si>
    <t>COSMIC-RAYS; AIR; PULSES; NEUTRINOS; EMISSION; SPECTRUM; SHOWERS; RADIATION</t>
  </si>
  <si>
    <t>The Antarctic Impulsive Transient Antenna (ANITA) is an experiment which has completed two long-duration balloon flights above Antarctica. ANITA searches for impulsive radio-Cherenkov emission arising from the Askaryan charge excess which develops in ultra-high energy neutrino-induced particle cascades in the Antarctic ice. Analysis of data from the first ANITA flight, which took place in 2006-2007, resulted in zero neutrino candidate events remaining after all cuts had been performed. Limits on the ultra-high energy neutrino flux from this analysis are presented. The sensitivity of the second flight, 2008-2009, and possible future flights to both ultra-high energy neutrino and ultra-high energy cosmic ray air shower signals are discussed. (c) 2010 Elsevier B.V. All rights reserved.</t>
  </si>
  <si>
    <t>[Nichol, R. J.; ANITA Collaboration] UCL, Dept Phys &amp; Astron, London WC1E 6BT, England</t>
  </si>
  <si>
    <t>University of London; University College London</t>
  </si>
  <si>
    <t>Nichol, RJ (corresponding author), UCL, Dept Phys &amp; Astron, Gower St, London WC1E 6BT, England.</t>
  </si>
  <si>
    <t>rjn@hep.ucl.ac.uk</t>
  </si>
  <si>
    <t>Nichol, Ryan/C-1645-2008</t>
  </si>
  <si>
    <t>Nichol, Ryan/0000-0003-0557-0443</t>
  </si>
  <si>
    <t>S30</t>
  </si>
  <si>
    <t>S35</t>
  </si>
  <si>
    <t>10.1016/j.nima.2010.06.268</t>
  </si>
  <si>
    <t>WOS:000286446800007</t>
  </si>
  <si>
    <t>Finkelstein, SA; Cowling, SA</t>
  </si>
  <si>
    <t>Finkelstein, Sarah A.; Cowling, Sharon A.</t>
  </si>
  <si>
    <t>Wetlands, temperature, and atmospheric CO2 and CH4 coupling over the past two millennia</t>
  </si>
  <si>
    <t>GLOBAL BIOGEOCHEMICAL CYCLES</t>
  </si>
  <si>
    <t>CLIMATE-CHANGE; LATE HOLOCENE; CARBON-CYCLE; LAST MILLENNIUM; NORTH-AMERICA; ICE-AGE; PEATLANDS; RECORD; VARIABILITY; SEQUESTRATION</t>
  </si>
  <si>
    <t>High-resolution records of greenhouse gas concentrations from the Law Dome Antarctic ice core show small fluctuations in atmospheric CO2 and CH4, including a 10 ppmv decrease in CO2 and a 50 ppbv increase in CH4 during the Little Ice Age. Explanations for the biosphere-atmosphere carbon exchanges that caused these fluctuations, and their impacts on global climate, are lacking. We produce here a wetland index derived from the North American Pollen Database and show that for most of the past two millennia, this index is negatively correlated (antiphase) with atmospheric CO2 levels measured in the Law Dome ice core. Our analysis indicates the potential for global wetlands to act as carbon sinks, contributing to small fluctuations in atmospheric greenhouse gas concentrations, and thereby influencing submillennial-scale climatic change. Although our wetland index-CO2 relationship is statistically significant, the relationship between our wetland index-CH4 curve is not, possibly due to the confounding influence of wildfires on CH4.</t>
  </si>
  <si>
    <t>[Finkelstein, Sarah A.; Cowling, Sharon A.] Univ Toronto, Dept Geog, Toronto, ON M5S 3G3, Canada</t>
  </si>
  <si>
    <t>University of Toronto</t>
  </si>
  <si>
    <t>Finkelstein, SA (corresponding author), Univ Toronto, Dept Geog, 100 St George St,Rm 5047, Toronto, ON M5S 3G3, Canada.</t>
  </si>
  <si>
    <t>finkelstein@geog.utoronto.ca; cowling@geog.utoronto.ca</t>
  </si>
  <si>
    <t>Finkelstein, Sarah/K-8202-2012</t>
  </si>
  <si>
    <t>Finkelstein, Sarah/0000-0002-8239-399X</t>
  </si>
  <si>
    <t>Centre for Global Change Science at the University of Toronto; Natural Sciences and Engineering Research Council of Canada</t>
  </si>
  <si>
    <t>Centre for Global Change Science at the University of Toronto; Natural Sciences and Engineering Research Council of Canada(Natural Sciences and Engineering Research Council of Canada (NSERC)CGIAR)</t>
  </si>
  <si>
    <t>We acknowledge funding from the Centre for Global Change Science at the University of Toronto and the Natural Sciences and Engineering Research Council of Canada. We thank V. Danov for research assistance, A. Viau for extracting data from the NAPD, and all of the contributors to the NAPD. We would also like to thank two anonymous reviewers for their insightful comments.</t>
  </si>
  <si>
    <t>0886-6236</t>
  </si>
  <si>
    <t>1944-9224</t>
  </si>
  <si>
    <t>GLOBAL BIOGEOCHEM CY</t>
  </si>
  <si>
    <t>Glob. Biogeochem. Cycle</t>
  </si>
  <si>
    <t>JAN 8</t>
  </si>
  <si>
    <t>GB1002</t>
  </si>
  <si>
    <t>10.1029/2010GB003887</t>
  </si>
  <si>
    <t>Environmental Sciences; Geosciences, Multidisciplinary; Meteorology &amp; Atmospheric Sciences</t>
  </si>
  <si>
    <t>Environmental Sciences &amp; Ecology; Geology; Meteorology &amp; Atmospheric Sciences</t>
  </si>
  <si>
    <t>704ML</t>
  </si>
  <si>
    <t>WOS:000286057000001</t>
  </si>
  <si>
    <t>Haase, KM; Beier, C; Fretzdorff, S; Leat, PT; Livermore, RA; Barry, TL; Pearce, JA; Hauff, F</t>
  </si>
  <si>
    <t>Haase, K. M.; Beier, C.; Fretzdorff, S.; Leat, P. T.; Livermore, R. A.; Barry, T. L.; Pearce, J. A.; Hauff, F.</t>
  </si>
  <si>
    <t>Magmatic evolution of a dying spreading axis: Evidence for the interaction of tectonics and mantle heterogeneity from the fossil Phoenix Ridge, Drake Passage</t>
  </si>
  <si>
    <t>CHEMICAL GEOLOGY</t>
  </si>
  <si>
    <t>Partial melting; Mantle upwelling; Incompatible elements; Basalt; Mid-ocean ridges</t>
  </si>
  <si>
    <t>TRACE-ELEMENT FRACTIONATION; MELTING EXPERIMENTS; CONTINENTAL-CRUST; GARNET PYROXENITE; EASTERN PACIFIC; ORIGIN; ISLAND; SEAMOUNTS; ISOTOPE; FLOW</t>
  </si>
  <si>
    <t>New 40Ar-39Ar ages of 5.6 to 1.3 Ma for lavas from the fossil Phoenix Ridge in the Drake Passage show that magmatism continued for at least 2 Ma after the cessation of spreading at 3.3 +/- 0.2 Ma. The Phoenix Ridge lavas are incompatible element-enriched relative to average MORB and show an increasing enrichment with decreasing age, corresponding to progressively decreasing degrees of partial melting of spinel peridotite after spreading stopped. The low-degree partial melts increasingly tap a mantle source with radiogenic Sr and Pb but unradiogenic Nd isotope ratios implying an ancient enrichment. The post-spreading magmas apparently form by buoyant ascent of enriched and easily fusible portions of the upper mantle. Only segments of fossil spreading ridges underlain by such enriched and fertile mantle show post-spreading volcanism frequently forming bathymetric highs. The Phoenix Ridge lavas belong to the Pacific, rather than the Atlantic, mantle domain in regional Sr-Nd-Pb space. Our new data show that the southern Pacific Ocean mantle is heterogeneous containing significant enriched portions that are preferentially tapped at low melt fractions. Isotopic mapping reveals that Pacific-type upper mantle flows eastward through Drake Passage and surrounds the subducting Phoenix Plate beneath the Bransfield Basin. (C) 2010 Elsevier B.V. All rights reserved.</t>
  </si>
  <si>
    <t>[Haase, K. M.; Beier, C.] Univ Erlangen Nurnberg, GeoZentrum Nordbayern, D-91054 Erlangen, Germany; [Haase, K. M.; Fretzdorff, S.] Univ Kiel, Inst Geowissensch, D-24118 Kiel, Germany; [Leat, P. T.; Livermore, R. A.] British Antarctic Survey, Cambridge CB3 0ET, England; [Barry, T. L.] Open Univ, Dept Earth &amp; Environm Sci, Milton Keynes MK7 6AA, Bucks, England; [Pearce, J. A.] Cardiff Univ, Sch Earth &amp; Ocean Sci, Cardiff CF10 3YE, S Glam, Wales; [Hauff, F.] IfM Geomar, Forsch Bereich 4, D-24148 Kiel, Germany</t>
  </si>
  <si>
    <t>University of Erlangen Nuremberg; University of Kiel; UK Research &amp; Innovation (UKRI); Natural Environment Research Council (NERC); NERC British Antarctic Survey; Open University - UK; Cardiff University; Helmholtz Association; GEOMAR Helmholtz Center for Ocean Research Kiel</t>
  </si>
  <si>
    <t>Haase, KM (corresponding author), Univ Erlangen Nurnberg, GeoZentrum Nordbayern, Schlossgarten 5, D-91054 Erlangen, Germany.</t>
  </si>
  <si>
    <t>haase@geol.uni-erlangen.de</t>
  </si>
  <si>
    <t>Beier, Christoph/A-3522-2014; Hauff, Folkmar/AAG-3630-2021; Beier, Christoph/F-5604-2012; Pearce, Julian A/C-5807-2009; Livermore, Roy/M-1566-2019</t>
  </si>
  <si>
    <t>Beier, Christoph/0000-0001-7014-7049; Hauff, Folkmar/0000-0001-9503-9714; Beier, Christoph/0000-0001-7014-7049; Haase, Karsten/0000-0003-4768-5978; Barry, Tiffany/0000-0001-6853-6838</t>
  </si>
  <si>
    <t>Bundesministerium fur Bildung und Forschung (BMBF) [03GO155C]; Deutsche Forschungsgemeinschaft (DFG) [STO 110/41-2]; The UK Natural Environment Research Council; Natural Environment Research Council [NE/F016352/1, bas0100026, NE/F016352/2] Funding Source: researchfish; NERC [NE/F016352/2, NE/F016352/1, bas0100026] Funding Source: UKRI</t>
  </si>
  <si>
    <t>Bundesministerium fur Bildung und Forschung (BMBF)(Federal Ministry of Education &amp; Research (BMBF)); Deutsche Forschungsgemeinschaft (DFG)(German Research Foundation (DFG)); The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</si>
  <si>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Chief Scientist P. Herzig and Captain H. Andresen, and the crew and shipboard scientific party of FS SONNE cruise SO-155 for their expertise and help during the sampling programme. We gratefully acknowledge the assistance of D. Garbe-Schonberg with the ICP-MS analyses and P. v.d. Bogaard with the age-dating at IfM-GEOMAR. The paper was considerably improved by constructive reviews from C. Chauvel and D. Clague. This work was funded by the Bundesministerium fur Bildung und Forschung (BMBF grant 03GO155C) and the Deutsche Forschungsgemeinschaft (DFG grant STO 110/41-2). This study is part of the British Antarctic Survey Polar Science for Planet Earth Programme, funded by The UK Natural Environment Research Council.</t>
  </si>
  <si>
    <t>0009-2541</t>
  </si>
  <si>
    <t>1872-6836</t>
  </si>
  <si>
    <t>CHEM GEOL</t>
  </si>
  <si>
    <t>Chem. Geol.</t>
  </si>
  <si>
    <t>JAN 7</t>
  </si>
  <si>
    <t>1-2</t>
  </si>
  <si>
    <t>10.1016/j.chemgeo.2010.11.002</t>
  </si>
  <si>
    <t>717BE</t>
  </si>
  <si>
    <t>WOS:000287016400011</t>
  </si>
  <si>
    <t>Kosugi, T; Hayashi, S</t>
  </si>
  <si>
    <t>Kosugi, Takahiro; Hayashi, Shigehiko</t>
  </si>
  <si>
    <t>Local entropy difference upon a substrate binding of a psychrophilic α-amylase and a mesophilic homologue</t>
  </si>
  <si>
    <t>CHEMICAL PHYSICS LETTERS</t>
  </si>
  <si>
    <t>COLD ADAPTATION; ENZYMES; STABILITY</t>
  </si>
  <si>
    <t>Psychrophilic alpha-amylase from the antarctic bacterium pseudoalteromonas haloplanktis (AHA) and its mesophilic homologue, porcine pancreatic alpha-amylase (PPA) are theoretically investigated with molecular dynamics (MD) simulations. We carried out 240-ns MD simulations for four systems, AHA and PPA with/without the bound substrate, and examined protein conformational entropy changes upon the substrate binding. We developed an analysis that decomposes the entropy changes into contributions of individual amino acids, and successfully identified protein regions responsible for the entropy changes. The results provide a molecular insight into the structural flexibilities of those enzymes related to the temperature dependences of the enzymatic activity. (C) 2010 Elsevier B. V. All rights reserved.</t>
  </si>
  <si>
    <t>[Hayashi, Shigehiko] Kyoto Univ, Dept Chem, Grad Sch Sci, Sakyo Ku, Kyoto 6068502, Japan</t>
  </si>
  <si>
    <t>Kyoto University</t>
  </si>
  <si>
    <t>Hayashi, S (corresponding author), Kyoto Univ, Dept Chem, Grad Sch Sci, Sakyo Ku, Kyoto 6068502, Japan.</t>
  </si>
  <si>
    <t>hayashig@kuchem.kyoto-u.ac.jp</t>
  </si>
  <si>
    <t>Kosugi, Takahiro/0000-0002-6289-5319</t>
  </si>
  <si>
    <t>JSPS</t>
  </si>
  <si>
    <t>JSPS(Ministry of Education, Culture, Sports, Science and Technology, Japan (MEXT)Japan Society for the Promotion of Science)</t>
  </si>
  <si>
    <t>The study was supported by JSPS research fellowships for young scientist, and others (see SI). The molecular images in the Letter were created with VMD [16].</t>
  </si>
  <si>
    <t>0009-2614</t>
  </si>
  <si>
    <t>1873-4448</t>
  </si>
  <si>
    <t>CHEM PHYS LETT</t>
  </si>
  <si>
    <t>Chem. Phys. Lett.</t>
  </si>
  <si>
    <t>4-6</t>
  </si>
  <si>
    <t>10.1016/j.cplett.2010.11.059</t>
  </si>
  <si>
    <t>Chemistry, Physical; Physics, Atomic, Molecular &amp; Chemical</t>
  </si>
  <si>
    <t>Chemistry; Physics</t>
  </si>
  <si>
    <t>701OJ</t>
  </si>
  <si>
    <t>WOS:000285829300071</t>
  </si>
  <si>
    <t>Stutchbury, BJM; Gow, EA; Done, T; MacPherson, M; Fox, JW; Afanasyev, V</t>
  </si>
  <si>
    <t>Stutchbury, Bridget J. M.; Gow, Elizabeth A.; Done, Tyler; MacPherson, Maggie; Fox, James W.; Afanasyev, Vsevolod</t>
  </si>
  <si>
    <t>Effects of post-breeding moult and energetic condition on timing of songbird migration into the tropics</t>
  </si>
  <si>
    <t>PROCEEDINGS OF THE ROYAL SOCIETY B-BIOLOGICAL SCIENCES</t>
  </si>
  <si>
    <t>migration; geolocator; neotropical migrant; plasma metabolite; moult</t>
  </si>
  <si>
    <t>FEATHER GROWTH BARS; PASSERINE BIRDS; WOOD THRUSH; METABOLITE; MIGRANT; HABITAT; CONSTRAINTS; REPRODUCTION; STRATEGIES; STOPOVER</t>
  </si>
  <si>
    <t>Each autumn billions of songbirds migrate between the temperate zone and tropics, but little is known about how events on the breeding grounds affect migration to the tropics. Here, we use light level geolocators to track the autumn migration of wood thrushes Hylocichla mustelina and test for the first time if late moult and poor physiological condition prior to migration delays arrival on the winter territory. Late nesting thrushes postponed feather moult, and birds with less advanced moult in August were significantly farther north on 10 October while en route to the tropics. Individuals in relatively poor energetic condition in August (high beta-Hydroxybutyrate, low triglyceride, narrow feather growth bars) passed into the tropics significantly later in October. However, late moult and poor pre-migratory condition did not result in late arrival on the winter territory because stopover duration was highly variable late in migration. Although carry-over effects from the winter territory to spring migration may be strong in migratory songbirds, our study suggests that high reproductive effort late in the season does not impose time constraints that delay winter territory acquisition.</t>
  </si>
  <si>
    <t>[Stutchbury, Bridget J. M.; Gow, Elizabeth A.; Done, Tyler; MacPherson, Maggie] York Univ, Dept Biol, Toronto, ON M3J 1P3, Canada; [Fox, James W.; Afanasyev, Vsevolod] British Antarctic Survey, Nat Environm Res Council, Cambridge CB3 0ET, England</t>
  </si>
  <si>
    <t>York University - Canada; UK Research &amp; Innovation (UKRI); Natural Environment Research Council (NERC); NERC British Antarctic Survey</t>
  </si>
  <si>
    <t>Stutchbury, BJM (corresponding author), York Univ, Dept Biol, Toronto, ON M3J 1P3, Canada.</t>
  </si>
  <si>
    <t>bstutch@yorku.ca</t>
  </si>
  <si>
    <t>MacPherson, Maggie/AAQ-9801-2021</t>
  </si>
  <si>
    <t>MacPherson, Maggie/0000-0002-9522-5688; Fox, James W./0000-0002-3107-696X</t>
  </si>
  <si>
    <t>Natural Sciences and Engineering Research Council of Canada; National Geographic Society; Molson Foundation; NERC [bas010011] Funding Source: UKRI; Natural Environment Research Council [bas010011] Funding Source: researchfish</t>
  </si>
  <si>
    <t>Natural Sciences and Engineering Research Council of Canada(Natural Sciences and Engineering Research Council of Canada (NSERC)CGIAR); National Geographic Society(National Geographic Society); Molson Foundation; NERC(UK Research &amp; Innovation (UKRI)Natural Environment Research Council (NERC)); Natural Environment Research Council(UK Research &amp; Innovation (UKRI)Natural Environment Research Council (NERC))</t>
  </si>
  <si>
    <t>We thank C. Guglielmo for use of his physiology laboratory at the University of Western Ontario. Field assistance was provided by M. Brady, R. Kresnik, T. Piraino, and C. Stanley and many volunteers. Funding was from the Natural Sciences and Engineering Research Council of Canada, the National Geographic Society, Molson Foundation and proceeds from Silence of the Songbirds (Stutchbury 2007, Walker &amp; Co.).</t>
  </si>
  <si>
    <t>ROYAL SOC</t>
  </si>
  <si>
    <t>6-9 CARLTON HOUSE TERRACE, LONDON SW1Y 5AG, ENGLAND</t>
  </si>
  <si>
    <t>0962-8452</t>
  </si>
  <si>
    <t>P ROY SOC B-BIOL SCI</t>
  </si>
  <si>
    <t>Proc. R. Soc. B-Biol. Sci.</t>
  </si>
  <si>
    <t>10.1098/rspb.2010.1220</t>
  </si>
  <si>
    <t>Biology; Ecology; Evolutionary Biology</t>
  </si>
  <si>
    <t>Life Sciences &amp; Biomedicine - Other Topics; Environmental Sciences &amp; Ecology; Evolutionary Biology</t>
  </si>
  <si>
    <t>684MU</t>
  </si>
  <si>
    <t>WOS:000284554800018</t>
  </si>
  <si>
    <t>Clark, MS; Thorne, MAS; Toullec, JY; Meng, Y; Guan, LL; Peck, LS; Moore, S</t>
  </si>
  <si>
    <t>Clark, Melody S.; Thorne, Michael A. S.; Toullec, Jean-Yves; Meng, Yan; Guan, Le Luo; Peck, Lloyd S.; Moore, Stephen</t>
  </si>
  <si>
    <t>Antarctic Krill 454 Pyrosequencing Reveals Chaperone and Stress Transcriptome</t>
  </si>
  <si>
    <t>HEAT-SHOCK-PROTEIN; GLUCAN BINDING-PROTEIN; SUPEROXIDE-DISMUTASE; EUPHAUSIA-SUPERBA; MOLECULAR-CLONING; SOUTHERN-OCEAN; BETA-GLUCAN; CLIMATE-CHANGE; RIMICARIS-EXOCULATA; AMINO-ACID</t>
  </si>
  <si>
    <t>Background: The Antarctic krill Euphausia superba is a keystone species in the Antarctic food chain. Not only is it a significant grazer of phytoplankton, but it is also a major food item for charismatic megafauna such as whales and seals and an important Southern Ocean fisheries crop. Ecological data suggest that this species is being affected by climate change and this will have considerable consequences for the balance of the Southern Ocean ecosystem. Hence, understanding how this organism functions is a priority area and will provide fundamental data for life history studies, energy budget calculations and food web models. Methodology/Principal Findings: The assembly of the 454 transcriptome of E. superba resulted in 22,177 contigs with an average size of 492bp (ranging between 137 and 8515bp). In depth analysis of the data revealed an extensive catalogue of the cellular chaperone systems and the major antioxidant proteins. Full length sequences were characterised for the chaperones HSP70, HSP90 and the super-oxide dismutase antioxidants, with the discovery of potentially novel duplications of these genes. The sequence data contained 41,470 microsatellites and 17,776 Single Nucleotide Polymorphisms (SNPs/INDELS), providing a resource for population and also gene function studies. Conclusions: This paper details the first 454 generated data for a pelagic Antarctic species or any pelagic crustacean globally. The classical stress proteins'', such as HSP70, HSP90, ferritin and GST were all highly expressed. These genes were shown to be over expressed in the transcriptomes of Antarctic notothenioid fish and hypothesized as adaptations to living in the cold, with the associated problems of decreased protein folding efficiency and increased vulnerability to damage by reactive oxygen species. Hence, these data will provide a major resource for future physiological work on krill, but in particular a suite of stress'' genes for studies understanding marine ectotherms' capacities to cope with environmental change.</t>
  </si>
  <si>
    <t>[Clark, Melody S.; Thorne, Michael A. S.; Peck, Lloyd S.] British Antarctic Survey, NERC, Cambridge, England; [Toullec, Jean-Yves] Univ Paris 06, UPMC, CNRS, UMR 7144,Stn Biol Roscoff, Roscoff, France; [Meng, Yan; Guan, Le Luo; Moore, Stephen] Univ Alberta, Dept Agr Food &amp; Nutr Sci, Edmonton, AB, Canada</t>
  </si>
  <si>
    <t>UK Research &amp; Innovation (UKRI); Natural Environment Research Council (NERC); NERC British Antarctic Survey; Sorbonne Universite; Centre National de la Recherche Scientifique (CNRS); CNRS - Institute of Ecology &amp; Environment (INEE); University of Alberta</t>
  </si>
  <si>
    <t>Clark, MS (corresponding author), British Antarctic Survey, NERC, Cambridge, England.</t>
  </si>
  <si>
    <t>mscl@bas.ac.uk</t>
  </si>
  <si>
    <t>Moore, Stephen S/F-5285-2013; Clark, Melody/D-7371-2014</t>
  </si>
  <si>
    <t>Thorne, Michael/0000-0001-7759-612X; Clark, Melody/0000-0002-3442-3824; Moore, Stephen/0000-0002-9758-166X</t>
  </si>
  <si>
    <t>Livestock Gentech: an Alberta Ingenuity Centre at the University of Alberta; la Region Bretagne (France); l'Institut Paul-Emile Victor (IPEV); Natural Environment Research Council [bas0100025] Funding Source: researchfish; NERC [bas0100025] Funding Source: UKRI</t>
  </si>
  <si>
    <t>Livestock Gentech: an Alberta Ingenuity Centre at the University of Alberta; la Region Bretagne (France)(Region Bretagne); l'Institut Paul-Emile Victor (IPEV); Natural Environment Research Council(UK Research &amp; Innovation (UKRI)Natural Environment Research Council (NERC)); NERC(UK Research &amp; Innovation (UKRI)Natural Environment Research Council (NERC))</t>
  </si>
  <si>
    <t>Funding for the 454 run provided by Livestock Gentech: an Alberta Ingenuity Centre at the University of Alberta. JYT benefits from funding provided by la Region Bretagne (France) and also l'Institut Paul-Emile Victor (IPEV). The analyses were completed by the team from the British Antarctic Survey within the Ecosystems Adaptations and Physiology Work Package. The funders had no role in study design, data collection and analysis, decision to publish, or preparation of the manuscript.</t>
  </si>
  <si>
    <t>JAN 6</t>
  </si>
  <si>
    <t>e15919</t>
  </si>
  <si>
    <t>10.1371/journal.pone.0015919</t>
  </si>
  <si>
    <t>710KZ</t>
  </si>
  <si>
    <t>Green Published, Green Submitted, Green Accepted, gold</t>
  </si>
  <si>
    <t>WOS:000286511900023</t>
  </si>
  <si>
    <t>Cummings, V; Hewitt, J; Van Rooyen, A; Currie, K; Beard, S; Thrush, S; Norkko, J; Barr, N; Heath, P; Halliday, NJ; Sedcole, R; Gomez, A; McGraw, C; Metcalf, V</t>
  </si>
  <si>
    <t>Cummings, Vonda; Hewitt, Judi; Van Rooyen, Anthony; Currie, Kim; Beard, Samuel; Thrush, Simon; Norkko, Joanna; Barr, Neill; Heath, Philip; Halliday, N. Jane; Sedcole, Richard; Gomez, Antony; McGraw, Christina; Metcalf, Victoria</t>
  </si>
  <si>
    <t>Ocean Acidification at High Latitudes: Potential Effects on Functioning of the Antarctic Bivalve Laternula elliptica</t>
  </si>
  <si>
    <t>OXYGEN-CONSUMPTION; SOUTHERN-OCEAN; TEMPERATURE; IMPACT; EVOLUTIONARY; DISSOLUTION; GROWTH; KING; VULNERABILITY; ADAPTATION</t>
  </si>
  <si>
    <t>Ocean acidification is a well recognised threat to marine ecosystems. High latitude regions are predicted to be particularly affected due to cold waters and naturally low carbonate saturation levels. This is of concern for organisms utilising calcium carbonate (CaCO3) to generate shells or skeletons. Studies of potential effects of future levels of pCO(2) on high latitude calcifiers are at present limited, and there is little understanding of their potential to acclimate to these changes. We describe a laboratory experiment to compare physiological and metabolic responses of a key benthic bivalve, Laternula elliptica, at pCO(2) levels of their natural environment (430 mu atm, pH 7.99; based on field measurements) with those predicted for 2100 (735 mu atm, pH 7.78) and glacial levels (187 mu atm, pH 8.32). Adult L. elliptica basal metabolism (oxygen consumption rates) and heat shock protein HSP70 gene expression levels increased in response both to lowering and elevation of pH. Expression of chitin synthase (CHS), a key enzyme involved in synthesis of bivalve shells, was significantly up-regulated in individuals at pH 7.78, indicating L. elliptica were working harder to calcify in seawater undersaturated in aragonite (Omega(Ar) = 0.71), the CaCO3 polymorph of which their shells are comprised. The different response variables were influenced by pH in differing ways, highlighting the importance of assessing a variety of factors to determine the likely impact of pH change. In combination, the results indicate a negative effect of ocean acidification on whole-organism functioning of L. elliptica over relatively short terms (weeks-months) that may be energetically difficult to maintain over longer time periods. Importantly, however, the observed changes in L. elliptica CHS gene expression provides evidence for biological control over the shell formation process, which may enable some degree of adaptation or acclimation to future ocean acidification scenarios.</t>
  </si>
  <si>
    <t>[Cummings, Vonda; Barr, Neill; Heath, Philip] Natl Inst Water &amp; Atmospher Res, Mahanga Bay Aquaculture Facil, Wellington, New Zealand; [Hewitt, Judi; Thrush, Simon] Natl Inst Water &amp; Atmospher Res, Hillcrest, New Zealand; [Van Rooyen, Anthony; Beard, Samuel; Sedcole, Richard; Metcalf, Victoria] Lincoln Univ, Dept Wine Food &amp; Mol Biosci, Lincoln, New Zealand; [Currie, Kim] Natl Inst Water &amp; Atmospher Res, Dunedin, New Zealand; [Norkko, Joanna] Abo Akad Univ, Turku, Finland; [McGraw, Christina] Univ Otago, Dept Chem, Dunedin, New Zealand</t>
  </si>
  <si>
    <t>National Institute of Water &amp; Atmospheric Research (NIWA) - New Zealand; Lincoln University - New Zealand; National Institute of Water &amp; Atmospheric Research (NIWA) - New Zealand; Abo Akademi University; University of Otago</t>
  </si>
  <si>
    <t>Cummings, V (corresponding author), Natl Inst Water &amp; Atmospher Res, Mahanga Bay Aquaculture Facil, Wellington, New Zealand.</t>
  </si>
  <si>
    <t>v.cummings@niwa.co.nz</t>
  </si>
  <si>
    <t>Metcalf, Victoria J/C-1933-2013</t>
  </si>
  <si>
    <t>Cummings, Vonda/0000-0003-1076-3995; Metcalf, Victoria/0000-0002-0833-7965; Halliday, Jane/0000-0002-9718-0348; McGraw, Christina/0000-0001-5841-0748; Thrush, Simon/0000-0002-4005-3882; Norkko, Joanna/0000-0001-9885-8408</t>
  </si>
  <si>
    <t>New Zealand Foundation for Research, Science and Technology [COX01707]; National Institute of Water and Atmospheric Research</t>
  </si>
  <si>
    <t>New Zealand Foundation for Research, Science and Technology(New Zealand Foundation for Research, Science and Technology); National Institute of Water and Atmospheric Research</t>
  </si>
  <si>
    <t>This research was funded by the New Zealand Foundation for Research, Science and Technology International Polar Year project COX01707, and the National Institute of Water and Atmospheric Research Capital Expenditure fund. The funders had no role in study design, data collection and analysis, decision to publish, or preparation of the manuscript.</t>
  </si>
  <si>
    <t>JAN 5</t>
  </si>
  <si>
    <t>e16069</t>
  </si>
  <si>
    <t>10.1371/journal.pone.0016069</t>
  </si>
  <si>
    <t>710KT</t>
  </si>
  <si>
    <t>Green Published, gold</t>
  </si>
  <si>
    <t>WOS:000286511200033</t>
  </si>
  <si>
    <t>Chakrabarty, DK; Peshin, SK</t>
  </si>
  <si>
    <t>Chakrabarty, D. K.; Peshin, S. K.</t>
  </si>
  <si>
    <t>Seasonal and diurnal behavior of NO2 column density in Antarctica as observed by Mark IV, Brewer Ozone Spectrophotometer Number 153</t>
  </si>
  <si>
    <t>ADVANCES IN SPACE RESEARCH</t>
  </si>
  <si>
    <t>NO2; NO; UV-B; Antarctica</t>
  </si>
  <si>
    <t>STRATOSPHERIC NO2; STATION; O-3</t>
  </si>
  <si>
    <t>The Meteorology Department of India has been measuring vertical column density of NO2 at Maitri (70.7 degrees S, 11.7 degrees E), Antarctica since July 1999 using a Mark IV, Brewer Ozone Spectrophotometer. Maitri is situated at the south of the Antarctic circle. An analysis of 6 years of data shows that NO2 column has seasonal variation with a maximum value during summer. It is also found that during the period when sun does not set, the NO2 column exhibits a diurnal variation, with a peak around noon and lower values in the morning and afternoon hours. Using a simple steady-state chemical reaction scheme, an attempt has been made to explain these features. (c) 2010 Published by Elsevier Ltd. on behalf of COSPAR.</t>
  </si>
  <si>
    <t>[Chakrabarty, D. K.] Phys Res Lab, Ahmadabad 380009, Gujarat, India; [Peshin, S. K.] Indian Meteorol Dept, New Delhi 110003, India</t>
  </si>
  <si>
    <t>Department of Space (DoS), Government of India; Physical Research Laboratory - India; Ministry of Earth Sciences (MoES) - India; India Meteorological Department (IMD)</t>
  </si>
  <si>
    <t>Chakrabarty, DK (corresponding author), Phys Res Lab, Ahmadabad 380009, Gujarat, India.</t>
  </si>
  <si>
    <t>dkchakrabarty@rediffmail.com; peshinsk@yahoo.com</t>
  </si>
  <si>
    <t>0273-1177</t>
  </si>
  <si>
    <t>ADV SPACE RES</t>
  </si>
  <si>
    <t>Adv. Space Res.</t>
  </si>
  <si>
    <t>JAN 4</t>
  </si>
  <si>
    <t>10.1016/j.asr.2010.08.034</t>
  </si>
  <si>
    <t>Engineering, Aerospace; Astronomy &amp; Astrophysics; Geosciences, Multidisciplinary; Meteorology &amp; Atmospheric Sciences</t>
  </si>
  <si>
    <t>Engineering; Astronomy &amp; Astrophysics; Geology; Meteorology &amp; Atmospheric Sciences</t>
  </si>
  <si>
    <t>718ES</t>
  </si>
  <si>
    <t>WOS:000287104500009</t>
  </si>
  <si>
    <t>Blagoveshchensky, DV; MacDougall, JW; Rogov, DD</t>
  </si>
  <si>
    <t>Blagoveshchensky, D. V.; MacDougall, J. W.; Rogov, D. D.</t>
  </si>
  <si>
    <t>Study of the ionosphere during a magnetospheric storm using data on the ground and in space</t>
  </si>
  <si>
    <t>Magnetospheric disturbance; Ionospheric sounding; Satellite's data</t>
  </si>
  <si>
    <t>SUBSTORMS; DISTURBANCES; PATHS</t>
  </si>
  <si>
    <t>For the magnetospheric storm of May 14-16, 1997 geophysical data of satellites DMSP and IMP-8 are compared with data of radio propagation on the high-latitude HF radio path of Heiss Island - St. Petersburg and data from European ionosondes. Peculiarities of variations of the operational frequencies range MOF-LOF (maximum and lowest observed frequencies) on the path were considered. The range has been determined by the method of oblique ionospheric sounding (OIS). The latter is more informative for observations during a magnetic storm compared to the vertical sounding method. Nevertheless, an analysis of variations of the critical frequency of the ionospheric F2 layer from the chain of European ionosondes was carried out. For interpretation of results, data of magnetospheric parameters, AE-indexes and riometcr data were used. The variations of both frequency range on the path and critical frequencies of the F2 layer through the ionosondes chain during the disturbed period had certain regularities of behaviour. These regularities are being explained from the physical point of view. The analysis of the satellite DMSP data has showed that a magnetospheric disturbance causes displacement equatorward of precipitation and some growth of its width and energy. (c) 2010 COSPAR. Published by Elsevier Ltd. All rights reserved.</t>
  </si>
  <si>
    <t>[Blagoveshchensky, D. V.] Univ Aerosp Instrumentat, St Petersburg 190000, Russia; [MacDougall, J. W.] Univ Western Ontario, London, ON N6A 5B9, Canada; [Rogov, D. D.] Arctic &amp; Antarctic Res Inst, St Petersburg 199397, Russia</t>
  </si>
  <si>
    <t>Saint Petersburg State University of Aerospace Instrumentation; Western University (University of Western Ontario); Arctic &amp; Antarctic Research Institute</t>
  </si>
  <si>
    <t>Blagoveshchensky, DV (corresponding author), Univ Aerosp Instrumentat, 67 Bolshaya Morskaya, St Petersburg 190000, Russia.</t>
  </si>
  <si>
    <t>dvb@aanet.ru; rogovde-nis@mail.ru</t>
  </si>
  <si>
    <t>Rogov, Denis/AAH-2763-2020</t>
  </si>
  <si>
    <t>1879-1948</t>
  </si>
  <si>
    <t>10.1016/j.asr.2010.08.013</t>
  </si>
  <si>
    <t>WOS:000287104500011</t>
  </si>
  <si>
    <t>Karas, C; Nürnberg, D; Tiedemann, R; Garbe-Schönberg, D</t>
  </si>
  <si>
    <t>Karas, Cyrus; Nuernberg, Dirk; Tiedemann, Ralf; Garbe-Schoenberg, Dieter</t>
  </si>
  <si>
    <t>Pliocene climate change of the Southwest Pacific and the impact of ocean gateways</t>
  </si>
  <si>
    <t>Southwest Pacific; Pliocene; Foraminiferal Mg/Ca; Ocean gateways</t>
  </si>
  <si>
    <t>EASTERN TROPICAL PACIFIC; ANTARCTIC MODE; TASMAN FRONT; DEEP-WATER; WARM POOL; CIRCULATION; EVOLUTION; PANAMA; SEA; PALEOCLIMATE</t>
  </si>
  <si>
    <t>The transition from the early Pliocene Warmhouse towards the present Icehouse climate and the role of Gateway dynamics are intensively debated. Both, the constrictions of the Central American Seaway and the Indonesian Gateway affected ocean circulation and climate during the Pliocene epoch. Here, we use combined delta O-18 and Mg/Ca ratios of planktonic foraminifera (marine protozoa) from surface and subsurface levels to reconstruct the thermal structure and changes in salinities from the Southwest Pacific Deep Sea Drilling Project (DSDP) Site 590B from 6.5 to 2.5 Ma. Our data suggest a gradual cooling of similar to 2 degrees C and freshening of the sea surface during similar to 4.6-4 Ma with an increased meridional temperature gradient between the West Pacific Warm Pool and the Southwest Pacific when the closing of the Central American Seaway reached a critical threshold. After similar to 3.5 Ma, the restricted Indonesian Gateway might have amplified the East Australian Current, allowing enhanced heat transport towards the Southwest Pacific with reduced meridional temperature gradients when the global climate gradually cooled. At the same time our data suggest a cooling and freshening of Subantarctic Mode Water (SAMW) or/and an increased northward flow of SAMW towards Site 590B, possibly a first step towards the present Antarctic Frontal System. (C) 2010 Elsevier B.V. All rights reserved.</t>
  </si>
  <si>
    <t>[Karas, Cyrus] Goethe Univ Frankfurt, D-60438 Frankfurt, Germany; [Karas, Cyrus; Nuernberg, Dirk] Univ Kiel, Leibniz Inst Marine Sci, IFM GEOMAR, D-24148 Kiel, Germany; [Tiedemann, Ralf] Alfred Wegener Inst Polar &amp; Marine Res, D-27568 Bremerhaven, Germany; [Garbe-Schoenberg, Dieter] Univ Kiel, Inst Geosci, D-24118 Kiel, Germany</t>
  </si>
  <si>
    <t>Goethe University Frankfurt; University of Kiel; Helmholtz Association; GEOMAR Helmholtz Center for Ocean Research Kiel; Helmholtz Association; Alfred Wegener Institute, Helmholtz Centre for Polar &amp; Marine Research; University of Kiel</t>
  </si>
  <si>
    <t>Karas, C (corresponding author), Goethe Univ Frankfurt, Altenhoeferallee 1, D-60438 Frankfurt, Germany.</t>
  </si>
  <si>
    <t>karas@em.uni-frankfurt.de</t>
  </si>
  <si>
    <t>Garbe-Schönberg, Dieter/AAO-3827-2020; Karas, Cyrus/V-5775-2017; Garbe-Schönberg, Dieter/E-2439-2016</t>
  </si>
  <si>
    <t>Garbe-Schönberg, Dieter/0000-0001-9006-9463; Karas, Cyrus/0000-0002-7436-5016; Tiedemann, Ralf/0000-0001-7211-8049</t>
  </si>
  <si>
    <t>German Science Foundation (DFG) [Nu60/14-2]; Biodiversity and Climate Research Centre (BIK-F)</t>
  </si>
  <si>
    <t>German Science Foundation (DFG)(German Research Foundation (DFG)); Biodiversity and Climate Research Centre (BIK-F)</t>
  </si>
  <si>
    <t>Samples for this study were provided by the IODP. Funding of this research was provided by the German Science Foundation (DFG) within project Nu60/14-2. C.K. also thanks the Biodiversity and Climate Research Centre (BIK-F) for funding. We thank A. Bahr, N. Gehre, K. Kiesling, L Haxhiaj, M. Regenberg and J. Riethdorf for valuable comments and technical support.</t>
  </si>
  <si>
    <t>JAN 3</t>
  </si>
  <si>
    <t>10.1016/j.epsl.2010.10.028</t>
  </si>
  <si>
    <t>712CM</t>
  </si>
  <si>
    <t>WOS:000286640400012</t>
  </si>
  <si>
    <t>Andersen, MB; Vance, D; Archer, C; Anderson, RF; Ellwood, MJ; Allen, CS</t>
  </si>
  <si>
    <t>Andersen, Morten B.; Vance, Derek; Archer, Corey; Anderson, Robert F.; Ellwood, Michael J.; Allen, Claire S.</t>
  </si>
  <si>
    <t>The Zn abundance and isotopic composition of diatom frustules, a proxy for Zn availability in ocean surface seawater</t>
  </si>
  <si>
    <t>zinc isotopes; HNLC zones; iron hypothesis; marine productivity</t>
  </si>
  <si>
    <t>SOURCE-MASS-SPECTROMETRY; SOUTHERN-OCEAN; THALASSIOSIRA-PSEUDONANA; BIOGEOCHEMICAL CYCLES; MARINE-PHYTOPLANKTON; ANTARCTIC WATERS; ZINC SPECIATION; ATMOSPHERIC CO2; TRACE-ELEMENTS; NORTH PACIFIC</t>
  </si>
  <si>
    <t>We have developed cleaning methods for extracting diatom(opal) from bulk marine sediment samples, for measurement of both zinc (Zn) abundance and isotope composition. This cleaning technique was then applied to a set of Holocene core-top samples from the Southern Ocean. The measured delta(66)Zn ( reported relative to the JMC(Lyon) standard) and Zn/Si ratios from the Southern Ocean diatom(opal) samples range from 0.7 to 1.5 parts per thousand, and from 14 to 0.9 mu mol/mol, respectively. The Zn abundance and isotope composition data show a clear correlation with opal burial rates and other oceanographic parameters. In common with previous work, we interpret the systematic changes in the Zn/Si ratio to be linked to the variability in the concentrations of bioavailable Zn in the ambient surface seawater where the diatom opal is formed. This variability is likely to be primarily controlled by the degree to which Zn is taken up into phytoplankton biomass. The observed systematic pattern in the delta(66)Zn compositions of the diatomopal core-top samples is, similarly, likely to reflect changes in the delta(66)Zn composition of the ambient Zn in the surface waters above the core-top sites, which is progressively driven towards isotopically heavier values by preferential incorporation of the lighter isotopes into phytoplankton organic material. Thus, the systematic relationship between Zn isotopes and abundance observed in the core-top diatom(opal) samples suggests a potential tool for investigating the biogeochemical cycling of Zn in the past surface ocean for down-core diatom(opal) material. In this respect, it may be possible to test hypotheses that attribute variations in atmospheric CO(2) on glacial-interglacial timescales to the degree to which trace metals limited primary productivity in HNLC zones. (C) 2010 Elsevier B.V. All rights reserved.</t>
  </si>
  <si>
    <t>[Andersen, Morten B.; Vance, Derek; Archer, Corey] Univ Bristol, Bristol Isotope Grp, Sch Earth Sci, Bristol BS8 1RJ, Avon, England; [Anderson, Robert F.] Columbia Univ, Lamont Doherty Earth Observ, Palisades, NY 10964 USA; [Ellwood, Michael J.] Australian Natl Univ, Res Sch Earth Sci, Canberra, ACT 0200, Australia; [Allen, Claire S.] British Antarctic Survey, Cambridge CB3 0ET, England</t>
  </si>
  <si>
    <t>University of Bristol; Columbia University; Australian National University; UK Research &amp; Innovation (UKRI); Natural Environment Research Council (NERC); NERC British Antarctic Survey</t>
  </si>
  <si>
    <t>Andersen, MB (corresponding author), Univ Bristol, Bristol Isotope Grp, Sch Earth Sci, Wills Mem Bldg,Room G45, Bristol BS8 1RJ, Avon, England.</t>
  </si>
  <si>
    <t>morten.andersen@bris.ac.uk</t>
  </si>
  <si>
    <t>Ellwood, Michael J/G-7390-2011</t>
  </si>
  <si>
    <t>Ellwood, Michael/0000-0003-4288-8530; Anderson, Robert/0000-0002-8472-2494</t>
  </si>
  <si>
    <t>Intra-European Marie-Curie Fellowship [041562]; Danish Research Council [272-08-0260]; Natural Environment Research Council [bas0100024] Funding Source: researchfish; NERC [bas0100024] Funding Source: UKRI</t>
  </si>
  <si>
    <t>Intra-European Marie-Curie Fellowship(European Union (EU)); Danish Research Council(Det Frie Forskningsrad (DFF)); Natural Environment Research Council(UK Research &amp; Innovation (UKRI)Natural Environment Research Council (NERC)); NERC(UK Research &amp; Innovation (UKRI)Natural Environment Research Council (NERC))</t>
  </si>
  <si>
    <t>We thank Patrick de Deckker (ANU) for making available the MD top cores samples. The Larnont-Doherty core repository for providing the AESOPS samples. Claus-Dieter Hillenbrand (BAS) are greatly thanked for providing sample TC 464 and for comments on the manuscript. Chris Coath and the Bristol Isotope Group are thanked for keeping the labs running smoothly. Seth John and two anonymous reviewers are thanked for constructive comments, which helped improve the manuscript. This work was supported by an Intra-European Marie-Curie Fellowship (041562) and a Danish Research Council Post-doctoral Fellowship (272-08-0260) to M.B.A.</t>
  </si>
  <si>
    <t>10.1016/j.epsl.2010.10.032</t>
  </si>
  <si>
    <t>WOS:000286640400014</t>
  </si>
  <si>
    <t>Tonarini, S; Leeman, WP; Leat, PT</t>
  </si>
  <si>
    <t>Tonarini, Sonia; Leeman, William P.; Leat, Phil T.</t>
  </si>
  <si>
    <t>Subduction erosion of forearc mantle wedge implicated in the genesis of the South Sandwich Island (SSI) arc: Evidence from boron isotope systematics</t>
  </si>
  <si>
    <t>boron isotopes; volcanic arc magmatism; subduction zones</t>
  </si>
  <si>
    <t>HIGH-FIELD-STRENGTH; EAST SCOTIA RIDGE; ELEMENT SYSTEMATICS; VOLCANIC-ROCKS; TRACE-ELEMENTS; OCEANIC-CRUST; ZONE; SLAB; FLUID; LAVAS</t>
  </si>
  <si>
    <t>The South Sandwich volcanic arc is sited on a young oceanic crust, erupts low-K tholeiitic rocks, is characterized by unexotic pelagic and volcanogenic sediments on the down-going slab, and simple tectonic setting, and is ideal for assessing element transport through subduction zones. As a means of quantifying processes attending transfer of subduction-related fluids from the slab to the mantle wedge, boron concentrations and isotopic compositions were determined for representative lavas from along the arc. The samples show variable fluid-mobile/fluid-immobile element ratios and high enrichments of B/Nb (2.7 to 55) and B/Zr (0.12 to 0.57), similar to those observed in western Pacific arcs. delta(11)43 values are among the highest so far reported for mantle-derived lavas; these are highest in the central part of the arc (+ 15 to + 18 parts per thousand) and decrease toward the southern and northern ends (+ 12 to + 14 parts per thousand). delta B-11 is roughly positively correlated with B concentrations and with Sr-87/Sr-86 ratios, but poorly coupled with other fluid-mobile elements such as Rb, Ba, Sr and U. Peridotites dredged from the forearc trench also have high delta B-11 (ca. + 10 parts per thousand) and elevated B contents (38-140 ppm). Incoming pelagic sediments sampled at ODP Site 701 display a wide range in delta B-11 (+ 5 to - 13 parts per thousand; average = - 4.1 parts per thousand), with negative values most common. The unusually high delta B-11 values inferred for the South Sandwich mantle wedge cannot easily be attributed to direct incorporation of subducting slab materials or fluids derived directly therefrom. Rather, the heavy B isotopic signature of the magma sources is more plausibly explained by ingress of fluids derived from subduction erosion of altered frontal arc mantle wedge materials similar to those in the Marianas forearc. We propose that multi-stage recycling of high-delta B-11 and high-B serpentinite (possibly embellished by arc crust and volcaniclastic sediments) can produce extremely B-11-rich fluids at slab depths beneath the volcanic arc. Infiltration of such fluids into the mantle wedge likely accounts for the unusual magma sources inferred for this arc. (C) 2010 Elsevier B.V. All rights reserved.</t>
  </si>
  <si>
    <t>[Tonarini, Sonia] CNR, Ist Geosci &amp; Georisorse, I-56124 Pisa, Italy; [Leeman, William P.] Natl Sci Fdn, Arlington, VA 22230 USA; [Leat, Phil T.] British Antarctic Survey, Cambridge CB3 0ET, England</t>
  </si>
  <si>
    <t>Consiglio Nazionale delle Ricerche (CNR); Istituto di Geoscienze e Georisorse (IGG-CNR); National Science Foundation (NSF); UK Research &amp; Innovation (UKRI); Natural Environment Research Council (NERC); NERC British Antarctic Survey</t>
  </si>
  <si>
    <t>Tonarini, S (corresponding author), CNR, Ist Geosci &amp; Georisorse, Via Moruzzi 1, I-56124 Pisa, Italy.</t>
  </si>
  <si>
    <t>s.tonarini@igg.cnr.it</t>
  </si>
  <si>
    <t>C.N.R.; National Science Foundation; Natural Environment Research Council; Natural Environment Research Council [bas0100026] Funding Source: researchfish; NERC [bas0100026] Funding Source: UKRI</t>
  </si>
  <si>
    <t>C.N.R.(Consiglio Nazionale delle Ricerche (CNR)); National Science Foundation(National Science Foundation (NSF));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</si>
  <si>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Peter Baker, Julian Pearce, and Terry Plank for providing many of samples on which this paper is based. We thank Gray E. Bebout and an anonymous Reviewer for constructive reviews and Richard Carlson for the editorial handling of this paper. This work was supported by grants from C.N.R. (to Tonarini), the National Science Foundation (to Leeman), and Leeman also thanks NSF for time spent in continuing this research since moving there. This study is part of the British Antarctic Survey Polar Science for Planet Earth Programme and was partly funded by The Natural Environment Research Council.</t>
  </si>
  <si>
    <t>10.1016/j.epsl.2010.11.008</t>
  </si>
  <si>
    <t>WOS:000286640400028</t>
  </si>
  <si>
    <t>C</t>
  </si>
  <si>
    <t>Mikhalevich, V</t>
  </si>
  <si>
    <t>Kaminski, MA; Filipescu, S</t>
  </si>
  <si>
    <t>Mikhalevich, Valeria</t>
  </si>
  <si>
    <t>Wall ultrastructure of some Antarctic foraminiferal genera</t>
  </si>
  <si>
    <t>PROCEEDINGS OF THE EIGHTH INTERNATIONAL WORKSHOP ON AGGLUTINATED FORAMINIFERA</t>
  </si>
  <si>
    <t>Grzybowski Foundation Special Publication</t>
  </si>
  <si>
    <t>Proceedings Paper</t>
  </si>
  <si>
    <t>8th International Workshop On Agglutinated Foraminifera</t>
  </si>
  <si>
    <t>SEP 07-13, 2008</t>
  </si>
  <si>
    <t>Babes Bolyai Univ, Geol Dept, Cluj Napoca, ROMANIA</t>
  </si>
  <si>
    <t>Babes Bolyai Univ, Geol Dept</t>
  </si>
  <si>
    <t>The wall ultrastructure of the 25 agglutinated Antarctic species belonging to 23 genera, 13 subfamilies, nine orders, four classes were studied in SEM. The wall of all studied species is pierced by pseudopore openings that are usually irregular in form and position depending of the texture of the wall and grain size. This feature can be used in their descriptions at a specific taxonomic level. Only three of the species have clearly canaliculated shell wall. The investigation of other canaliculate and noncanaliculate Recent and fossil agglutinated species needs to be continued in order to assess the taxonomic significance of the canaliculate features.</t>
  </si>
  <si>
    <t>Russian Acad Sci, Inst Zool, St Petersburg 199034, Russia</t>
  </si>
  <si>
    <t>Russian Academy of Sciences; Zoological Institute of the Russian Academy of Sciences</t>
  </si>
  <si>
    <t>Mikhalevich, V (corresponding author), Russian Acad Sci, Inst Zool, Univ Skaya Nab 1, St Petersburg 199034, Russia.</t>
  </si>
  <si>
    <t>mikha@JS1238.spb.edu</t>
  </si>
  <si>
    <t>GRZYBOWSKI FOUNDATION</t>
  </si>
  <si>
    <t>KRAKOW</t>
  </si>
  <si>
    <t>C/O M A GASINSKI, INST NAUK GEOLOGICZNYCH, UNIWERSYTET JAGIELLONSKI, OLEANDRY 2A, KRAKOW, 30-063, POLAND</t>
  </si>
  <si>
    <t>978-973-595-260-0</t>
  </si>
  <si>
    <t>GRZYB FOUND SPEC PUB</t>
  </si>
  <si>
    <t>Grzyb. Found. Spec. Publ.</t>
  </si>
  <si>
    <t>Geology; Paleontology</t>
  </si>
  <si>
    <t>Conference Proceedings Citation Index - Science (CPCI-S)</t>
  </si>
  <si>
    <t>BBV53</t>
  </si>
  <si>
    <t>WOS:000308334200010</t>
  </si>
  <si>
    <t>Frederiksen, JS; Frederiksen, CS</t>
  </si>
  <si>
    <t>Frederiksen, Jorgen S.; Frederiksen, Carsten S.</t>
  </si>
  <si>
    <t>Twentieth Century Winter Changes in Southern Hemisphere Synoptic Weather Modes</t>
  </si>
  <si>
    <t>ADVANCES IN METEOROLOGY</t>
  </si>
  <si>
    <t>STORM TRACKS; INTRASEASONAL OSCILLATIONS; TELECONNECTION PATTERNS; PRIMITIVE EQUATION; INSTABILITY THEORY; JANUARY 1979; BLOCKING; VARIABILITY; DISTURBANCES; PARAMETERIZATIONS</t>
  </si>
  <si>
    <t>During the last sixty years, there have been large changes in the southern hemisphere winter circulation and reductions in rainfall particularly in the southern Australian region. Here we examine the corresponding changes in dynamical modes of variability ranging from storm tracks, onset-of-blocking modes, northwest cloud-band disturbances, Antarctic low-frequency modes, intraseasonal oscillations, and African easterly waves. Our study is performed using a global two-level primitive equation instability-model with reanalyzed observed July three-dimensional basic states for the periods 1949-1968, 1975-1994, and 1997-2006. We relate the reduction in the winter rainfall in the southwest of Western Australia since the mid-1970s and in south-eastern Australia since the mid-1990s to changes in growth rate and structures of leading storm track and blocking modes. We find that cyclogenesis and onset-of-blocking modes growing on the subtropical jet have significantly reduced growth rates in the latter periods. On the other hand there is a significant increase in the growth rate of northwest cloud-band modes and intraseasonal oscillation disturbances that cross Australia and are shown to be related to recent positive trends in winter rainfall over northwest Western Australia and central Australia, in general. The implications of our findings are discussed.</t>
  </si>
  <si>
    <t>[Frederiksen, Jorgen S.] CSIRO Marine &amp; Atmospher Res, Ctr Australian Weather &amp; Climate Res, Aspendale, Vic 3195, Australia; [Frederiksen, Carsten S.] Bur Meteorol, Ctr Australian Weather &amp; Climate Res, Docklands, Vic 3008, Australia</t>
  </si>
  <si>
    <t>Commonwealth Scientific &amp; Industrial Research Organisation (CSIRO); Commonwealth Scientific &amp; Industrial Research Organisation (CSIRO); Bureau of Meteorology - Australia</t>
  </si>
  <si>
    <t>Frederiksen, JS (corresponding author), CSIRO Marine &amp; Atmospher Res, Ctr Australian Weather &amp; Climate Res, Aspendale, Vic 3195, Australia.</t>
  </si>
  <si>
    <t>jorgen.frederiksen@csiro.au</t>
  </si>
  <si>
    <t>Frederiksen, Jorgen/0000-0001-9449-0968</t>
  </si>
  <si>
    <t>Australian Government Department of Climate Change and Energy Efficiency; Indian Ocean Climate Initiative of the W. A. Department of Environment, Water and Catchment Protection</t>
  </si>
  <si>
    <t>Australian Government Department of Climate Change and Energy Efficiency(Australian Government); Indian Ocean Climate Initiative of the W. A. Department of Environment, Water and Catchment Protection</t>
  </si>
  <si>
    <t>It is a pleasure to thank Stacey Osbrough for assistance with this work. This work was partly funded by the Australian Government Department of Climate Change and Energy Efficiency and the Indian Ocean Climate Initiative of the W. A. Department of Environment, Water and Catchment Protection, and it contributes to the research effort of the CSIRO Climate Adaptation Flagship.</t>
  </si>
  <si>
    <t>HINDAWI LTD</t>
  </si>
  <si>
    <t>ADAM HOUSE, 3RD FLR, 1 FITZROY SQ, LONDON, W1T 5HF, ENGLAND</t>
  </si>
  <si>
    <t>1687-9309</t>
  </si>
  <si>
    <t>1687-9317</t>
  </si>
  <si>
    <t>ADV METEOROL</t>
  </si>
  <si>
    <t>Adv. Meteorol.</t>
  </si>
  <si>
    <t>10.1155/2011/353829</t>
  </si>
  <si>
    <t>978NM</t>
  </si>
  <si>
    <t>gold</t>
  </si>
  <si>
    <t>WOS:000306749800007</t>
  </si>
  <si>
    <t>Kerr, YH; Waldteufel, P; Cabot, F; Richaume, P; Mahmoodi, A; Delwart, S; Wigneron, JP; Mecklenburg, S; Reul, N; Boutin, J</t>
  </si>
  <si>
    <t>Electromagnetics Academy</t>
  </si>
  <si>
    <t>Kerr, Y. H.; Waldteufel, P.; Cabot, F.; Richaume, P.; Mahmoodi, A.; Delwart, S.; Wigneron, J-P; Mecklenburg, S.; Reul, N.; Boutin, J.</t>
  </si>
  <si>
    <t>SMOS First Results Successes and Issues: Towards Global Soil Moisture and Sea Sea Salinity Maps</t>
  </si>
  <si>
    <t>PIERS 2011 SUZHOU: PROGRESS IN ELECTROMAGNETICS RESEARCH SYMPOSIUM</t>
  </si>
  <si>
    <t>Progress in Electromagnetics Research Symposium</t>
  </si>
  <si>
    <t>Progress In Electromagnetics Research Symposium</t>
  </si>
  <si>
    <t>SEP 12-16, 2011</t>
  </si>
  <si>
    <t>Suzhou, PEOPLES R CHINA</t>
  </si>
  <si>
    <t>SMOS, a L Band radiometer using aperture synthesis to achieve a good spatial resolution, was successfully launched on November 2, 2009. It was developed and made under the leadership of the European Space Agency (ESA) as an Earth Explorer Opportunity mission. It is a joint program with the Centre National d'Etudes Spatiales (CNES) in France and the Centro para el Desarrollo Teccnologico Industrial (CDTI) in Spain. SMOS carries a single payload, an L band 2D interferometric, radiometer in the 1400-1427 MHz h protected band. This wavelength penetrates well through the vegetation and the atmosphere is almost transparent enabling to infer both soil moisture and vegetation water content over land and sea surface salinity over the oceans. SMOS achieves an unprecedented spatial resolution of 50 km at L-band maximum (43 km on average) with multi angular-dual polarized (or fully polarized) brightness temperatures over the globe and with a revisit time smaller than 3 days. SMOS as been now acquiring data for over one year after the end of the commissioning phase. The data quality exceeds what was expected, showing very good sensitivity and stability. The data is however very much impaired by man made emission in the protected band, leading to degraded measurements in several areas including parts of Europe and of China. However, many different international teams are now addressing cal val activities in various parts of the world, with notably large field campaigns either on the long time scale or over specific targets to address the specific issues. These campaigns take place in various parts of the world, in different environments from the Antarctic plateau to the deserts, from rain forests to deep oceans. Actually SMOS is a new sensor making new measurements paving the way to new applications. However it also requires a very fine analysis of the data so as to validate both the approach and the retrieval quality, as well as for monitoring the evolution of the sensor. To achieve such goals it is very important to link efficiently ground measurement to satellite measurements through field campaigns and related airborne acquisitions as well as with other existing sensors. This paper thus gives an overview of the science goals of the SMOS mission, a description of the main mission elements, and a foretaste of the first results including performances at brightness temperature as well as at geophysical parameters. It will include how the grond campaigns were elaborated to address the main cal Val activities accounting for SMOS specificities, in what context they were organized as well as the most significant results.</t>
  </si>
  <si>
    <t>[Kerr, Y. H.; Cabot, F.; Richaume, P.] CNES CNRS UPS IRD, CESBIO, Toulouse, France; [Waldteufel, P.] IPSL, Verrieres Le Buisson, France; [Mahmoodi, A.] Array Syst, Toronto, ON, Canada; [Delwart, S.] ESA ESRIN, Frascati, Italy; [Reul, N.] IFREMER, Brest, France; [Wigneron, J-P] INRA EPHYSE, Bordeaux, France; [Boutin, J.] LOCEAN, Paris, France</t>
  </si>
  <si>
    <t>Universite de Toulouse; Universite Toulouse III - Paul Sabatier; Centre National de la Recherche Scientifique (CNRS); Institut de Recherche pour le Developpement (IRD); Universite Paris Cite; European Space Agency; Ifremer; INRAE; Museum National d'Histoire Naturelle (MNHN); Sorbonne Universite</t>
  </si>
  <si>
    <t>Kerr, YH (corresponding author), CNES CNRS UPS IRD, CESBIO, Toulouse, France.</t>
  </si>
  <si>
    <t>Wigneron, Jean-Pierre André/ABD-9939-2021; Kerr, Yann/Z-2432-2019; Waldteufel, Philippe/AAA-8039-2021; reul, nicolas/C-4895-2009; REUL, Nicolas/O-6581-2019; /M-2253-2016</t>
  </si>
  <si>
    <t>Wigneron, Jean-Pierre André/0000-0001-5345-3618; reul, nicolas/0000-0003-4881-2967; REUL, Nicolas/0000-0003-4881-2967; /0000-0003-2845-4912</t>
  </si>
  <si>
    <t>ELECTROMAGNETICS ACAD</t>
  </si>
  <si>
    <t>CAMBRIDGE</t>
  </si>
  <si>
    <t>777 CONCORD AVENUE, STE 207, CAMBRIDGE, MA 02138 USA</t>
  </si>
  <si>
    <t>1559-9450</t>
  </si>
  <si>
    <t>978-1-934142-18-9</t>
  </si>
  <si>
    <t>PR ELECTROMAGN RES S</t>
  </si>
  <si>
    <t>Engineering, Electrical &amp; Electronic; Physics, Applied</t>
  </si>
  <si>
    <t>BAQ33</t>
  </si>
  <si>
    <t>WOS:000305185600134</t>
  </si>
  <si>
    <t>Cuellar, J; Yebenes, H; Parker, SK; Carranza, G; Valpuesta, JM; Zabala, JC; Detrich, HW</t>
  </si>
  <si>
    <t>Cuellar, J.; Yebenes, H.; Parker, S. K.; Carranza, G.; Valpuesta, J. M.; Zabala, J. C.; Detrich, H. W., III</t>
  </si>
  <si>
    <t>Chaperonin-Assisted Protein Folding at Low Temperature: Co-Evolution of Antarctic Fish CCT and Its Substrates.</t>
  </si>
  <si>
    <t>MOLECULAR BIOLOGY OF THE CELL</t>
  </si>
  <si>
    <t>Annual Meeting of the American-Society-for-Cell-Biology (ASCB)</t>
  </si>
  <si>
    <t>DEC 03-07, 2011</t>
  </si>
  <si>
    <t>Denver, CO</t>
  </si>
  <si>
    <t>[Cuellar, J.; Yebenes, H.; Valpuesta, J. M.] CSIC, CNB, Madrid, Spain; [Parker, S. K.; Detrich, H. W., III] Northeastern Univ, Dept Biol, Boston, MA 02115 USA; [Carranza, G.; Zabala, J. C.] Univ Cantabria, Dept Biol Mol, E-39005 Santander, Spain</t>
  </si>
  <si>
    <t>Consejo Superior de Investigaciones Cientificas (CSIC); CSIC - Centro Nacional de Biotecnologia (CNB); Northeastern University; Universidad de Cantabria</t>
  </si>
  <si>
    <t>Valpuesta, Jose M/AAA-6002-2019; Valpuesta, José M/T-1977-2017; Zabala, Juan Carlos/K-5163-2014</t>
  </si>
  <si>
    <t>Zabala, Juan Carlos/0000-0003-2679-5473</t>
  </si>
  <si>
    <t>AMER SOC CELL BIOLOGY</t>
  </si>
  <si>
    <t>BETHESDA</t>
  </si>
  <si>
    <t>8120 WOODMONT AVE, STE 750, BETHESDA, MD 20814-2755 USA</t>
  </si>
  <si>
    <t>1059-1524</t>
  </si>
  <si>
    <t>MOL BIOL CELL</t>
  </si>
  <si>
    <t>Mol. Biol. Cell</t>
  </si>
  <si>
    <t>Cell Biology</t>
  </si>
  <si>
    <t>961YM</t>
  </si>
  <si>
    <t>WOS:000305505502395</t>
  </si>
  <si>
    <t>B</t>
  </si>
  <si>
    <t>Landais, A</t>
  </si>
  <si>
    <t>Baskaran, M</t>
  </si>
  <si>
    <t>Landais, A.</t>
  </si>
  <si>
    <t>Stable Isotopes of N and Ar as Tracers to Retrieve Past Air Temperature from Air Trapped in Ice Cores</t>
  </si>
  <si>
    <t>HANDBOOK OF ENVIRONMENTAL ISOTOPE GEOCHEMISTRY, VOLS 1 AND 2</t>
  </si>
  <si>
    <t>Advances in Isotope Geochemisty</t>
  </si>
  <si>
    <t>Article; Book Chapter</t>
  </si>
  <si>
    <t>ABRUPT CLIMATE-CHANGE; YOUNGER DRYAS TERMINATION; DANSGAARD-OESCHGER EVENTS; POLAR ICE; FIRN DENSIFICATION; CLOSE-OFF; GREENLAND; DIFFUSION; RECORDS; GASES</t>
  </si>
  <si>
    <t>Ice cores are paleoclimatic archives that permit the reconstruction of past local precipitation temperature (from the measurements of water isotopes) and past atmospheric gas concentration (from the analysis of the air trapped in the ice) over the past 800,000 years. However, water isotopes are not a quantitative tracer for past temperature in Greenland ice cores. Moreover, because of the entrapment process, air is always younger than the surrounding ice so that the temporal phasing between temperature and atmospheric concentration changes is difficult to estimate. Here, we present a recently developed method that permits us to infer the amplitude of past abrupt temperature changes from the air trapped in an ice core. This method is based on very accurate measurements of delta N-15 of N-2 and delta Ar-40 of Ar in the air trapped in ice cores. Abrupt temperature changes at the surface of the ice-sheets create a transient temperature gradient in the firn (unconsolidated snow in the top 100 m of the ice sheet), which leads to isotopic fractionation of nitrogen and argon. The variations of delta N-15 and delta Ar-40 arising from surface temperature change are then trapped at the bottom of the firn as air bubbles close off. Then, combining the isotopic measurements with a firnification model including heat diffusion permits us to determine the amplitude of the past temperature change with an accuracy of +/- 2.5 degrees C. This method has demonstrated in particular that the Dansgaard Oeschger events that punctuated the last glacial period had an associated amplitude of up to 16 degrees C in less than 100 years and that methane and Greenland temperature increases were synchronous (within 50 years). Finally, there is hope that such a method may be used in Antarctic ice cores to constrain the phasing between changes in local temperature and in atmospheric concentration. This is however still an ongoing task, because in Antarctica, the temperature changes are too slow to induce a strong thermal gradient in the firn and the measured evolution of delta N-15 and delta Ar-40 is only partly understood. Still, promising first results using delta N-15 and delta Ar-40 measurements in the air trapped in an Antarctic ice core have shown that over a glacial to interglacial transition, CO2 was lagging East-Antarctic temperature by 800 +/- 200 years.</t>
  </si>
  <si>
    <t>UVSQ, Inst Pierre Simon Laplace, Lab Sci Climat &amp; Environm, CEA,CNRS, F-91191 Gif Sur Yvette, France</t>
  </si>
  <si>
    <t>CEA; Centre National de la Recherche Scientifique (CNRS); Universite Paris Saclay; Universite Paris Cite</t>
  </si>
  <si>
    <t>Landais, A (corresponding author), UVSQ, Inst Pierre Simon Laplace, Lab Sci Climat &amp; Environm, CEA,CNRS, F-91191 Gif Sur Yvette, France.</t>
  </si>
  <si>
    <t>amaelle.landais@lsce.ipsl.fr</t>
  </si>
  <si>
    <t>LANDAIS, Amaelle/0000-0002-5620-5465</t>
  </si>
  <si>
    <t>SPRINGER-VERLAG BERLIN</t>
  </si>
  <si>
    <t>HEIDELBERGER PLATZ 3, D-14197 BERLIN, GERMANY</t>
  </si>
  <si>
    <t>978-3-642-10636-1</t>
  </si>
  <si>
    <t>ADV ISOTOP GEOCHEM</t>
  </si>
  <si>
    <t>10.1007/978-3-642-10637-8_40</t>
  </si>
  <si>
    <t>10.1007/978-3-642-10637-8</t>
  </si>
  <si>
    <t>Book Citation Index – Science (BKCI-S)</t>
  </si>
  <si>
    <t>BZC58</t>
  </si>
  <si>
    <t>WOS:000301099200040</t>
  </si>
  <si>
    <t>Leake, BE</t>
  </si>
  <si>
    <t>Leake, Bernard Elgey</t>
  </si>
  <si>
    <t>The National Antarctic Expedition of 1901: a fiasco avoided</t>
  </si>
  <si>
    <t>LIFE AND WORK OF PROFESSOR J. W. GREGORY FRS (1864-1932): GEOLOGIST, WRITER AND EXPLORER</t>
  </si>
  <si>
    <t>Geological Society Memoirs</t>
  </si>
  <si>
    <t>WORK</t>
  </si>
  <si>
    <t>[Leake, Bernard Elgey] Univ Glasgow, Glasgow G12 8QQ, Lanark, Scotland; [Leake, Bernard Elgey] Cardiff Univ, Cardiff, S Glam, Wales</t>
  </si>
  <si>
    <t>University of Glasgow; Cardiff University</t>
  </si>
  <si>
    <t>Leake, BE (corresponding author), Univ Glasgow, Glasgow G12 8QQ, Lanark, Scotland.</t>
  </si>
  <si>
    <t>GEOLOGICAL SOC PUBLISHING HOUSE</t>
  </si>
  <si>
    <t>BATH</t>
  </si>
  <si>
    <t>UNIT 7, BRASSMILL ENTERPRISE CTR, BRASSMILL LANE, BATH BA1 3JN, AVON, ENGLAND</t>
  </si>
  <si>
    <t>0435-4052</t>
  </si>
  <si>
    <t>978-1-86239-323-3</t>
  </si>
  <si>
    <t>GEOL SOC MEM</t>
  </si>
  <si>
    <t>10.1144/M34.11</t>
  </si>
  <si>
    <t>BZI93</t>
  </si>
  <si>
    <t>WOS:000301736700012</t>
  </si>
  <si>
    <t>Denk, T; Grímsson, F; Zetter, R; Símonarson, LA</t>
  </si>
  <si>
    <t>Denk, T; Grimsson, F; Zetter, R; Simonarson, LA</t>
  </si>
  <si>
    <t>Denk, Thomas; Grimsson, Fridgeir; Zetter, Reinhard; Simonarson, Leifur A.</t>
  </si>
  <si>
    <t>Climate Evolution in the Northern North Atlantic-15 Ma to Present</t>
  </si>
  <si>
    <t>LATE CAINOZOIC FLORAS OF ICELAND: 15 MILLION YEARS OF VEGETATION AND CLIMATE HISTORY IN THE NORTHERN NORTH ATLANTIC</t>
  </si>
  <si>
    <t>Topics in Geobiology</t>
  </si>
  <si>
    <t>ATMOSPHERIC CARBON-DIOXIDE; DEEP-WATER; ISOTOPE PALEOTEMPERATURES; SURFACE TEMPERATURES; MIOCENE; PLIOCENE; STRATIGRAPHY; PALEOCEANOGRAPHY; CIRCULATION; VEGETATION</t>
  </si>
  <si>
    <t>This chapter evaluates climatic signals from floras of 11 sedimentary rock formations from Iceland spanning the time interval 15-0.8 Ma. From 15 to 12 Ma, the climate was humid warm temperate probably with hot summers (Cfa climate) as evidenced by the presence of taxodiaceous conifers such as Glyptostrobus and Cryptomeria and warmth-loving angiosperms. The first shift towards cooler conditions occurred between ca 12 and 10 Ma; during this period the Taxodiaceae and warmth-loving angiosperms such as Magnolia, Lauraceae, and Liriodendron disappeared from the vegetation of Iceland, whereas at the same time, a massive immigration of herbaceous plants and small-leaved Ericaceae is recorded. This shift appears to reflect the transition from a Cfa to a Cfb climate. The second shift was between ca 5.5 and ca 4.4 Ma; after this interval, small-leaved Salix species are recorded for the first time and co-occurred with exotic elements such as the large-leaved evergreen Rhododendron subsection Pontica. Mild (Cfb climate) conditions lasted at least until ca 3.6 Ma. Between ca 3.6 and 2.4 Ma, the switch to the modern Cfc and ET climates occurred. This is reflected by the modern appearance of the Pleistocene floras. While cooling on a global scale occurred immediately after the Mid-Miocene Climatic Optimum at ca 17-15 Ma due to the rapid growth of the Eastern Antarctic Ice Sheet, mild and warm conditions lasted until at least ca 12 Ma in Iceland, underscoring the effect of warm sea currents on regional climate. The shift from a warm-house to a cold-house climate, as reflected in the floras of Iceland, coincided with the onset of large-scale glaciations in the northern hemisphere.</t>
  </si>
  <si>
    <t>[Denk, Thomas] Swedish Museum Nat Hist, Dept Palaeobot, S-10405 Stockholm, Sweden; [Grimsson, Fridgeir; Zetter, Reinhard] Univ Vienna, Dept Palaeontol, A-1090 Vienna, Austria; [Simonarson, Leifur A.] Univ Iceland, Inst Earth Sci, IS-101 Reykjavik, Iceland</t>
  </si>
  <si>
    <t>Swedish Museum of Natural History; University of Vienna; University of Iceland</t>
  </si>
  <si>
    <t>Denk, T (corresponding author), Swedish Museum Nat Hist, Dept Palaeobot, S-10405 Stockholm, Sweden.</t>
  </si>
  <si>
    <t>thomas.denk@nrm.se; fridgeir.grimsson@univie.ac.at; reinhard.zetter@univie.ac.at; leifuras@raunvis.hi.is</t>
  </si>
  <si>
    <t>Grimsson, Fridgeir/A-9943-2012</t>
  </si>
  <si>
    <t>Grimsson, Fridgeir/0000-0002-1874-6412</t>
  </si>
  <si>
    <t>PO BOX 17, 3300 AA DORDRECHT, NETHERLANDS</t>
  </si>
  <si>
    <t>0275-0120</t>
  </si>
  <si>
    <t>978-94-007-0371-1</t>
  </si>
  <si>
    <t>TOP GEOBIOL</t>
  </si>
  <si>
    <t>Top. Geobiol.</t>
  </si>
  <si>
    <t>10.1007/978-94-007-0372-8_13</t>
  </si>
  <si>
    <t>10.1007/978-94-007-0372-8</t>
  </si>
  <si>
    <t>Biology; Paleontology</t>
  </si>
  <si>
    <t>Life Sciences &amp; Biomedicine - Other Topics; Paleontology</t>
  </si>
  <si>
    <t>BAB20</t>
  </si>
  <si>
    <t>WOS:000303686800013</t>
  </si>
  <si>
    <t>Köpke, L</t>
  </si>
  <si>
    <t>Irastorza, IG; Scholberg, K; Colas, P; Giomataris, I</t>
  </si>
  <si>
    <t>Koepke, Lutz</t>
  </si>
  <si>
    <t>IceCube Collaboration</t>
  </si>
  <si>
    <t>Supernova Neutrino Detection with IceCube</t>
  </si>
  <si>
    <t>5TH SYMPOSIUM ON LARGE TPCS FOR LOW ENERGY RARE EVENT DETECTION AND WORKSHOP ON NEUTRINOS FROM SUPERNOVAE</t>
  </si>
  <si>
    <t>Journal of Physics Conference Series</t>
  </si>
  <si>
    <t>5th Symposium on Large TPCs for Low Energy Rare Event Detection/Workshop on Neutrinos from Supernovae</t>
  </si>
  <si>
    <t>DEC 14-17, 2010</t>
  </si>
  <si>
    <t>Paris, FRANCE</t>
  </si>
  <si>
    <t>SIGNAL; ICE</t>
  </si>
  <si>
    <t>IceCube was completed in December 2010. It forms a lattice of 5160 photomultiplier tubes that monitor a volume of similar to 1 km(3) in the deep Antarctic ice for particle induced photons. The telescope was designed to detect neutrinos with energies greater than 100 GeV. Owing to subfreezing ice temperatures, the photomultiplier dark noise rates are particularly low. Hence IceCube can also detect large numbers of MeV neutrinos by observing a collective rise in all photomultiplier rates on top of the dark noise. With 2 ms timing resolution, IceCube can track subtle features in the temporal development of the supernova neutrino burst. For a supernova at the galactic center, its sensitivity matches that of a background-free megaton-scale supernova search experiment. The sensitivity decreases to 20 standard deviations at the galactic edge (30 kpc) and 6 standard deviations at the Large Magellanic Cloud (50 kpc). IceCube is sending triggers from potential supernovae to the Supernova Early Warning System. The sensitivity to neutrino properties such as the neutrino hierarchy is discussed and simulations of tantalizing signatures, such as the formation of a quark star or a black hole as well as the characteristics of shock waves are presented. All results are preliminary.</t>
  </si>
  <si>
    <t>[Koepke, Lutz; IceCube Collaboration] Johannes Gutenberg Univ Mainz, D-55099 Mainz, Germany</t>
  </si>
  <si>
    <t>Johannes Gutenberg University of Mainz</t>
  </si>
  <si>
    <t>Köpke, L (corresponding author), Johannes Gutenberg Univ Mainz, D-55099 Mainz, Germany.</t>
  </si>
  <si>
    <t>lutz.koepke@uni-mainz.de</t>
  </si>
  <si>
    <t>Sánchez, Juan Antonio Aguilar/H-4467-2015</t>
  </si>
  <si>
    <t>IOP PUBLISHING LTD</t>
  </si>
  <si>
    <t>BRISTOL</t>
  </si>
  <si>
    <t>DIRAC HOUSE, TEMPLE BACK, BRISTOL BS1 6BE, ENGLAND</t>
  </si>
  <si>
    <t>1742-6588</t>
  </si>
  <si>
    <t>J PHYS CONF SER</t>
  </si>
  <si>
    <t>10.1088/1742-6596/309/1/012029</t>
  </si>
  <si>
    <t>Physics, Nuclear; Physics, Particles &amp; Fields</t>
  </si>
  <si>
    <t>Physics</t>
  </si>
  <si>
    <t>BZV33</t>
  </si>
  <si>
    <t>Green Submitted, gold</t>
  </si>
  <si>
    <t>WOS:000303044900029</t>
  </si>
  <si>
    <t>Jung, JH; Baek, YS; Kim, S; Choi, HG; Min, GS</t>
  </si>
  <si>
    <t>Jung, Jae-Ho; Baek, Ye-Seul; Kim, Sanghee; Choi, Han-Gu; Min, Gi-Sik</t>
  </si>
  <si>
    <t>A New Marine Ciliate, Metaurostylopsis antarctica nov spec. (Ciliophora, Urostylida) from the Antarctic Ocean</t>
  </si>
  <si>
    <t>ACTA PROTOZOOLOGICA</t>
  </si>
  <si>
    <t>Antarctic Ocean; marine ciliate; Metaurostylopsis antarctica; infraciliature; morphogenesis; SSU rRNA</t>
  </si>
  <si>
    <t>PROTOZOA; MORPHOLOGY; INFRACILIATURE; AREA; KAHL; SP.</t>
  </si>
  <si>
    <t>In this study, a new marine urostylid ciliate, Metaurostylopsis antarctica nov. spec. collected from the Antarctic Ocean was investigated using morphological, morphometrical, and molecular methods. Metaurostylopsis antarctica nov. spec. is characterized as follows: slender to ellipsoid form in body shape; two types of cortical granules, ellipsoid large one (type I, yellow-green, 1.5 x 1 mu m) in rows along dorsal kineties and cirri, circular small one (type II, colourless, 0.3 mu m in diameter) scattered throughout whole body; 19-24 adoral membranelles, 4 frontal cirri, 2-5 frontoterminal cirri, 1 buccal and 2 transverse cirri; 3-5 midventral pairs, 10-15 cirri of midventral row; 1 right and 2 left marginal rows; 3 dorsal kineties; about 43 macronuclear nodules. This new species mainly differs from the congeners by the number of marginal rows (1 vs. 3 or more on right side; 2 vs. 3 or more on left side). In addition, proter's oral primordium developed on the right side of the oral cavity (vs. in center of oral cavity), and the rightmost anlage splits into two parts, namely, the frontoterminal cirri and a transverse cirrus (vs. only frontoterminal cirri). Inter-specific dissimilarities of the SSU rRNA gene between the congeners range from 3.3 to 4.4%.</t>
  </si>
  <si>
    <t>[Jung, Jae-Ho; Baek, Ye-Seul; Min, Gi-Sik] Inha Univ, Dept Biol Sci, Inchon 402751, South Korea; [Kim, Sanghee; Choi, Han-Gu] Korea Polar Res Inst KOPRI, Inchon, South Korea</t>
  </si>
  <si>
    <t>Inha University; Korea Polar Research Institute (KOPRI)</t>
  </si>
  <si>
    <t>Min, GS (corresponding author), Inha Univ, Dept Biol Sci, Inchon 402751, South Korea.</t>
  </si>
  <si>
    <t>mingisik@inha.ac.kr</t>
  </si>
  <si>
    <t>Jung, Jae-Ho/L-2849-2016</t>
  </si>
  <si>
    <t>Jung, Jae-Ho/0000-0001-5497-8678</t>
  </si>
  <si>
    <t>Ministry of Health, Welfare &amp; Family Affairs, Republic of Korea [A090931]; Korea Research Foundation [KRF-2010-C00033]; KOPRI [PE11030]</t>
  </si>
  <si>
    <t>Ministry of Health, Welfare &amp; Family Affairs, Republic of Korea(Ministry of Health &amp; Welfare (MOHW), Republic of Korea); Korea Research Foundation(National Research Foundation of Korea); KOPRI(Korea Polar Research Institute of Marine Research Placement (KOPRI))</t>
  </si>
  <si>
    <t>This work was supported by grants of the Korea Healthcare technology R &amp; D Project, Ministry of Health, Welfare &amp; Family Affairs, Republic of Korea (A090931), Korea Research Foundation Grant (KRF-2010-C00033), the Polar Academic Program (PAP) of KOPRI (G.-S. Min) and the Basic Research Program of KOPRI (PE11030) (H.-G. Choi).</t>
  </si>
  <si>
    <t>JAGIELLONIAN UNIV, INST ENVIRONMENTAL SCIENCES</t>
  </si>
  <si>
    <t>GRONOSTAJOWA 7, KRAKOW, 30-387, POLAND</t>
  </si>
  <si>
    <t>0065-1583</t>
  </si>
  <si>
    <t>1689-0027</t>
  </si>
  <si>
    <t>ACTA PROTOZOOL</t>
  </si>
  <si>
    <t>Acta Protozool.</t>
  </si>
  <si>
    <t>10.4467/16890027AP.11.026.0063</t>
  </si>
  <si>
    <t>928DZ</t>
  </si>
  <si>
    <t>WOS:000302962600002</t>
  </si>
  <si>
    <t>Rashid, H; Polyak, L; Mosley-Thompson, E</t>
  </si>
  <si>
    <t>Rashid, H; Polyak, L; MosleyThompson, E</t>
  </si>
  <si>
    <t>Rashid, Harunur; Polyak, Leonid; Mosley-Thompson, Ellen</t>
  </si>
  <si>
    <t>Abrupt Climate Change Revisited</t>
  </si>
  <si>
    <t>ABRUPT CLIMATE CHANGE: MECHANISMS, PATTERNS, AND IMPACTS</t>
  </si>
  <si>
    <t>Geophysical Monograph Book Series</t>
  </si>
  <si>
    <t>LAURENTIDE ICE-SHEET; MERIDIONAL OVERTURNING CIRCULATION; NORTH-ATLANTIC CLIMATE; INDIAN-SUMMER MONSOON; MILLENNIAL-SCALE; YOUNGER DRYAS; PLANKTONIC-FORAMINIFERA; LAST DEGLACIATION; SOUTHERN-OCEAN; PACIFIC-OCEAN</t>
  </si>
  <si>
    <t>This geophysical monograph volume contains a collection of papers presented at the 2009 AGU Chapman Conference on Abrupt Climate Change. Paleoclimate records derived from ice cores, lakes, and marine sedimentary archives illustrate rapid changes in the atmosphere-cryosphere-ocean system. Several proxy records and two data-model comparison studies simulate Atlantic meridional overturning circulation during the last deglaciation and millennial-scale temperature oscillations during the last glacial cycle and thereby provide new perspectives on the mechanisms controlling abrupt climate changes. Two hypotheses are presented to explain deep Southern Ocean carbon storage, the rapid increase of the atmospheric carbon dioxide, and retreat of sea ice in the Antarctic Ocean during the last deglaciation. A synthesis of two Holocene climate events at approximately 5.2 ka and 4.2 ka highlights the potential of a rapid response to climate forcing in tropical systems through the hydrological cycle. Both events appear contemporaneous with the collapse of ancient civilizations in low-latitude regions where roughly half of Earth's population lives today.</t>
  </si>
  <si>
    <t>[Rashid, Harunur; Polyak, Leonid; Mosley-Thompson, Ellen] Ohio State Univ, Byrd Polar Res Ctr, Columbus, OH 43210 USA; [Mosley-Thompson, Ellen] Ohio State Univ, Dept Geog, Columbus, OH 43210 USA</t>
  </si>
  <si>
    <t>University System of Ohio; Ohio State University; University System of Ohio; Ohio State University</t>
  </si>
  <si>
    <t>Rashid, H (corresponding author), Ohio State Univ, Byrd Polar Res Ctr, Columbus, OH 43210 USA.</t>
  </si>
  <si>
    <t>rashid.29@osu.edu</t>
  </si>
  <si>
    <t>Mosley-Thompson, Ellen S/Z-2100-2018</t>
  </si>
  <si>
    <t>Rashid, Harunur/0000-0002-7612-3790</t>
  </si>
  <si>
    <t>0065-8448</t>
  </si>
  <si>
    <t>978-0-87590-484-9</t>
  </si>
  <si>
    <t>GEOPHYS MONOGR SER</t>
  </si>
  <si>
    <t>10.1029/2011GM001139</t>
  </si>
  <si>
    <t>10.1029/GM193</t>
  </si>
  <si>
    <t>BYW61</t>
  </si>
  <si>
    <t>WOS:000300647000001</t>
  </si>
  <si>
    <t>Flower, BP; Williams, C; Hill, HW; Hastings, DW</t>
  </si>
  <si>
    <t>Flower, B. P.; Williams, C.; Hill, H. W.; Hastings, D. W.</t>
  </si>
  <si>
    <t>Laurentide Ice Sheet Meltwater and the Atlantic Meridional Overturning Circulation During the Last Glacial Cycle: A View From the Gulf of Mexico</t>
  </si>
  <si>
    <t>ABRUPT CLIMATE-CHANGE; SEA-SURFACE TEMPERATURE; RADIOCARBON AGE CALIBRATION; OXYGEN ISOTOPIC COMPOSITION; SUBTROPICAL NORTH-ATLANTIC; WESTERN TROPICAL ATLANTIC; FRESH-WATER INPUT; YOUNGER DRYAS; HEINRICH EVENTS; THERMOHALINE CIRCULATION</t>
  </si>
  <si>
    <t>Meltwater input from the Laurentide Ice Sheet (LIS) has often been invoked as a cause of proximal sea surface temperature (SST) and salinity change in the North Atlantic and of regional to global climate change via its influence on the Atlantic meridional overturning circulation (AMOC). Here we review the evidence for meltwater inflow to the Gulf of Mexico and its reduction relative to the onset of the Younger Dryas, compare inferred meltwater inflow during marine isotope stage 3 (MIS 3), and thereby assess the role of LIS meltwater routing as a trigger of abrupt climate change. We present published and new Mg/Ca and delta O-18 data on the planktic foraminifer Globigerinoides ruber from four northern Gulf of Mexico sediment cores that provide detailed records of SST and delta O-18 of seawater (delta(18)Osw) for most of the last glacial cycle (48-8 ka). These results generally support models that suggest meltwater rerouting away from the Gulf of Mexico and directly to the North Atlantic may have caused Younger Dryas cooling via AMOC reduction. Alternatively, southern meltwater input may simply have been reduced during the Younger Dryas. Indeed, Dansgaard-Oeschger cooling events must have had a different cause because southern meltwater input during MIS 3 does not match their number or timing. Furthermore, the relationships between Gulf of Mexico meltwater input, Heinrich events, Antarctic warm events, and AMOC variability suggest bipolar warming and enhanced seasonality during meltwater episodes. We formulate a meltwater capacitor hypothesis for understanding enhanced seasonality during abrupt climate change in the North Atlantic region.</t>
  </si>
  <si>
    <t>[Flower, B. P.; Williams, C.; Hill, H. W.] Univ S Florida, Coll Marine Sci, St Petersburg, FL 33701 USA; [Hastings, D. W.] Eckerd Coll, Marine Sci Discipline, St Petersburg, FL 33713 USA</t>
  </si>
  <si>
    <t>State University System of Florida; University of South Florida</t>
  </si>
  <si>
    <t>Flower, BP (corresponding author), Univ S Florida, Coll Marine Sci, 140 7th Ave S, St Petersburg, FL 33701 USA.</t>
  </si>
  <si>
    <t>bflower@marine.usf.edu</t>
  </si>
  <si>
    <t>Williams, Carlie/A-2066-2012</t>
  </si>
  <si>
    <t>10.1029/2010GM001016</t>
  </si>
  <si>
    <t>WOS:000300647000003</t>
  </si>
  <si>
    <t>Rial, JA; Saha, R</t>
  </si>
  <si>
    <t>Rial, J. A.; Saha, R.</t>
  </si>
  <si>
    <t>Modeling Abrupt Climate Change as the Interaction Between Sea Ice Extent and Mean Ocean Temperature Under Orbital Insolation Forcing</t>
  </si>
  <si>
    <t>CIRCULATION; EVENTS; SALINITY; OSCILLATIONS; VARIABILITY; TRANSITIONS; MECHANISMS; CYCLE</t>
  </si>
  <si>
    <t>The Dansgaard-Oeschger (D-O) temperature fluctuations of the last ice age are a prime example of abrupt climate change in the paleoclimate record, and they provide evidence that rapid climate change (warming as well as cooling) can occur within human time scales, making their study highly relevant to the assessment of present and future natural climate variability. Using conceptual climate models, we show that orbital insolation is likely to play an important role in the timing, amplitude, and duration of the D-O fluctuations. We are able to replicate key features of the D-O time series, including the abrupt transition from the last glacial to the present interglacial, using the orbital insolation as the sole external variable forcing of a simple nonlinear Langevin differential equation. A slightly more complex model based on two nonlinear differential equations for sea ice extent and mean ocean temperature reasonably reproduces the past 100 kyr of climate fluctuations recorded in the Greenland ice cores. The model assumes the existence of a free oscillation with a period of 1500 years, which is then forced with white Gaussian noise and the astronomical insolation. The model also reproduces the time histories and the well-known phase relationship between shallow and deep ocean proxy data, whereby the SST history follows the Greenland climate record, while the deeper ocean follows the Antarctic's. Comparisons with other low-dimensional models and climate models of intermediate complexity (ECBILT-CLIO and U-Victoria ESCM) show consistent results.</t>
  </si>
  <si>
    <t>[Rial, J. A.] Univ N Carolina, Dept Geol Sci, Wave Propagat Lab, Chapel Hill, NC 27599 USA; [Saha, R.] Univ N Carolina, Dept Phys &amp; Astron, Chapel Hill, NC 27599 USA</t>
  </si>
  <si>
    <t>University of North Carolina; University of North Carolina Chapel Hill; University of North Carolina; University of North Carolina Chapel Hill</t>
  </si>
  <si>
    <t>Rial, JA (corresponding author), Univ N Carolina, Dept Geol Sci, Wave Propagat Lab, Chapel Hill, NC 27599 USA.</t>
  </si>
  <si>
    <t>jose_rial@unc.edu</t>
  </si>
  <si>
    <t>10.1029/2010GM001027</t>
  </si>
  <si>
    <t>WOS:000300647000004</t>
  </si>
  <si>
    <t>Ritz, DA; Hobday, AJ; Montgomery, JC; Ward, AJW</t>
  </si>
  <si>
    <t>Lesser, M</t>
  </si>
  <si>
    <t>Ritz, David A.; Hobday, Alistair J.; Montgomery, John C.; Ward, Ashley J. W.</t>
  </si>
  <si>
    <t>SOCIAL AGGREGATION IN THE PELAGIC ZONE WITH SPECIAL REFERENCE TO FISH AND INVERTEBRATES</t>
  </si>
  <si>
    <t>ADVANCES IN MARINE BIOLOGY, VOL 60</t>
  </si>
  <si>
    <t>Advances in Marine Biology</t>
  </si>
  <si>
    <t>Review; Book Chapter</t>
  </si>
  <si>
    <t>social aggregation; pelagic zone; marine; association; social networks; technology; climate change; modelling</t>
  </si>
  <si>
    <t>TUNA THUNNUS-MACCOYII; PREDATOR-PREY INTERACTIONS; KRILL EUPHAUSIA-SUPERBA; OPTIMAL GROUP-SIZE; TIT-FOR-TAT; ANTARCTIC KRILL; SCHOOLING BEHAVIOR; LATERAL-LINE; REFLECTIVE COMMUNICATION; VERTICAL-DISTRIBUTION</t>
  </si>
  <si>
    <t>Aggregations of organisms, ranging from zooplankton to whales, are an extremely common phenomenon in the pelagic zone; perhaps the best known are fish schools. Social aggregation is a special category that refers to groups that self-organize and maintain cohesion to exploit benefits such as protection from predators, and location and capture of resources more effectively and with greater energy efficiency than could a solitary individual. In this review we explore general aggregation principles, with specific reference to pelagic organisms; describe a range of new technologies either designed for studying aggregations or that could potentially be exploited for this purpose; report on the insights gained from theoretical modelling; discuss the relationship between social aggregation and ocean management; and speculate on the impact of climate change. Examples of aggregation occur in all animal phyla. Among pelagic organisms, it is possible that repeated co-occurrence of stable pairs of individuals, which has been established for some schooling fish, is the likely precursor leading to networks of social interaction and more complex social behaviour. Social network analysis has added new insights into social behaviour and allows us to dissect aggregations and to examine how the constituent individuals interact with each other. This type of analysis is well advanced in pinnipeds and cetaceans, and work on fish is progressing. Detailed three-dimensional analysis of schools has proved to be difficult, especially at sea, but there has been some progress recently. The technological aids for studying social aggregation include video and acoustics, and have benefited from advances in digitization, miniaturization, motion analysis and computing power. New techniques permit three-dimensional tracking of thousands of individual animals within a single group which has allowed novel insights to within-group interactions. Approaches using theoretical modelling of aggregations have a long history but only recently have hypotheses been tested empirically. The lack of synchrony between models and empirical data, and lack of a common framework to schooling models have hitherto hampered progress; however, recent developments in this field offer considerable promise. Further, we speculate that climate change, already having effects on ecosystems, could have dramatic effects on aggregations through its influence on species composition by altering distribution ranges, migration patterns, vertical migration, and oceanic acidity. Because most major commercial fishing targets schooling species, these changes could have important consequences for the dependent businesses.</t>
  </si>
  <si>
    <t>[Ritz, David A.] Univ Tasmania, Sch Zool, Hobart, Tas, Australia; [Hobday, Alistair J.] CSIRO Marine &amp; Atmospher Res, Wealth Oceans Flagship, Hobart, Tas, Australia; [Montgomery, John C.] Univ Auckland, Leigh Marine Lab, Auckland 1, New Zealand; [Ward, Ashley J. W.] Univ Sydney, Sch Biol Sci, Sydney, NSW 2006, Australia</t>
  </si>
  <si>
    <t>University of Tasmania; Commonwealth Scientific &amp; Industrial Research Organisation (CSIRO); University of Auckland; University of Sydney</t>
  </si>
  <si>
    <t>Ritz, DA (corresponding author), Univ Tasmania, Sch Zool, Hobart, Tas, Australia.</t>
  </si>
  <si>
    <t>David.Ritz@utas.edu.au</t>
  </si>
  <si>
    <t>Hobday, Alistair/A-1460-2012; Montgomery, John/D-4310-2009</t>
  </si>
  <si>
    <t>Ward, Ashley/0000-0003-0842-533X; Montgomery, John/0000-0002-7451-3541</t>
  </si>
  <si>
    <t>ELSEVIER ACADEMIC PRESS INC</t>
  </si>
  <si>
    <t>SAN DIEGO</t>
  </si>
  <si>
    <t>525 B STREET, SUITE 1900, SAN DIEGO, CA 92101-4495 USA</t>
  </si>
  <si>
    <t>0065-2881</t>
  </si>
  <si>
    <t>978-0-12-385529-9</t>
  </si>
  <si>
    <t>ADV MAR BIOL</t>
  </si>
  <si>
    <t>Adv. Mar. Biol.</t>
  </si>
  <si>
    <t>10.1016/B978-0-12-385529-9.00004-4</t>
  </si>
  <si>
    <t>Book Citation Index – Science (BKCI-S); Science Citation Index Expanded (SCI-EXPANDED)</t>
  </si>
  <si>
    <t>BZI17</t>
  </si>
  <si>
    <t>WOS:000301675300004</t>
  </si>
  <si>
    <t>Anderson, JB; Wellner, JS</t>
  </si>
  <si>
    <t>Tectonic, Climatic, and Cryospheric Evolution of the Antarctic Peninsula</t>
  </si>
  <si>
    <t>TECTONIC, CLIMATIC, AND CRYOSPHERIC EVOLUTION OF THE ANTARCTIC PENINSULA</t>
  </si>
  <si>
    <t>American Geophysical Union Special Publications</t>
  </si>
  <si>
    <t>Book</t>
  </si>
  <si>
    <t>978-0-87590-734-5</t>
  </si>
  <si>
    <t>AM GEOPHYS UNION SP</t>
  </si>
  <si>
    <t>10.1029/SP063</t>
  </si>
  <si>
    <t>BYW62</t>
  </si>
  <si>
    <t>WOS:000300647100011</t>
  </si>
  <si>
    <t>Lawver, LA; Gahagan, LM; Dalziel, IWD</t>
  </si>
  <si>
    <t>Lawver, Lawrence A.; Gahagan, Lisa M.; Dalziel, Ian W. D.</t>
  </si>
  <si>
    <t>A Different Look at Gateways: Drake Passage and Australia/Antarctica</t>
  </si>
  <si>
    <t>ANTARCTIC CIRCUMPOLAR CURRENT; SHACKLETON FRACTURE-ZONE; SOUTH TASMAN RISE; TECTONIC EVOLUTION; SCOTIA SEA; SATELLITE ALTIMETRY; PACIFIC MARGIN; MIDDLE EOCENE; NEW-ZEALAND; OCEAN</t>
  </si>
  <si>
    <t>The time of the opening of Drake Passage between South America and the Antarctic Peninsula is problematic. Mammals were able to migrate between South America and Antarctica until sometime in the early Eocene. Various continental fragments may have formed an effective barrier to substantial deepwater circulation through Drake Passage until at least 28 Ma. Alternatively, a medium-depth to deep water passage may have existed through Powell Basin to the south of the present Drake Passage as early as 33 Ma, but it is difficult to constrain the time of opening of Powell Basin. Simple opening of a shallow seaway between southern South America and the Antarctic Peninsula does not produce a vigorous Antarctic Circumpolar Current (ACC). Other gateways must be open to medium-depth to deepwater circulation such as one between the South Tasman Rise and East Antarctica. Even mid-ocean plateaus may play a role in the ultimate development of a circum-Antarctic current. The most probable southern ocean feature that may have affected global circulation was the opening of a deep seaway between the Kerguelen Plateau and Broken Ridge at about the Eocene-Oligocene boundary. While a complete deepwater (&gt;2000 m) circuit was certainly developed by the end of the early Oligocene, it may have been the closure of a major deep seaway north of Australia in the middle Miocene that finally produced the environment for the development of a vigorous ACC.</t>
  </si>
  <si>
    <t>[Lawver, Lawrence A.; Gahagan, Lisa M.; Dalziel, Ian W. D.] Univ Texas Austin, Inst Geophys, Austin, TX 78758 USA</t>
  </si>
  <si>
    <t>University of Texas System; University of Texas Austin</t>
  </si>
  <si>
    <t>Lawver, LA (corresponding author), Univ Texas Austin, Inst Geophys, 10100 Burnet Rd,R2200, Austin, TX 78758 USA.</t>
  </si>
  <si>
    <t>lawver@ig.utexas.edu</t>
  </si>
  <si>
    <t>Dalziel, Ian W. D./G-5926-2010</t>
  </si>
  <si>
    <t>10.1029/2010SP001017</t>
  </si>
  <si>
    <t>WOS:000300647100002</t>
  </si>
  <si>
    <t>Barbeau, DL</t>
  </si>
  <si>
    <t>Barbeau, David L., Jr.</t>
  </si>
  <si>
    <t>Exhumational History of the Margins of Drake Passage From Thermochronology and Sediment Provenance</t>
  </si>
  <si>
    <t>LOW-TEMPERATURE THERMOCHRONOMETRY; SCOTIA SEA; TECTONIC EVOLUTION; HELIUM DIFFUSION; ND ISOTOPES; APATITE; GEOCHRONOLOGY; DENUDATION; GLACIATION; MOUNTAINS</t>
  </si>
  <si>
    <t>The margins of Drake Passage contain a rich and important perspective on the opening history of the marine gateway that until recently has been largely underexploited. In this chapter, I summarize and compare the Cretaceous and Paleogene exhumational history of the Fuegian Andes and the northern Antarctic Peninsula from existing thermochronology and sediment provenance data. Fission track and (U-Th-Sm)/He thermochronology of apatite and zircon collected from rocks in the Antarctic Peninsula indicate rapid exhumation-related cooling in the Late Cretaceous, whereas similar data from the Fuegian Andes indicate rapid exhumation in the Eocene, when existing data indicate exhumational cooling in the Patagonian Andes was comparatively slow, in general. U-Pb detrital zircon geochronology of Paleocene-Oligocene(?) strata from the Larsen Basin of the northern Antarctic Peninsula is fundamentally different from that of equivalently aged strata in the eastern Magallanes Basin of Tierra del Fuego, requiring sedimentary separation of these two basins prior to the Paleocene. Although equivocal, together these data may support an onset of Drake Passage opening significantly prior to the oldest current estimates and partially culminating in the middle Eocene when a shortening gradient in the southern Andes may have enabled oroclinal bending in the southernmost Andes.</t>
  </si>
  <si>
    <t>Univ S Carolina, Dept Earth &amp; Ocean Sci, Columbia, SC 29208 USA</t>
  </si>
  <si>
    <t>University of South Carolina System; University of South Carolina Columbia</t>
  </si>
  <si>
    <t>Barbeau, DL (corresponding author), Univ S Carolina, Dept Earth &amp; Ocean Sci, Columbia, SC 29208 USA.</t>
  </si>
  <si>
    <t>dbarbeau@geol.sc.edu</t>
  </si>
  <si>
    <t>10.1029/2010SP000992</t>
  </si>
  <si>
    <t>WOS:000300647100003</t>
  </si>
  <si>
    <t>Smith, RT; Anderson, JB</t>
  </si>
  <si>
    <t>Smith, R. Tyler; Anderson, John B.</t>
  </si>
  <si>
    <t>Seismic Stratigraphy of the Joinville Plateau: Implications for Regional Climate Evolution</t>
  </si>
  <si>
    <t>VARIABILITY; HISTORY; BASIN</t>
  </si>
  <si>
    <t>Seismic records from the southern margin of the Joinville Plateau show a sediment wedge with no apparent hiatuses or large unconformities throughout the late Oligocene to the early Pliocene section. Sedimentation rates calculated using both drill core and regional seismic lines show fairly constant rates of sedimentation, with infrequent and isolated episodes of slumping and turbidity current activity. Contour currents, associated with the Weddell Gyre, and glacimarine sedimentary processes have dominated sedimentation on the Joinville slope since at least the late Oligocene. Seismic and core data show no evidence of the Antarctic Peninsula Ice Sheet having grounded on the plateau until the early Pliocene. This is consistent with a phased expansion of the ice sheet from south to north across the northern peninsula.</t>
  </si>
  <si>
    <t>[Smith, R. Tyler; Anderson, John B.] Rice Univ, Dept Earth Sci, Houston, TX 77005 USA</t>
  </si>
  <si>
    <t>Rice University</t>
  </si>
  <si>
    <t>Smith, RT (corresponding author), Rice Univ, Dept Earth Sci, Houston, TX 77005 USA.</t>
  </si>
  <si>
    <t>johna@rice.edu</t>
  </si>
  <si>
    <t>10.1029/2010SP000980</t>
  </si>
  <si>
    <t>WOS:000300647100004</t>
  </si>
  <si>
    <t>Bohaty, SM; Kulhanek, DK; Wise, SW; Jemison, K; Warny, S; Sjunneskog, C</t>
  </si>
  <si>
    <t>Bohaty, Steven M.; Kulhanek, Denise K.; Wise, Sherwood W., Jr.; Jemison, Kelly; Warny, Sophie; Sjunneskog, Charlotte</t>
  </si>
  <si>
    <t>Age Assessment of Eocene-Pliocene Drill Cores Recovered During the SHALDRIL II Expedition, Antarctic Peninsula</t>
  </si>
  <si>
    <t>SHEET GROUNDING EVENTS; ICE-SHEET; DIATOM BIOSTRATIGRAPHY; SEA-ICE; KERGUELEN PLATEAU; SORSDAL FORMATION; FALKLAND PLATEAU; ATLANTIC SECTOR; PROJECT LEG-71; VESTFOLD HILLS</t>
  </si>
  <si>
    <t>Pre-Quaternary strata were recovered from four sites on the continental shelf of the eastern Antarctic Peninsula during the SHALDRIL II cruise, NBP0602A (March-April 2006). Fully marine shelf sediments characterize these short cores and contain a mixture of opaline, carbonate-walled, and organic-walled microfossils, suitable for both biostratigraphic and paleoenvironmental studies. Here we compile biostratigraphic information and provide age assessments for the Eocene-Pliocene intervals of these cores, based primarily on diatom biostratigraphy with additional constraints from calcareous nannofossil and dinoflagellate cyst biostratigraphy and strontium isotope dating. The Eocene and Oligocene diatom floras are illustrated in nine figures. A late Eocene age (similar to 37-34 Ma) is assigned to strata recovered in Hole 3C, and a late Oligocene age (similar to 28.4-23.3 Ma) is determined for strata recovered in Hole 12A. Middle Miocene (similar to 12.8-11.7 Ma) and early Pliocene (similar to 5.1-4.3 Ma) ages are assigned to the sequence recovered in holes 5C and 5D, and an early Pliocene age (similar to 5.1-3.8 Ma) is interpreted for cores recovered in holes 6C and 6D. These ages provide chronostratigraphic ground truthing for the thick sequences of Paleogene and Neogene strata present on the northwestern edge of the James Ross Basin and on the northeastern side of the Joinville Plateau, as interpreted from a network of seismic stratigraphic survey lines in the drilling areas. Although representing a coarse-resolution sampling of the complete sedimentary package, the well-constrained ages for these cores also allow for the broad reconstruction of marine and terrestrial paleoenvironments in the Antarctic Peninsula for the late Eocene-to-early Pliocene time interval.</t>
  </si>
  <si>
    <t>[Bohaty, Steven M.] Univ Calif Santa Cruz, Earth &amp; Planetary Sci Dept, Santa Cruz, CA 95064 USA; [Kulhanek, Denise K.; Wise, Sherwood W., Jr.; Jemison, Kelly] Florida State Univ, Dept Earth Ocean &amp; Atmospher Sci, Tallahassee, FL 32306 USA; [Warny, Sophie] Louisiana State Univ, Dept Geol &amp; Geophys, Baton Rouge, LA 70803 USA; [Warny, Sophie] Louisiana State Univ, Museum Nat Sci, Baton Rouge, LA 70803 USA; [Sjunneskog, Charlotte] Florida State Univ, Antarctic Res Facil, Tallahassee, FL 32306 USA</t>
  </si>
  <si>
    <t>University of California System; University of California Santa Cruz; State University System of Florida; Florida State University; Louisiana State University System; Louisiana State University; Louisiana State University System; Louisiana State University; State University System of Florida; Florida State University</t>
  </si>
  <si>
    <t>Bohaty, SM (corresponding author), Univ Southampton, Natl Oceanog Ctr, Sch Ocean &amp; Earth Sci, European Way, Southampton SO14 3ZH, Hants, England.</t>
  </si>
  <si>
    <t>S.Bohaty@noc.soton.ac.uk</t>
  </si>
  <si>
    <t>Warny, Sophie A/A-8226-2013</t>
  </si>
  <si>
    <t>Kulhanek, Denise/0000-0002-2156-6383; Warny, Sophie/0000-0002-3451-040X</t>
  </si>
  <si>
    <t>Office of Polar Programs (OPP); Directorate For Geosciences [1048343] Funding Source: National Science Foundation</t>
  </si>
  <si>
    <t>Office of Polar Programs (OPP); Directorate For Geosciences(National Science Foundation (NSF)NSF - Directorate for Geosciences (GEO))</t>
  </si>
  <si>
    <t>10.1029/2010SP001049</t>
  </si>
  <si>
    <t>WOS:000300647100005</t>
  </si>
  <si>
    <t>Jovane, L; Verosub, KL</t>
  </si>
  <si>
    <t>Jovane, Luigi; Verosub, Kenneth L.</t>
  </si>
  <si>
    <t>Magnetic Properties of Oligocene-Eocene Cores From SHALDRIL II, Antarctica</t>
  </si>
  <si>
    <t>GRAIN-SIZE; CARBON-CYCLE; GLACIATION; TRANSITION; MARGIN; DEEP; SEDIMENTS</t>
  </si>
  <si>
    <t>The past climate of Antarctica is generally recognized as an important component for understanding modern climate processes. One of the most significant events in the Antarctic climate record is the Oi-1 climate change (33.55 Ma), which marked the onset of continent-wide glaciation in Antarctica at the beginning of the Oligocene and which turned the world 3 degrees C-4 degrees C colder in a single and abrupt event. Outcropping sedimentary sections of this time period are not globally abundant; moreover, only a few marine cores are available, and sites around the Antarctic continent from this period are especially lacking. We studied the magnetic properties of two cores collected from the Antarctic Peninsula in 2006 by the research vessel icebreaker Nathaniel B. Palmer during the SHALDRIL II expedition. The cores provide information about variations in magnetic properties during the late Eocene and late Oligocene. Mineral magnetic parameters show that the mineralogy and grain size of the magnetic carriers did not vary significantly between the Eocene and the Oligocene. However, the concentration of magnetic material is higher in the Oligocene section than in the Eocene section. This increase in the delivery of magnetic material into the basin is probably due to an increased sediment flux caused by icebergs or other ice-related processes. Small-amplitude variations in the magnetic parameters of the Oligocene section suggest a periodically forced process driving the flux of magnetic particles.</t>
  </si>
  <si>
    <t>[Jovane, Luigi] Western Washington Univ, Dept Geol, Bellingham, WA 98225 USA; [Verosub, Kenneth L.] Univ Calif Davis, Dept Geol, Davis, CA 95616 USA</t>
  </si>
  <si>
    <t>Western Washington University; University of California System; University of California Davis</t>
  </si>
  <si>
    <t>Jovane, L (corresponding author), Univ Sao Paulo, Inst Oceanog, Praca Oceanog 191, BR-05508120 Sao Paulo, Brazil.</t>
  </si>
  <si>
    <t>luigijovane@gmail.com</t>
  </si>
  <si>
    <t>Jovane, Luigi/AAH-5438-2020; Jovane, Luigi/E-7536-2012</t>
  </si>
  <si>
    <t>Jovane, Luigi/0000-0003-4348-4714;</t>
  </si>
  <si>
    <t>10.1029/2011SP001100</t>
  </si>
  <si>
    <t>WOS:000300647100006</t>
  </si>
  <si>
    <t>Wellner, JS; Anderson, JB; Ehrmann, W; Weaver, FM; Kirshner, A; Livsey, D; Simms, AR</t>
  </si>
  <si>
    <t>Wellner, Julia S.; Anderson, John B.; Ehrmann, Werner; Weaver, Fred M.; Kirshner, Alexandra; Livsey, Daniel; Simms, Alexander R.</t>
  </si>
  <si>
    <t>History of an Evolving Ice Sheet as Recorded in SHALDRIL Cores From the Northwestern Weddell Sea, Antarctica</t>
  </si>
  <si>
    <t>CLAY MINERAL ASSEMBLAGES; EOCENE CLIMATE; SEYMOUR ISLAND; EAST ANTARCTICA; MCMURDO SOUND; PENINSULA; MIOCENE; SEDIMENTS; RECOGNITION; CONTOURITES</t>
  </si>
  <si>
    <t>During 2006, the SHALDRIL program recovered cores of Eocene through Pliocene material at four locations in the northwestern Weddell Sea, each representing a key period in the evolution of the Antarctic Peninsula ice cap. The recovered cores are not continuous, yet they provide a record of climate change with samples from the late Eocene, late Oligocene, middle Miocene, and early Pliocene and represent the only series of samples recovered from the northwestern Weddell Sea and spanning the Cenozoic and the initial growth of the peninsula ice cap. Late Eocene sediments sampled in the James Ross Basin are typically characterized by very dark greenish-gray muddy fine sand with some preserved burrowing and are interpreted to represent a shallow water continental shelf setting. Rare dropstones, primarily of well-cemented sandstones and minor ice-rafted material consisting of angular grains with glacially influenced surface features record the onset of mountain glaciation, the earliest such evidence in the region. The remaining cores were collected on the Joinville Plateau to the north of the James Ross Basin. The late Oligocene sediments consist of dark gray sandy mud with some clay lenses and many burrows, likely representing a distal delta or shelf setting. This core contains only very few and small dropstones, and the individual grains show decreased angularity and fewer glacial surface features relative to late Eocene deposits. The middle Miocene strata are composed of pebbly gray diamicton, representing proximal glacimarine sediments. The lower Pliocene section also contains many ice-rafted pebbles but is dominated by sandy units rather than diamicton and is interpreted to represent a current-winnowed deposit, similar to the modern contour current-influenced sediments of the region.</t>
  </si>
  <si>
    <t>[Wellner, Julia S.] Univ Houston, Dept Earth &amp; Atmospher Sci, Houston, TX 77204 USA; [Anderson, John B.; Weaver, Fred M.; Kirshner, Alexandra] Rice Univ, Dept Earth Sci, Houston, TX 77005 USA; [Ehrmann, Werner] Univ Leipzig, Inst Geophys &amp; Geol, D-04103 Leipzig, Germany; [Livsey, Daniel; Simms, Alexander R.] Univ Calif Santa Barbara, Dept Earth Sci, Santa Barbara, CA 93106 USA</t>
  </si>
  <si>
    <t>University of Houston System; University of Houston; Rice University; Leipzig University; University of California System; University of California Santa Barbara</t>
  </si>
  <si>
    <t>Wellner, JS (corresponding author), Univ Houston, Dept Earth &amp; Atmospher Sci, Houston, TX 77204 USA.</t>
  </si>
  <si>
    <t>jwellner@uh.edu</t>
  </si>
  <si>
    <t>Kirshner, Alexandra E/E-5151-2011; Livsey, Daniel/AAI-9753-2021; Simms, Alexander R/E-5609-2012</t>
  </si>
  <si>
    <t>Livsey, Daniel/0000-0002-2028-6128; Simms, Alexander/0000-0001-5034-2189</t>
  </si>
  <si>
    <t>10.1029/2010SP001047</t>
  </si>
  <si>
    <t>WOS:000300647100007</t>
  </si>
  <si>
    <t>Kirshner, AE; Anderson, JB</t>
  </si>
  <si>
    <t>Kirshner, Alexandra E.; Anderson, John B.</t>
  </si>
  <si>
    <t>Cenozoic Glacial History of the Northern Antarctic Peninsula: A Micromorphological Investigation of Quartz Sand Grains</t>
  </si>
  <si>
    <t>SCANNING-ELECTRON-MICROSCOPY; ICE; ESTONIA; RECORD; TILLS</t>
  </si>
  <si>
    <t>Glacial transport, owing to its high shear-stress regime, imparts a unique suite of microtextures on quartz grains. Here we examine surface textures of quartz sand grains from expedition SHALDRILI and II and from an outcrop on Seymour Island, Antarctic Peninsula. The samples range in age from Eocene to Pleistocene and provide a record of the onset of glaciation regionally. The Eocene La Meseta Formation, Seymour Island, is void of any high-stress microtextures, supporting earlier interpretations that this unit is free of glacial influence. The inception of glacially derived high-stress microtextures and a very low occurrence of subparallel linear fractures on quartz grains begins in the late Eocene, marking the onset of alpine glaciation. Oligocene grains exhibit a continued presence of glacially derived microtextures, with a similar style to the late Eocene sediments. The morphological character changes in the middle Miocene. The middle Miocene microtextures are characteristic of transport from large ice sheets, displaying an increase in high-stress microtextures such as grooves, deep troughs, and crescentic gouges, an elevated degree of physical weathering, and an increased abundance of subparallel linear fractures. This is due to larger transit distances by ice rafting from the West Antarctic Ice Sheet. The Pliocene and Pleistocene samples contain abundant glacial microtextures, consistent with other evidence for the existence of the northern Antarctic Peninsula Ice Sheet at this time.</t>
  </si>
  <si>
    <t>[Kirshner, Alexandra E.; Anderson, John B.] Rice Univ, Dept Earth Sci, Houston, TX 77005 USA</t>
  </si>
  <si>
    <t>Kirshner, AE (corresponding author), Rice Univ, Dept Earth Sci, 6100 S Main,MS 126, Houston, TX 77005 USA.</t>
  </si>
  <si>
    <t>kirshner@rice.edu</t>
  </si>
  <si>
    <t>Kirshner, Alexandra E/E-5151-2011</t>
  </si>
  <si>
    <t>10.1029/2010SP001046</t>
  </si>
  <si>
    <t>WOS:000300647100008</t>
  </si>
  <si>
    <t>Warny, S; Askin, R</t>
  </si>
  <si>
    <t>Warny, Sophie; Askin, Rosemary</t>
  </si>
  <si>
    <t>Last Remnants of Cenozoic Vegetation and Organic-Walled Phytoplankton in the Antarctic Peninsula's Icehouse World</t>
  </si>
  <si>
    <t>SHEET GROUNDING EVENTS; MA; PALYNOMORPHS; PALYNOLOGY; OLIGOCENE; ISLANDS; SEA</t>
  </si>
  <si>
    <t>A late Oligocene, a middle Miocene, and two adjacent Pliocene sections were sampled off the coast of the Antarctic Peninsula in shelf sediments on the Joinville Plateau, Weddell Sea. Drilling was conducted from the research vessel icebreaker Nathaniel B. Palmer during the 2006 SHALDRIL campaign. The drill holes recovered sediment cores that each span a short interval of time because of extensive sea ice constraints during drilling. Despite this limitation, the palynomorphs extracted from these sediments help constrain the region's past environmental conditions during three periods of the icehouse world and confirm that tundra vegetation persisted in the Antarctic Peninsula up to at least 12.8 Ma. The terrestrial palynological data reflect southern beech and conifer-dominated woodlands and tundra during the Oligocene, with reduction to pockets of tundra with probably stunted beech and podocarp conifers by the middle Miocene. During both the Oligocene and the Miocene, the phytoplankton were dominated by small sea ice-tolerant opportunistic species taking advantage of the migration of most dinoflagellate cysts to more hospitable parts of the ocean. By the Pliocene, only limited pockets of vegetation may have existed.</t>
  </si>
  <si>
    <t>[Warny, Sophie] Louisiana State Univ, Dept Geol &amp; Geophys, Baton Rouge, LA 70803 USA; [Warny, Sophie] Louisiana State Univ, Museum Nat Sci, Baton Rouge, LA 70803 USA</t>
  </si>
  <si>
    <t>Louisiana State University System; Louisiana State University; Louisiana State University System; Louisiana State University</t>
  </si>
  <si>
    <t>Warny, S (corresponding author), Louisiana State Univ, Dept Geol &amp; Geophys, Baton Rouge, LA 70803 USA.</t>
  </si>
  <si>
    <t>swarny@lsu.edu</t>
  </si>
  <si>
    <t>Warny, Sophie/0000-0002-3451-040X</t>
  </si>
  <si>
    <t>10.1029/2010SP000996</t>
  </si>
  <si>
    <t>WOS:000300647100009</t>
  </si>
  <si>
    <t>Vegetation and Organic-Walled Phytoplankton at the End of the Antarctic Greenhouse World: Latest Eocene Cooling Events</t>
  </si>
  <si>
    <t>SEYMOUR ISLAND; PALYNOMORPHS; GLACIATION; CARBON; SEA</t>
  </si>
  <si>
    <t>The NBP0602A-3C SHALDRIL section collected in the Weddell Sea recovered a key stratigraphic interval that captured the response of plants and organic-walled phytoplankton during the first marked increase in delta O-18 followed by the large reduction in atmospheric CO2 in the late Eocene around 36 Ma. Well-preserved palynomorphs recovered from in situ shelf sediments provide evidence of a cooling event followed by a marked sea level drop around 36 Ma. Terrestrial palynomorphs indicate that at the time of deposition, southern beech-dominated and conifer forest vegetation was abundant but with lower diversity and signifying colder climates than for most of the La Meseta Formation on Seymour Island. The marine palynomorph assemblage is dominated by Vozzhennikovia apertura. This low-diversity, high-dominance dinoflagellate cyst assemblage is also a sign of deteriorating conditions. Particularly notable is the marked increase in the uppermost Eocene samples of reworked dinoflagellates and acritarchs of Cretaceous age. This suggests significant erosion and redeposition of nearby Campanian-Maastrichtian sections during a marked drop in sea level. Based on the biostratigraphy and a single isotopic date, it is likely that the cooling and subsequent lowering of sea level can be correlated to the brief spike in delta O-18-enriched values shown by the Zachos et al. (2001) curve in the Priabonian. According to Zachos et al. (2008), this event occurs at a time when lowest carbon dioxide atmospheric concentrations were between 600 and 980 ppmv, giving us some perspectives as to what could be expected when the current CO2 atmospheric concentration is at least doubled.</t>
  </si>
  <si>
    <t>Directorate For Geosciences; Office of Polar Programs (OPP) [1048343] Funding Source: National Science Foundation</t>
  </si>
  <si>
    <t>Directorate For Geosciences; Office of Polar Programs (OPP)(National Science Foundation (NSF)NSF - Directorate for Geosciences (GEO))</t>
  </si>
  <si>
    <t>10.1029/2010SP000965</t>
  </si>
  <si>
    <t>WOS:000300647100010</t>
  </si>
  <si>
    <t>Berkman, PA</t>
  </si>
  <si>
    <t>Berkman, PA; Lang, MA; Walton, DWH; Young, OR</t>
  </si>
  <si>
    <t>Berkman, Paul Arthur</t>
  </si>
  <si>
    <t>President Eisenhower, the Antarctic Treaty, and the Origin of International Spaces</t>
  </si>
  <si>
    <t>SCIENCE DIPLOMACY: ANTARCTICA, SCIENCE, AND THE GOVERNANCE OF INTERNATIONAL SPACES</t>
  </si>
  <si>
    <t>Antarctic Treaty Summit: Science-Policy Interactions in International Goverance</t>
  </si>
  <si>
    <t>NOV 30-DEC 03, 2009</t>
  </si>
  <si>
    <t>Smithsonian Inst, Washington, DC</t>
  </si>
  <si>
    <t>Smithsonian Inst</t>
  </si>
  <si>
    <t>The late 1940s and early 1950s was a dangerous period of cold war posturing, with few bridges between the United States and Soviet Union. Nuclear weapons were a reality, and ballistic missiles were inevitable. It was during this period in the wake of World War IT (as revealed in minutes of U.S. National Security Council meetings from 1954 to 1959) when President Eisenhower became the catalyst for an unprecedented mixture of global strategies to achieve a day of freedom and of peace for all mankind. One of the possibilities was to create an international status for the Antarctic area, as suggested in the draft agreement that was circulated by the United States to the seven claimant nations in 1948. Planning also was underway for the International Geophysical Year (IGY) in 1957-1958 with scientific satellites anticipated to advance upper atmospheric research and promote the freedom of space, which was seen to be analogous to the long-standing concept of the freedom of the seas. In support of this space policy, the White House restrained the Army Ballistic Missile Agency from launching its Jupiter-C rocket into orbit in September 1956, which enabled the freedom of space to emerge with the IGY launch of Sputnik in October 1957. Building on this momentum of scientific cooperation, in May 1958, President Eisenhower invited the Soviet Union and the 10 other nations involved with Antarctic research to begin secret negotiations that would result in adoption of the Antarctic Treaty in Washington, D.C., on 1 December 1959, creating an international space forever to be used exclusively for peaceful purposes ... with the interests of science and the progress of all mankind. Following the 1958 Convention on the High Seas that had created the initial international space beyond sovereign jurisdictions, the Antarctic Treaty also became the first nuclear arms agreement with nonarmament and peaceful-use provisions that would become precedents for the outer-space and the deep-sea regimes that further established these areas as international spaces. The statesmanship of President Eisenhower that led to the Antarctic Treaty and the other international spaces demonstrates the role of science as a tool of diplomacy to build on the common interests of allies and adversaries alike for the lasting benefit of all humanity.</t>
  </si>
  <si>
    <t>[Berkman, Paul Arthur] Univ Cambridge, Scott Polar Res Inst, Cambridge CB2 1ER, England</t>
  </si>
  <si>
    <t>University of Cambridge</t>
  </si>
  <si>
    <t>pb426@cam.ac.uk; pb426@cam.ac.uk</t>
  </si>
  <si>
    <t>SMITHSONIAN INST SCHOLARLY PRESS</t>
  </si>
  <si>
    <t>PO BOX 37012, MRC 957, WASHINGTON, DC 20013-7012 USA</t>
  </si>
  <si>
    <t>978-1-935623-06-9</t>
  </si>
  <si>
    <t>Environmental Studies; International Relations</t>
  </si>
  <si>
    <t>Conference Proceedings Citation Index - Social Science &amp; Humanities (CPCI-SSH)</t>
  </si>
  <si>
    <t>Environmental Sciences &amp; Ecology; International Relations</t>
  </si>
  <si>
    <t>BZC55</t>
  </si>
  <si>
    <t>WOS:000301091500002</t>
  </si>
  <si>
    <t>Triggs, G</t>
  </si>
  <si>
    <t>Triggs, Gillian</t>
  </si>
  <si>
    <t>The Antarctic Treaty System: A Model of Legal Creativity and Cooperation</t>
  </si>
  <si>
    <t>The Antarctic Treaty System (ATS), founded upon the Antarctic Treaty of 1959, has proved to be one of the successes of twentieth century international law and diplomacy. Over the last 50 years, the Antarctic Treaty has preserved the Antarctic continent as a zone of peace and cooperative scientific research and provided an effective model for the management of regions beyond the limits of national jurisdiction according to common values. The reasons for this success are, however, by no means obvious to the casual observer. The language of the treaty itself and of the related conventions on seals, marine living resources, and minerals and the Protocol on Environmental Protection is deliberately ambiguous and vague. The regime has weak inspection, enforcement, and governance mechanisms and has been slow to respond to conflict in the Southern Ocean over whaling and unregulated fishing. A key to understanding both the successes and limitations of the ATS lies in the differing juridical positions of the member states on sovereign claims to Antarctic territory. Every ATS agreement, measure, and decision and state practices in respect to Antarctica should be viewed through the prism of these national perspectives on sovereignty. This paper sets out the evolution of the ATS and explores the fundamental role of Article IV and sovereign neutrality as the glue that binds the Antarctic Treaty and its interlinked measures, decisions, and agreements. Article IV has enabled the Consultative Parties to sidestep potential conflicts over territorial claims and to manage activities in Antarctica in the wider interests of the international community. For the second decade of the twenty-first century, the vital question is whether the ATS is capable of responding effectively to the challenges posed by illegal fishing and whaling, climate change, commercial tourism, energy, and human security. The litigation in the Japanese Whaling case, brought by the Humane Society International in the Australian Federal Court, provides a salutary warning of the risks to the ATS of unilateral assertions of national jurisdiction over activities in the Antarctic region. The Consultative Parties are now on notice to justify the legitimacy of their mandate and to demonstrate the capacity of the ATS to respond to contemporary Antarctic issues. The 50-year historical evolution of the ATS and its demonstrated capacity for dynamic growth suggest that the regime and its members have the flexibility and political will to maintain its success in the future.</t>
  </si>
  <si>
    <t>[Triggs, Gillian] Univ Sydney, Sydney Law Sch, Sydney, NSW 2006, Australia</t>
  </si>
  <si>
    <t>g.triggs@usyd.edu.au</t>
  </si>
  <si>
    <t>WOS:000301091500004</t>
  </si>
  <si>
    <t>Elzinga, A</t>
  </si>
  <si>
    <t>Elzinga, Aant</t>
  </si>
  <si>
    <t>Origin and Limitations of the Antarctic Treaty</t>
  </si>
  <si>
    <t>[Elzinga, Aant] Univ Gothenburg, Dept Philosophy Linguist &amp; Theory Sci, SE-40530 Gothenburg, Sweden</t>
  </si>
  <si>
    <t>University of Gothenburg</t>
  </si>
  <si>
    <t>Aant.Elzinga@theorysc.gu.se</t>
  </si>
  <si>
    <t>WOS:000301091500006</t>
  </si>
  <si>
    <t>Roots, EF</t>
  </si>
  <si>
    <t>Roots, Ernest Frederick</t>
  </si>
  <si>
    <t>Background and Evolution of Some Ideas and Values That Have Led to the Antarctic Treaty</t>
  </si>
  <si>
    <t>[Roots, Ernest Frederick] Environm Canada, Sooke, BC V9Z 1A6, Canada</t>
  </si>
  <si>
    <t>Environment &amp; Climate Change Canada</t>
  </si>
  <si>
    <t>fred.roots@ec.gc.ca</t>
  </si>
  <si>
    <t>WOS:000301091500007</t>
  </si>
  <si>
    <t>Walton, DWH</t>
  </si>
  <si>
    <t>Walton, David W. H.</t>
  </si>
  <si>
    <t>The Scientific Committee on Antarctic Research and the Antarctic Treaty</t>
  </si>
  <si>
    <t>Antarctic Treaty Summit: Science-Policy Interactions in International Governance</t>
  </si>
  <si>
    <t>The Scientific Committee on Antarctic Research (SCAR) had its antecedents in the Special Committee on Antarctic Research of the International Geophysical Year, and thus its establishment in 1958 predates the Antarctic Treaty. As a body of the International Council for Science (ICSU, formerly the International Council of Scientific Unions) it is a nongovernmental organization, yet it has been intimately linked to the governmental discussions at the Antarctic Treaty since the first Antarctic Treaty meeting in 1961. Its primary role has always been to develop and coordinate international scientific research, but it has also provided independent advice to Treaty Parties on many scientific and environmental questions, initially through national government delegations. Only in 1987 was SCAR itself granted the status of observer and the right to attend Antarctic Treaty Consultative Meetings (ATCMs) and to submit information and working papers. This paper looks at the changing relationship between SCAR and the Treaty Parties, at some of its most important science inputs to the ATCM, and at the way SCAR itself has changed. Its earliest input to governance was advice on conservation that became the Agreed Measures for the Conservation of Antarctic Fauna and Flora of 1964, and for the first 40 years of the Antarctic Treaty, SCAR provided major input on protected areas and protected species, as well as environmental impact and monitoring. Its proposals for seal conservation and management gave it a specific role in the Convention for the Conservation of Antarctic Seals, and its Biological Investigations of Marine Antarctic Systems and Stocks (BIOMASS) programme laid the foundations for the Convention for the Conservation of Antarctic Marine Living Resources (CCAMLR). Its nonpolitical stance has allowed it to provide the only unified gazetteer for the Antarctic. The organization of SCAR remained virtually unchanged for around 30 years until the logisticians split to form the Council of Managers of National Antarctic Programs (COMNAP) in 1989. The organization was languishing, but a major review of structure and function changed that in 2000, resulting in the establishment of Open Science Conferences, major new international programmes, increased educational outreach, and a greater input to the annual Antarctic Treaty meetings, often on controversial subjects like marine acoustics or specially protected species. There are currently 31 full members with 4 associate members and 9 ICSU union members.</t>
  </si>
  <si>
    <t>[Walton, David W. H.] British Antarctic Survey, Nat Environm Res Council, Cambridge CB3 0ET, England</t>
  </si>
  <si>
    <t>dwhw@bas.ac.uk</t>
  </si>
  <si>
    <t>WOS:000301091500009</t>
  </si>
  <si>
    <t>Joyner, CC</t>
  </si>
  <si>
    <t>Joyner, Christopher C.</t>
  </si>
  <si>
    <t>Potential Challenges to the Antarctic Treaty</t>
  </si>
  <si>
    <t>[Joyner, Christopher C.] Georgetown Univ, Dept Govt, Washington, DC 20057 USA</t>
  </si>
  <si>
    <t>Georgetown University</t>
  </si>
  <si>
    <t>joynerc@georgetown.edu</t>
  </si>
  <si>
    <t>WOS:000301091500011</t>
  </si>
  <si>
    <t>Miller, D</t>
  </si>
  <si>
    <t>Miller, Denzil</t>
  </si>
  <si>
    <t>Sustainable Management in the Southern Ocean: CCAMLR Science</t>
  </si>
  <si>
    <t>ANTARCTIC MARINE ECOSYSTEM; MANAGING FISHERIES; LIVING RESOURCES; KRILL; CONSERVATION; TOOTHFISH; MODELS; UNITS</t>
  </si>
  <si>
    <t>The Antarctic Treaty System promotes science as the basis for conserving and managing Antarctic resources. The 1980 Convention on the Conservation of Antarctic Marine Living Resources (CAMLR Convention) further advocates science, as well as a precautionary approach and ecosystem perspective to manage harvesting of Antarctic marine living resources. This review presents case studies to illustrate the CAMLR Commission's (CCAMLR) use of science, precaution, and an ecosystem approach to managing Antarctic fisheries. The case studies illustrate CCAMLR's use of small-scale management units, bycatch measures, spatial management measures, and ecosystem-directed initiatives. These various studies highlight the value of science to CCAMLR's management efforts and the utility of CCAMLR as a model of large-scale marine ecosystem management.</t>
  </si>
  <si>
    <t>[Miller, Denzil] Univ Tasmania, Inst Marine &amp; Antarctic Studies, Hobart, Tas 7001, Australia</t>
  </si>
  <si>
    <t>denzilgmiller@gmail.com</t>
  </si>
  <si>
    <t>WOS:000301091500012</t>
  </si>
  <si>
    <t>Sarma, KM; Andersen, SO</t>
  </si>
  <si>
    <t>Sarma, K. Madhava; Andersen, Stephen O.</t>
  </si>
  <si>
    <t>Science and Diplomacy: Montreal Protocol on Substances that Deplete the Ozone Layer</t>
  </si>
  <si>
    <t>ANTARCTICA</t>
  </si>
  <si>
    <t>The ozone layer forms a thin shield in the stratosphere, protecting life on Earth from harmful ultraviolet radiation. Emissions of ozone-depleting substances (ODS) used in many sectors (such as refrigeration, air-conditioning, foams, and firefighting) destroy stratospheric ozone. Increased ultraviolet radiation from major depletion of stratospheric ozone can cause increases in skin cancer and cataracts, weaken the human immune systems, damage some agricultural crops, impact natural ecosystems, and degrade materials such as plastic. The Montreal Protocol on Substances that Deplete the Ozone Layer seeks worldwide phaseout of the production and consumption of ODS. Scientists confirmed that the protocol is working and that the ozone layer is on its way to recovery around the year 2050. Science and technology, including research at Antarctic stations proving that manufactured chemicals destroy stratospheric ozone and cause the Antarctic ozone hole, played important roles in the evolution and success of the protocol. Scientists provided early warning about the issue, discovered the Antarctic ozone hole, and linked it to CFC emissions and, along with nongovernmental organizations and the media, informed the public. The United Nations Environment Programme facilitated negotiations by governments. Science and technology panels of the protocol verified the performance of and facilitated periodical strengthening of the protocol. The scientific findings stimulated and motivated industry to innovation of alternatives to ODS. The protocol promoted universal participation, early action, continuous learning, and progressively tougher action. The protocol's Multilateral Fund and its implementing agencies assisted developing countries through technology transfer, creation of national focal points and networks, training, and introduction of regulations and policies.</t>
  </si>
  <si>
    <t>[Sarma, K. Madhava] United Nations Environm Programme, Chennai, Tamil Nadu, India; [Andersen, Stephen O.] Montreal Protocol Technol &amp; Econ Assessment Panel, Barnard, VT 05031 USA</t>
  </si>
  <si>
    <t>Sarma, KM (corresponding author), United Nations Environm Programme, Chennai, Tamil Nadu, India.</t>
  </si>
  <si>
    <t>soliverandersen@aol.com</t>
  </si>
  <si>
    <t>WOS:000301091500013</t>
  </si>
  <si>
    <t>Kerrest, A</t>
  </si>
  <si>
    <t>Kerrest, Armel</t>
  </si>
  <si>
    <t>Outer Space as International Space: Lessons from Antarctica</t>
  </si>
  <si>
    <t>[Kerrest, Armel] Univ Europeenne Bretagne, F-29000 Brest, France</t>
  </si>
  <si>
    <t>Universite de Bretagne Occidentale</t>
  </si>
  <si>
    <t>Armel.Kerrest@univ-brest.fr</t>
  </si>
  <si>
    <t>WOS:000301091500014</t>
  </si>
  <si>
    <t>Kennicutt, M</t>
  </si>
  <si>
    <t>Kennicutt, Mahlon, II</t>
  </si>
  <si>
    <t>New Frontiers and Future Directions in Antarctic Science</t>
  </si>
  <si>
    <t>The study of Antarctica and the Southern Ocean, and their role in the Earth system, has never been more important as the region experiences change that has global implications. The Antarctic region is a natural laboratory for scientific research of importance in its own right and impossible to achieve elsewhere on the planet. Understanding the Earth system, its components, connections and feedbacks is a major endeavour of contemporary Antarctic science. The following on-going and emerging research activities will be a continued focus of Antarctic research in the coming years: past, current and future climate change; the systematic response of Antarctica to change; understanding Antarctic biodiversity, evolution and ecology; exploration and modelling of ice dynamics and sub-ice environments; ocean, ice, atmospheric and cryospheric observing and modelling; linkages and teleconnections between polar regions and the Earth system; and the poles as a vantage point to observe Earth, near-Earth space, the Solar System and beyond. The Scientific Committee on Antarctic Research (SCAR) is a leader in facilitating international, interdisciplinary science in Antarctica, and through its portfolio of scientific projects, committees, and programs provides a venue for partnerships and exchange of the latest findings. The SCAR accomplishes its scientific mission in close partnership with a wide range of organizations, including the Council of Managers of National Antarctic Programs, the Convention for the Conservation of Antarctic Marine Living Resources, the Scientific Committee on Oceanic Research, the Association of Polar Early Career Scientists, and the International Arctic Science Committee. The SCAR works to ensure that maximum value is derived from the Antarctic research. Emerging frontiers and new directions in Antarctic science continue the historical recognition of the value of the Antarctic as a reserve for science and peace.</t>
  </si>
  <si>
    <t>[Kennicutt, Mahlon, II] Texas A&amp;M Univ, Sci Comm Antarctic Res, Dept Oceanog, College Stn, TX 77843 USA</t>
  </si>
  <si>
    <t>Texas A&amp;M University System; Texas A&amp;M University College Station</t>
  </si>
  <si>
    <t>m-kennicutt@tamu.edu</t>
  </si>
  <si>
    <t>WOS:000301091500016</t>
  </si>
  <si>
    <t>Petit, JR</t>
  </si>
  <si>
    <t>Petit, Jean Robert</t>
  </si>
  <si>
    <t>The Vostok Venture: An Outcome of the Antarctic Treaty</t>
  </si>
  <si>
    <t>LAKE VOSTOK; ICE-CORE; SUBGLACIAL LAKE; ATMOSPHERIC CH4; CLIMATE; RECORD</t>
  </si>
  <si>
    <t>[Petit, Jean Robert] Univ Grenoble 1, Lab Glaciol &amp; Geophys Environm, Ctr Natl Rech Sci, F-38402 St Martin Dheres, France</t>
  </si>
  <si>
    <t>Centre National de la Recherche Scientifique (CNRS); Communaute Universite Grenoble Alpes; Universite Grenoble Alpes (UGA)</t>
  </si>
  <si>
    <t>petit@lgge.obs.ujf-grenoble.fr</t>
  </si>
  <si>
    <t>WOS:000301091500018</t>
  </si>
  <si>
    <t>Rintoul, SR</t>
  </si>
  <si>
    <t>Rintoul, Stephen R.</t>
  </si>
  <si>
    <t>The Southern Ocean in the Earth System</t>
  </si>
  <si>
    <t>ANTARCTIC CIRCUMPOLAR CURRENT; SEA-ICE; BOTTOM WATER; ATLANTIC-OCEAN; CLIMATE-CHANGE; VARIABILITY; EXTENT; CALCIFICATION; ACIDIFICATION; PENINSULA</t>
  </si>
  <si>
    <t>Southern Ocean processes influence climate and biogeochernical cycles on global scales. The Southern Ocean connects the ocean basins and links the shallow and deep limbs of the overturning circulation, a global-scale system of ocean currents that determines how much heat and carbon the ocean can store. The upwelling of deep waters releases carbon and returns nutrients that support biological productivity in the surface ocean; the compensating sinking of surface waters into the ocean interior sequesters carbon and heat and renews oxygen levels. The capacity of the ocean to moderate the pace of climate change is therefore controlled strongly by the circulation of the Southern Ocean. The future of the Antarctic ice sheet, and hence sea level rise, is increasingly understood to be determined by the rate at which the relatively warm ocean can melt floating glacial ice around the margin of Antarctica. Given the significance of the Southern Ocean to the Earth system, any change in the region would have impacts that extend well beyond the high southern latitudes. Recent studies suggest change is underway: the Southern Ocean is warming and freshening throughout most of the ocean depth; major currents are shifting to the south, causing regional changes in sea level and the distribution of organisms and supplying additional heat to melt ice around the rim of Antarctica; and the future of the Southern Ocean carbon sink is a topic of vigorous debate. Many of these discoveries are the result of the concerted multidisciplinary effort during the International Polar Year, which has provided an unprecedented view of the status of the Southern Ocean, a baseline for assessing change, and a demonstration of the feasibility, value, and timeliness of a Southern Ocean Observing System. The sustained observations of the Southern Ocean provided by such an observing system are essential to provide the knowledge needed to inform policy decisions and wise stewardship of the region.</t>
  </si>
  <si>
    <t>[Rintoul, Stephen R.] Ctr Australian Weather &amp; Climate Res, Hobart, Tas 7001, Australia</t>
  </si>
  <si>
    <t>Commonwealth Scientific &amp; Industrial Research Organisation (CSIRO)</t>
  </si>
  <si>
    <t>steve.rintoul@csiro.au</t>
  </si>
  <si>
    <t>Rintoul, Stephen R/A-1471-2012</t>
  </si>
  <si>
    <t>Rintoul, Stephen R/0000-0002-7055-9876</t>
  </si>
  <si>
    <t>WOS:000301091500019</t>
  </si>
  <si>
    <t>Solomon, S; Chanin, ML</t>
  </si>
  <si>
    <t>Solomon, Susan; Chanin, Marie-Lise</t>
  </si>
  <si>
    <t>The Antarctic Ozone Hole: A Unique Example of the Science and Policy Interface</t>
  </si>
  <si>
    <t>DEPLETION; CLIMATE</t>
  </si>
  <si>
    <t>The discovery of an unexpected large depletion of the Antarctic ozone layer in the 1980s attracted the attention of scientists, policymakers, and the public. The phenomenon quickly became known as the ozone hole. Observations established that the ozone losses were driven primarily by human-made compounds, chlorofluorocarbons and bromocarbons, whose chemistry is particularly enhanced for ozone loss under the extreme cold conditions of the Antarctic. Systematic long-term data of Antarctic total ozone date back to the 1950s at several international stations, and these key records owe their existence to the International Geophysical Year in 1957-1958 as well as to the Antarctic Treaty System. Although ozone depletion is greatest in the Antarctic, significant depletion has also been observed in the Arctic and at midlatitudes in both hemispheres. Ozone depletion enhances the ultraviolet light at the planet surface and thereby can damage ecosystems and some crops as well as increasing the incidence of human eye cataracts and skin cancer. These concerns led policymakers to agree to the Montreal Protocol on Substances that Deplete the Ozone Layer (Montreal Protocol) in 1987, and progressive advances in understanding the Antarctic ozone hole were important for the considerations by policy over the next 10 years that ultimately led to controls that have essentially phased out the production of chlorofluorocarbons and bromocarbons. Chlorofluorocarbons not only deplete ozone, but they are also greenhouse gases that contribute to climate change. It is not widely appreciated that the phaseout of the chlorofluorocarbons under the Montreal Protocol has probably contributed about five times more to mitigation of climate change than has occurred due to the Kyoto Protocol to the United Nations Framework Convention on Climate Change (Kyoto Protocol) to date. Thus, the Antarctic ozone hole and the subsequent scientific understanding and policy process have played key roles not only for ozone protection but also for climate protection.</t>
  </si>
  <si>
    <t>[Solomon, Susan] NOAA, Earth Syst Res Lab, Boulder, CO 80305 USA; [Chanin, Marie-Lise] Univ Versailles St Quentin, CNRS, Lab Atmospheres LATMOS, F-91370 Verrieres Le Buisson, France</t>
  </si>
  <si>
    <t>National Oceanic Atmospheric Admin (NOAA) - USA; Centre National de la Recherche Scientifique (CNRS); Universite Paris Saclay</t>
  </si>
  <si>
    <t>Solomon, S (corresponding author), NOAA, Earth Syst Res Lab, Boulder, CO 80305 USA.</t>
  </si>
  <si>
    <t>susan.solomon@noaa.gov; chanin@latmos.ipsl.fr</t>
  </si>
  <si>
    <t>WOS:000301091500020</t>
  </si>
  <si>
    <t>VanderZwaag, DL</t>
  </si>
  <si>
    <t>VanderZwaag, David L.</t>
  </si>
  <si>
    <t>Ocean Dumping and Fertilization in the Antarctic: Tangled Legal Currents, Sea of Challenges</t>
  </si>
  <si>
    <t>IRON FERTILIZATION</t>
  </si>
  <si>
    <t>The law and policy framework governing potential ocean disposals in the Antarctic is surveyed using two nautical images. First, the tangle of legal currents is described with a focus on six global agreements relevant to ocean dumping and the 1991 Protocol on Environmental Protection to the Antarctic Treaty (Madrid Protocol). The Madrid Protocol strictly controls the disposal of wastes generated in the Antarctic region through various removal obligations. Second, the sea of challenges surrounding effective control of ocean dumping is highlighted. Those challenges include ensuring full adoption and implementation of international agreements relevant to ocean dumping, getting an effective governance grip on ocean fertilization projects, and securing strong compliance with the two key global agreements targeting ocean dumping, the Convention on the Prevention of Marine Pollution by Dumping of Wastes and Other Matter, 1972 (London Convention) and the 1996 Protocol to the London Convention.</t>
  </si>
  <si>
    <t>[VanderZwaag, David L.] Dalhousie Univ, Law Inst, Schulich Sch Law Marine &amp; Environm, Halifax, NS B3H 4H9, Canada</t>
  </si>
  <si>
    <t>Dalhousie University</t>
  </si>
  <si>
    <t>david.vanderzwaag@dal.ca</t>
  </si>
  <si>
    <t>WOS:000301091500026</t>
  </si>
  <si>
    <t>Wolfrum, R</t>
  </si>
  <si>
    <t>Wolfrum, Ruediger</t>
  </si>
  <si>
    <t>Common Interests in the Ocean</t>
  </si>
  <si>
    <t>[Wolfrum, Ruediger] Max Planck Inst Comparat Publ Law &amp; Int Law, D-69120 Heidelberg, Germany</t>
  </si>
  <si>
    <t>Max Planck Society</t>
  </si>
  <si>
    <t>wolfrum@mpil.de</t>
  </si>
  <si>
    <t>WOS:000301091500031</t>
  </si>
  <si>
    <t>Young, OR</t>
  </si>
  <si>
    <t>Young, Oran R.</t>
  </si>
  <si>
    <t>Governing International Spaces: Antarctica and Beyond</t>
  </si>
  <si>
    <t>[Young, Oran R.] Univ Calif Santa Barbara, Bren Sch Environm Sci &amp; Management, Santa Barbara, CA 93106 USA</t>
  </si>
  <si>
    <t>University of California System; University of California Santa Barbara</t>
  </si>
  <si>
    <t>Oran.Young@gmail.com</t>
  </si>
  <si>
    <t>WOS:000301091500032</t>
  </si>
  <si>
    <t>Berkman, PA; Walton, DWH; Young, OR</t>
  </si>
  <si>
    <t>Berkman, Paul Arthur; Walton, David W. H.; Young, Oran R.</t>
  </si>
  <si>
    <t>Conclusions</t>
  </si>
  <si>
    <t>CLIMATE</t>
  </si>
  <si>
    <t>[Berkman, Paul Arthur; Walton, David W. H.; Young, Oran R.] Univ Cambridge, Scott Polar Res Inst, Cambridge CB2 1ER, England</t>
  </si>
  <si>
    <t>Berkman, PA (corresponding author), Univ Cambridge, Scott Polar Res Inst, Cambridge CB2 1ER, England.</t>
  </si>
  <si>
    <t>pb426@cam.ac.uk</t>
  </si>
  <si>
    <t>WOS:000301091500034</t>
  </si>
  <si>
    <t>Narayanan, AH; Brennan, P; Benjamin, R; Gillet-Chaulet, F; Nicholls, KW</t>
  </si>
  <si>
    <t>IEEE</t>
  </si>
  <si>
    <t>Narayanan, Arvind Hari; Brennan, Paul; Benjamin, Ralph; Gillet-Chaulet, Fabien; Nicholls, Keith W.</t>
  </si>
  <si>
    <t>ANTARCTIC ICE SHELF 3D CROSS SECTIONAL PROFILE IMAGING USING MIMO RADAR</t>
  </si>
  <si>
    <t>2011 IEEE INTERNATIONAL GEOSCIENCE AND REMOTE SENSING SYMPOSIUM (IGARSS)</t>
  </si>
  <si>
    <t>IEEE International Symposium on Geoscience and Remote Sensing IGARSS</t>
  </si>
  <si>
    <t>IEEE International Geoscience and Remote Sensing Symposium (IGARSS)</t>
  </si>
  <si>
    <t>JUL 24-29, 2011</t>
  </si>
  <si>
    <t>Vancouver, CANADA</t>
  </si>
  <si>
    <t>MIMO radar; GPR; Phased Array; Ice shelf; Digital beamforming</t>
  </si>
  <si>
    <t>Observation of the thickness of Antarctic ice shelves is vital for predicting the rise in sea levels caused by melting of the world's largest fresh water reservoir. This paper proposes a ground-based radar system using a MIMO phased array antenna layout to accurately monitor thickness changes and provide 2 dimensional cross-range information of the ice shelf. The radar system used to collect data is a Step Frequency (SFCW) Radar using multiple transmitting and receiving antennas which operate orthogonally in time. The MIMO antenna layout is shown together with the beam pattern from the associated virtual array. The aperture synthesis of the MIMO array using digital beamforming technique is discussed. Results of the aperture synthesis, showing the cross-range and depth profile of the ice shelf to be observed will be shown. The study conducted using the MIMO antennas is part of a future plan to replace the SFCW Radar system with an FMCW system that will allow long term deployments to observe variability in the rate of change of the ice shelf thickness. One of the conclusions of the paper is that a linear version of the MIMO array will make more efficient use of the antennas than a 2D version of the array.</t>
  </si>
  <si>
    <t>[Narayanan, Arvind Hari; Brennan, Paul; Benjamin, Ralph] UCL, London, England; [Gillet-Chaulet, Fabien] Lab Glaciol Geophys Environnment, Grenoble, France; [Nicholls, Keith W.] British Antarctic Survey, Cambridge, England</t>
  </si>
  <si>
    <t>University of London; University College London; UK Research &amp; Innovation (UKRI); Natural Environment Research Council (NERC); NERC British Antarctic Survey</t>
  </si>
  <si>
    <t>Narayanan, AH (corresponding author), UCL, London, England.</t>
  </si>
  <si>
    <t>a.narayanan@ee.ucl.ac.uk</t>
  </si>
  <si>
    <t>345 E 47TH ST, NEW YORK, NY 10017 USA</t>
  </si>
  <si>
    <t>2153-6996</t>
  </si>
  <si>
    <t>978-1-4577-1005-6</t>
  </si>
  <si>
    <t>INT GEOSCI REMOTE SE</t>
  </si>
  <si>
    <t>10.1109/IGARSS.2011.6048923</t>
  </si>
  <si>
    <t>Engineering, Electrical &amp; Electronic; Geosciences, Multidisciplinary; Remote Sensing</t>
  </si>
  <si>
    <t>Engineering; Geology; Remote Sensing</t>
  </si>
  <si>
    <t>BXX72</t>
  </si>
  <si>
    <t>WOS:000297496300045</t>
  </si>
  <si>
    <t>Han, H; Lee, H</t>
  </si>
  <si>
    <t>Han, Hyangsun; Lee, Hoonyol</t>
  </si>
  <si>
    <t>DISTINCTIVE CHARACTERISTICS OF GLACIAL ICE IN THE PR-GR SCATTER PLOTS OF AMSR-E NASA TEAM2 SEA ICE ALGORITHM</t>
  </si>
  <si>
    <t>AMSR-E; sea ice concentration; NASA Team2 algorithm; glacial ice; glacial ice concentration</t>
  </si>
  <si>
    <t>SNOW</t>
  </si>
  <si>
    <t>Sea ice concentration (SIC) calculated from the AMSR-E by using NASA Team2 (NT2) algorithm has proven to be very accurate over sea ice in Antarctic Ocean. When glacial ice such as icebergs and ice shelves are dominant in an AMSR-E footprint, the accuracy of NT2 algorithm is not well maintained. We extracted the concentrations of sea ice and glacial ice from two ENVISAT ASAR images of southern Antarctica, and compared them with NT2 SIC. The result showed that the NT2 algorithm underestimates the concentration of glacial ice. We also found that glacial ice occupies a unique region in the PR (polarization ratio), GR (spectral gradient ratio), PRR (rotated PR), and GR domain different from other types of ice such as ice type A, B, and C, and open water. This implies that glacial ice concentration can be added as a new category of ice to the NT2 algorithm.</t>
  </si>
  <si>
    <t>[Han, Hyangsun; Lee, Hoonyol] Kangwon Natl Univ, Dept Geophys, Chunchon, South Korea</t>
  </si>
  <si>
    <t>Kangwon National University</t>
  </si>
  <si>
    <t>Han, H (corresponding author), Kangwon Natl Univ, Dept Geophys, Chunchon, South Korea.</t>
  </si>
  <si>
    <t>Han, Hyangsun/AAE-7670-2022</t>
  </si>
  <si>
    <t>Han, Hyangsun/0000-0002-0414-519X; Lee, Hoonyol/0000-0002-5980-8640</t>
  </si>
  <si>
    <t>WOS:000297496302030</t>
  </si>
  <si>
    <t>Mitchell, AL; Ng, AHM; Yu, JH; Ge, L</t>
  </si>
  <si>
    <t>Mitchell, A. L.; Ng, A. H-M.; Yu, J. H.; Ge, L.</t>
  </si>
  <si>
    <t>Terrain characterisation of Heard, McDonald and Macquarie Islands using multi-frequency Interferometric Synthetic Aperture Radar (InSAR) data</t>
  </si>
  <si>
    <t>Synthetic Aperture Radar; interferometry; Antarctic; Digital Elevation Model; change detection</t>
  </si>
  <si>
    <t>This study investigates the use of multi-frequency (X- and L-band) Interferometric Synthetic Aperture Radar (InSAR) data for Digital Elevation Model (DEM) generation, coastline detection and land cover mapping over Heard, McDonald and Macquarie Islands in Australian Antarctic Territory. Conventional interferometric processing was applied to generate DEMs using recently acquired SAR data. The variable capacity to extract height information from X-and L-band SAR data was investigated. Elevation data was also compared with previously available DEMs generated using NASA JPL TOPSAR and RADARSAT-1 data. Land cover and surface dynamics and the capacity for coastline detection were also investigated using the multi-temporal, multi-frequency SAR intensity data. InSAR is invaluable as a source of elevation data and for extraction of land cover features and surface dynamics, especially in remote and cloud-affected regions such as the Antarctic.</t>
  </si>
  <si>
    <t>[Mitchell, A. L.] Univ New S Wales, Sch Biol Earth &amp; Environm Sci, Sydney, NSW, Australia; [Ng, A. H-M.; Yu, J. H.; Ge, L.] Univ New South Wales, Sch Surveying &amp; Spatial Informat Syst, Sydney, NSW, Australia</t>
  </si>
  <si>
    <t>University of New South Wales Sydney; University of New South Wales Sydney</t>
  </si>
  <si>
    <t>Mitchell, AL (corresponding author), Univ New S Wales, Sch Biol Earth &amp; Environm Sci, Sydney, NSW, Australia.</t>
  </si>
  <si>
    <t>a.mitchell@unsw.edu.au; hayman.ng@gmail.com; ru.eugene@gmail.com; l.ge@unsw.edu.au</t>
  </si>
  <si>
    <t>Ng, Alex Hay-Man/F-1236-2010</t>
  </si>
  <si>
    <t>Ng, Alex Hay-Man/0000-0002-8277-5509</t>
  </si>
  <si>
    <t>10.1109/IGARSS.2011.6049815</t>
  </si>
  <si>
    <t>WOS:000297496302221</t>
  </si>
  <si>
    <t>Macelloni, G; Brogioni, M; Pettinato, S; Zasso, R; Crepaz, A; Zaccaria, J; Padovan, B; Drinkwater, M</t>
  </si>
  <si>
    <t>Macelloni, Giovanni; Brogioni, Marco; Pettinato, Simone; Zasso, Renato; Crepaz, Andrea; Zaccaria, Jonathan; Padovan, Boris; Drinkwater, Mark</t>
  </si>
  <si>
    <t>MULTI-FREQUENCY MICROWAVE EMISSION OF THE EAST ANTARCTIC PLATEAU</t>
  </si>
  <si>
    <t>Antarctica; Microwave; Radiometry; AMSR-E; SMOS</t>
  </si>
  <si>
    <t>BRIGHTNESS TEMPERATURE</t>
  </si>
  <si>
    <t>In recent years there is growing interest, on the part of the remote sensing community, in using the Antarctic area for calibrating and validating data of the low-frequency satellite-borne microwave radiometers. In particular, the East Antarctic Plateau appears to be suited for this purpose. The reason of this interest lies in the size, structure, spatial homogeneity and thermal stability of this area. This is particularly interesting for low-frequency microwave radiometers since, due to the low extinction of dry snow, the upper ice sheet layer is almost transparent and the brightness temperature variability is therefore extremely small. In preparation for the November 2009 launch of the ESA's SMOS satellite, an experiment called DOMEX, which included radiometric L-band measurements was started in the Austral summer 2009. Data acquired in the campaign confirmed the temporal stability of the site. Comparison between ground and satellite data at L-band are also presented here. Moreover multi-frequency analysis of data collected over this area is performed by using SMOS and AMSR-E data.</t>
  </si>
  <si>
    <t>[Macelloni, Giovanni; Brogioni, Marco; Pettinato, Simone] CNR, IFAC, Florence, Italy; [Zasso, Renato; Crepaz, Andrea] CVA, ARPAV, Arabba, Italy; [Zaccaria, Jonathan; Padovan, Boris] PNRA, Florence, Italy; [Drinkwater, Mark] ESTEC, ESA, Noordwijk, Netherlands</t>
  </si>
  <si>
    <t>Consiglio Nazionale delle Ricerche (CNR); Istituto di Fisica Applicata Nello Carrara (IFAC-CNR); European Space Agency</t>
  </si>
  <si>
    <t>Macelloni, G (corresponding author), CNR, IFAC, Florence, Italy.</t>
  </si>
  <si>
    <t>Brogioni, Marco/B-7522-2015; Pettinato, Simone/H-6051-2019; Brogioni, Marco/Q-6583-2019; Macelloni, Giovanni/B-7518-2015; Drinkwater, Mark/C-2478-2011</t>
  </si>
  <si>
    <t>Brogioni, Marco/0000-0001-6232-6020; Pettinato, Simone/0000-0002-3155-8918; Brogioni, Marco/0000-0001-6232-6020; Drinkwater, Mark/0000-0002-9250-3806; MACELLONI, GIOVANNI/0000-0002-9738-7939</t>
  </si>
  <si>
    <t>ESA [20066/06/NL/EL, 22046/08/NL/EL]; PNRA</t>
  </si>
  <si>
    <t>ESA(European Space Agency); PNRA</t>
  </si>
  <si>
    <t>This study was carried out thanks to the financial support of ESA (ESA contracts N. 20066/06/NL/EL and 22046/08/NL/EL) and PNRA. The present research was made possible by the joint French-Italian Concordia Program, which established and runs the permanent station Concordia at Dome-C. The authors are grateful to the Italian-French logistic team at CONCORDIA Station for their kind assistance during the experimental campaign and to SMOS team at CESBIO for providing SMOS data.</t>
  </si>
  <si>
    <t>10.1109/IGARSS.2011.6049976</t>
  </si>
  <si>
    <t>WOS:000297496303121</t>
  </si>
  <si>
    <t>Jezek, K; Jaber, WA; Floricioiu, D</t>
  </si>
  <si>
    <t>Jezek, Kenneth; Jaber, Wael Abdel; Floricioiu, Dana</t>
  </si>
  <si>
    <t>TERRASAR-X OBSERVATIONS OF ANTARCTIC OUTLET GLACIERS IN THE ROSS SEA SECTOR</t>
  </si>
  <si>
    <t>TerraSAR-X; glacier velocity; Transantarctic Mountains; speckle tracking</t>
  </si>
  <si>
    <t>FLOW</t>
  </si>
  <si>
    <t>We discuss TerraSAR-X observations of two Transantarctic Mountain outlet glaciers, Nimrod and Byrd. High resolution TerraSAR-X data acquired over the area in late 2009 and late 2010 using left looking mode were processed to generate detailed 2D ice velocity maps by speckle tracking. The patterns of ice flow from East Antarctica to Ross Ice Shelf are analyzed and compared by means of longitudinal and transverse transects. Detailed knowledge about surface velocity is crucial for estimating the magnitude of ice flux and understanding the dynamics East Antarctica fast glaciers that discharge into the Ross Ice Shelf.</t>
  </si>
  <si>
    <t>[Jezek, Kenneth] Ohio State Univ, Byrd Polar Res Ctr, Columbus, OH 43210 USA; [Jaber, Wael Abdel; Floricioiu, Dana] DLR, IMF, Oberpfaffenhofen, Germany</t>
  </si>
  <si>
    <t>University System of Ohio; Ohio State University; Helmholtz Association; German Aerospace Centre (DLR)</t>
  </si>
  <si>
    <t>Jezek, K (corresponding author), Ohio State Univ, Byrd Polar Res Ctr, Columbus, OH 43210 USA.</t>
  </si>
  <si>
    <t>jezek@frosty.rsl.ohio-state.edu</t>
  </si>
  <si>
    <t>Jaber, Wael/Y-4713-2019</t>
  </si>
  <si>
    <t>NASA's IceBridge; TerraSAR-X data were provided within science proposal [HYD0438]</t>
  </si>
  <si>
    <t>NASA's IceBridge; TerraSAR-X data were provided within science proposal</t>
  </si>
  <si>
    <t>Research partly supported by a grant from NASA's IceBridge Program. TerraSAR-X data were provided within science proposal HYD0438.</t>
  </si>
  <si>
    <t>10.1109/IGARSS.2011.6050072</t>
  </si>
  <si>
    <t>WOS:000297496303209</t>
  </si>
  <si>
    <t>Brogioni, M; Macelloni, G; Pettinato, S; Montomoli, F</t>
  </si>
  <si>
    <t>Brogioni, M.; Macelloni, G.; Pettinato, S.; Montomoli, F.</t>
  </si>
  <si>
    <t>ESTIMATION OF AIR AND SURFACE TEMPERATURE EVOLUTION OF THE EAST ANTARCTIC SHEET BY MEANS OF PASSIVE MICROWAVE REMOTE SENSING</t>
  </si>
  <si>
    <t>Antarctica; Microwave; Radiometry; AMSR-E; Climate Changes</t>
  </si>
  <si>
    <t>Antarctica is an important part of the Earth ecosystem. Due to its temperature, mass of stored water (and related thermal inertia) and position, it influences the atmosphere and marine circulations. Despite of its importance, Antarctica is the most unexplored region of Earth. The knowledge about the Antarctic environment is very limited due to its impervious conditions which hamper the human exploration. In this context remote sensing techniques helps in filling the gap. As pointed out in some preliminary works [1][2], microwave brightness temperature data can be useful for estimating snow sub-surface and air temperature. The aim of this paper is to extend previous studies by using AWS and AMSR-E data collected daily for 6 years for estimating snow and air temperature over the East Antarctic plateau. We assessed that the snow sub-surface temperature can be estimated by using linear regressions with a R2 between satellite and ground data greater than 0.9 (the retrieval RMSE obtained is around 1K), while the determination coefficient of the relationships between the air and brightness temperatures was found to be around 0.7 (the associated retrieval RMSE varies between 2K and 7K).</t>
  </si>
  <si>
    <t>[Brogioni, M.; Macelloni, G.; Pettinato, S.; Montomoli, F.] CNR, Ist Fis Applicata, Florence, Italy</t>
  </si>
  <si>
    <t>Consiglio Nazionale delle Ricerche (CNR); Istituto di Fisica Applicata Nello Carrara (IFAC-CNR); Istituto di Fisiologia Clinica (IFC-CNR)</t>
  </si>
  <si>
    <t>Brogioni, M (corresponding author), CNR, Ist Fis Applicata, Florence, Italy.</t>
  </si>
  <si>
    <t>Pettinato, Simone/H-6051-2019; Brogioni, Marco/Q-6583-2019; Montomoli, Francesco/IXX-0140-2023; Brogioni, Marco/B-7522-2015; Macelloni, Giovanni/B-7518-2015</t>
  </si>
  <si>
    <t>Pettinato, Simone/0000-0002-3155-8918; Brogioni, Marco/0000-0001-6232-6020; Brogioni, Marco/0000-0001-6232-6020; MACELLONI, GIOVANNI/0000-0002-9738-7939</t>
  </si>
  <si>
    <t>10.1109/IGARSS.2011.6050073</t>
  </si>
  <si>
    <t>WOS:000297496303210</t>
  </si>
  <si>
    <t>German, CR; Ramirez-Llodra, E; Baker, MC; Tyler, PA</t>
  </si>
  <si>
    <t>German, Christopher R.; Ramirez-Llodra, Eva; Baker, Maria C.; Tyler, Paul A.</t>
  </si>
  <si>
    <t>Deep Realm Research Beyond the Census of Marine Life: A Trans-Pacific Road Map</t>
  </si>
  <si>
    <t>OCEANS 2011</t>
  </si>
  <si>
    <t>MTS/IEEE OCEANS Conference</t>
  </si>
  <si>
    <t>SEP 19-22, 2011</t>
  </si>
  <si>
    <t>Kona, HI</t>
  </si>
  <si>
    <t>Census of Marine Life; South Pacific; Exploration</t>
  </si>
  <si>
    <t>COMMUNITY STRUCTURE; MUSSEL BEDS; PHYLOGENETIC-RELATIONSHIPS; DIVERSITY; VENTS</t>
  </si>
  <si>
    <t>The ChEss project of the Census of Marine Life (2002-2010) helped foster internationally-coordinated studies worldwide focusing on exploration for, and characterization of new deep-sea chemosynthetic ecosystem sites. That work advanced our understanding of the nature of factors controlling the biogeography and biodiversity of these ecosystems in four geographic locations: the Atlantic Equatorial Belt, the New Zealand region, the Polar Oceans of the Arctic and Antarctic and the SE Pacific close to the Chile Triple Junction. Major discoveries in the Atlantic included the location of the deepest vents (found on the ultraslow spreading Mid-Cayman Rise) and the hottest vents (found on the Southern Mid-Atlantic Ridge). Furthermore, it was shown that the major fracture zones of the Mid-Atlantic Ridge do not create barriers for the dispersal of a number of vent species but may act as conduits of dispersal for cold-seep species that have been shown to be amphi-Atlantic. The more remote South Pacific region received comparatively less attention, although In the New Zealand region, 10 new cold-seep sites were discovered along the Hikurangi margin while off Chile - a unique place on Earth where an active ridge is being subducted beneath a continental margin - recent exploration provided evidence for two separate hydrothermal sources, one of which may be sediment hosted, along with a methane-rich cold-seep area. Based on our 8 years of investigation of deep-water chemosynthetic ecosystems, worldwide, we are now uniquely well placed to recommend a range of future directions. Highest priorities, from this perspective, should include a concerted effort to link with other scientists active in the Deep Ocean Realm and coordinate a major investigation of the South Pacific Ocean - the largest contiguous habitat for life within Earth's biosphere, but also the world's least investigated deep-ocean basin.</t>
  </si>
  <si>
    <t>[German, Christopher R.] Woods Hole Oceanog Inst, Woods Hole, MA 02543 USA; [Ramirez-Llodra, Eva] Inst Ciencias Mar, Barcelona, Spain; [Baker, Maria C.; Tyler, Paul A.] Univ Southampton, Sch Ocean &amp; Earth Sci, Southampton, Hants, England</t>
  </si>
  <si>
    <t>Woods Hole Oceanographic Institution; Consejo Superior de Investigaciones Cientificas (CSIC); CSIC - Centro Mediterraneo de Investigaciones Marinas y Ambientales (CMIMA); CSIC - Instituto de Ciencias del Mar (ICM); University of Southampton; NERC National Oceanography Centre</t>
  </si>
  <si>
    <t>German, CR (corresponding author), Woods Hole Oceanog Inst, Woods Hole, MA 02543 USA.</t>
  </si>
  <si>
    <t>Ramirez-Llodra, Eva/0000-0003-0137-1906</t>
  </si>
  <si>
    <t>978-0-933957-39-8</t>
  </si>
  <si>
    <t>Engineering, Multidisciplinary; Engineering, Electrical &amp; Electronic</t>
  </si>
  <si>
    <t>Engineering</t>
  </si>
  <si>
    <t>BYJ22</t>
  </si>
  <si>
    <t>WOS:000299005800100</t>
  </si>
  <si>
    <t>Ponsoni, L; Hermand, JP; Carrière, O; da Silveira, ICA</t>
  </si>
  <si>
    <t>Ponsoni, Leandro; Hermand, Jean-Pierre; Carriere, Olivier; Almeida da Silveira, Ilson Carlos</t>
  </si>
  <si>
    <t>Water mass, front and meanders of the Brazil Current seen through acoustics: a preliminary study</t>
  </si>
  <si>
    <t>ATLANTIC; SOUTH</t>
  </si>
  <si>
    <t>The Brazil Current (BC) is perhaps the least studied subtropical boundary current of the world's oceans. Within this region, the BC develops vigorous meanders and rings. A combination of numerical simulations and observational studies are important tools for unravelling these phenomena. Direct current measurements are rare and usually too short to depict the mean, long term circulation patterns. Similarly, quasi-synoptic hydrographic data in the region is sparse. Acoustic waves are an efficient tool for covering large regions of the water column in a synoptic way. Acoustic tomography can, therefore, be useful to better predict, through inversion for the effective sound speed field and its assimilation to a circulation model, the oceanographic fields of interest (temperature, salinity, density). Such information is particularly important for initialization and data assimilation to regional models for which small and meso-scale processes are of fundamental interest. In this paper, a preliminary study of acoustic propagation modelling through one vertical section off the Brazilian southeastern coast is presented. The acoustic rays are trapped in a minimum sound speed channel bounded by Antarctic Intermediate Water and Upper Circumpolar Deep Water. Between this so-created deep channel and the shel break, one interesting region from the acoustic viewpoint is identified. Notable variations in the transmission loss field are found in this region when the Brazil Current front is moving. In addition, the results show the baroclinic currents more sensitive to salinity variations than sound speed structure, as well as acoustic propagation.</t>
  </si>
  <si>
    <t>[Ponsoni, Leandro; Hermand, Jean-Pierre; Carriere, Olivier] Univ Libre Bruxelles, Environm Hydroacoust Lab, Av FD Roosevelt 50,CP 194-05, B-1050 Brussels, Belgium; [Almeida da Silveira, Ilson Carlos] Univ Sao Paulo, Oceanog Inst, Ocean Dynam Lab, Sao Carlos, SP, Brazil</t>
  </si>
  <si>
    <t>Universite Libre de Bruxelles; Universidade de Sao Paulo</t>
  </si>
  <si>
    <t>Ponsoni, L (corresponding author), Univ Libre Bruxelles, Environm Hydroacoust Lab, Av FD Roosevelt 50,CP 194-05, B-1050 Brussels, Belgium.</t>
  </si>
  <si>
    <t>Silveira, Ilson/AFU-7480-2022; Ponsoni, Leandro/AAC-9301-2019</t>
  </si>
  <si>
    <t>Silveira, Ilson/0000-0001-9266-6480; Ponsoni, Leandro/0000-0002-2218-271X</t>
  </si>
  <si>
    <t>WOS:000299005801133</t>
  </si>
  <si>
    <t>Bernhard, G</t>
  </si>
  <si>
    <t>Bernhard, G.</t>
  </si>
  <si>
    <t>Trends of solar ultraviolet irradiance at Barrow, Alaska, and the effect of measurement uncertainties on trend detection</t>
  </si>
  <si>
    <t>ATMOSPHERIC CHEMISTRY AND PHYSICS</t>
  </si>
  <si>
    <t>SURFACE UV IRRADIANCE; SATELLITE ESTIMATION; B RADIATION; SOUTH-POLE; OZONE; CLOUDS; LITTER; IMPACT; ALBEDO; DEPTH</t>
  </si>
  <si>
    <t>Spectral ultraviolet (UV) irradiance has been observed near Barrow, Alaska (71 degrees N, 157 degrees W) between 1991 and 2011 with an SUV-100 spectroradiometer. The instrument was historically part of the US National Science Foundation's UV Monitoring Network and is now a component of NSF's Arctic Observing Network. From these measurements, trends in monthly average irradiance and their uncertainties were calculated. The analysis focuses on two quantities, the UV Index (which is affected by atmospheric ozone concentrations) and irradiance at 345 nm (which is virtually insensitive to ozone). Uncertainties of trend estimates depend on variations in the data due to (1) natural variability, (2) systematic and random errors of the measurements, and (3) uncertainties caused by gaps in the time series. Using radiative transfer model calculations, systematic errors of the measurements were detected and corrected. Different correction schemes were tested to quantify the sensitivity of the trend estimates on the treatment of systematic errors. Depending on the correction method, estimates of decadal trends changed between 1.5% and 2.9%. Uncertainties in the trend estimates caused by error sources (2) and (3) were set into relation with the overall uncertainty of the trend determinations. Results show that these error sources are only relevant for February, March, and April when natural variability is low due to high surface albedo. This method of addressing measurement uncertainties in time series analysis is also applicable to other geophysical parameters. Trend estimates varied between -14% and +5% per decade and were significant (95.45% confidence level) only for the month of October. Depending on the correction method, October trends varied between -11.4% and -13.7% for irradiance at 345 nm and between -11.7% and -14.1% for the UV Index. These large trends are consistent with trends in short-wave (0.3-3.0 mu m) solar irradiance measured with pyranometers at NOAA's Barrow Observatory and can be explained by a change in snow cover over the observation period: analysis of pyranometer data indicates that the first day of fall when albedo becomes larger than 0.6 after snow fall, and remains above 0.6 for the rest of the winter, has advanced with a statistically significant trend of 13.6 +/- 9.7 days per decade.</t>
  </si>
  <si>
    <t>Biospher Instruments, San Diego, CA USA</t>
  </si>
  <si>
    <t>Bernhard, G (corresponding author), Biospher Instruments, San Diego, CA USA.</t>
  </si>
  <si>
    <t>bernhard@biospherical.com</t>
  </si>
  <si>
    <t>Bernhard, Germar H/B-4460-2018; Bernhard, Germar/AAZ-7169-2020</t>
  </si>
  <si>
    <t>Bernhard, Germar/0000-0002-1264-0756</t>
  </si>
  <si>
    <t>National Science Foundation's (NSF) Office of Polar Programs [OPP-0000373]; Antarctic Support Associates; Raytheon Polar Services Company; NSF [ARC-0907819]; NSF Arctic Observing Network [ARC-0856268]; Office of Polar Programs (OPP); Directorate For Geosciences [0856268] Funding Source: National Science Foundation</t>
  </si>
  <si>
    <t>National Science Foundation's (NSF) Office of Polar Programs(National Science Foundation (NSF)); Antarctic Support Associates; Raytheon Polar Services Company; NSF(National Science Foundation (NSF)); NSF Arctic Observing Network(National Science Foundation (NSF)NSF - Directorate for Geosciences (GEO)); Office of Polar Programs (OPP); Directorate For Geosciences(National Science Foundation (NSF)NSF - Directorate for Geosciences (GEO))</t>
  </si>
  <si>
    <t>Between 1991 and 2008, UV measurements used in this study were supported by the National Science Foundation's (NSF) Office of Polar Programs (prime award OPP-0000373) via subcontracts to Biospherical Instruments Inc from Antarctic Support Associates and Raytheon Polar Services Company. Measurements in 2009 were funded by NSF's Small Grants for Exploratory Research (SGER) program (award number ARC-0907819). Measurements of 2010 and 2011 and this study were supported by the NSF Arctic Observing Network program (award number ARC-0856268). I am grateful to the many dedicated individuals who have operated the SUV-100 spectroradiometer at Barrow during the last 20 yr. Upwelling and downwelling short-wave irradiance data were measured by the Global Monitoring Division (GMD) of NOAA's Earth System Research Laboratory and were either acquired from the data archive of the Baseline Surface Radiation Network (BSRN) at http://www.bsrn.awi.de/or directly obtained from Ellsworth G. Dutton of NOAA/GMD. I thank E. Dutton for preparing a revised pyranometer dataset and for discussing short-wave irradiance data and trends in snow cover. I further thank C. Rocky Booth, James C. Ehramjian, John E. Frederick, and Robert Stone for their valuable comments to the manuscript, and two anonymous reviewers for their valuable suggestions.</t>
  </si>
  <si>
    <t>COPERNICUS GESELLSCHAFT MBH</t>
  </si>
  <si>
    <t>GOTTINGEN</t>
  </si>
  <si>
    <t>BAHNHOFSALLEE 1E, GOTTINGEN, 37081, GERMANY</t>
  </si>
  <si>
    <t>1680-7316</t>
  </si>
  <si>
    <t>1680-7324</t>
  </si>
  <si>
    <t>ATMOS CHEM PHYS</t>
  </si>
  <si>
    <t>Atmos. Chem. Phys.</t>
  </si>
  <si>
    <t>10.5194/acp-11-13029-2011</t>
  </si>
  <si>
    <t>Environmental Sciences; Meteorology &amp; Atmospheric Sciences</t>
  </si>
  <si>
    <t>Environmental Sciences &amp; Ecology; Meteorology &amp; Atmospheric Sciences</t>
  </si>
  <si>
    <t>870KH</t>
  </si>
  <si>
    <t>WOS:000298667600030</t>
  </si>
  <si>
    <t>Xu, T; Yang, W; Liu, Y; Zhou, CX; Wang, ZM</t>
  </si>
  <si>
    <t>Kamel, M; Campilho, A</t>
  </si>
  <si>
    <t>Xu, Tao; Yang, Wen; Liu, Ying; Zhou, Chunxia; Wang, Zemin</t>
  </si>
  <si>
    <t>Crevasse Detection in Antarctica Using ASTER Images</t>
  </si>
  <si>
    <t>IMAGE ANALYSIS AND RECOGNITION: 8TH INTERNATIONAL CONFERENCE, ICIAR 2011, PT II: 8TH INTERNATIONAL CONFERENCE, ICIAR 2011</t>
  </si>
  <si>
    <t>Lecture Notes in Computer Science</t>
  </si>
  <si>
    <t>8th International Conference on Image Analysis and Recognition (ICIAR) / 2nd International Conference on Autonomous and Intelligent Systems (AIS)</t>
  </si>
  <si>
    <t>JUN 22-24, 2011</t>
  </si>
  <si>
    <t>Simon Fraser Univ, Burnaby, CANADA</t>
  </si>
  <si>
    <t>Simon Fraser Univ</t>
  </si>
  <si>
    <t>crevasse detection; texture feature; ASTER</t>
  </si>
  <si>
    <t>TEXTURE CLASSIFICATION</t>
  </si>
  <si>
    <t>The crevasse, which has always been one of the most dangerous factors on the Antarctic continent, threatens the life of the team members during the polar expedition. Crevasse detection is thus an increasingly important issue as it facilitates the analysis of glaciers and ice cap movements, research on the effects of climate change, and improves security for expedition staff. In this paper, we first analyze the characteristics of crevasse in ASTER image. We then test five features: Gray-Level Co-occurrence Matrices (GLCM), Gabor filters, Local Phase Quantization (LPQ), the completed local binary pattern (CLBP), and local self-similarity (LSS) for crevasse detection with the SVM classifier. Finally, we evaluate and validate the detection performance on two datasets. Experimental results show that the LSS descriptor performs better than other descriptors, and is thus a promising feature descriptor for crevasse detection.</t>
  </si>
  <si>
    <t>[Xu, Tao; Yang, Wen; Liu, Ying] Wuhan Univ, Sch Elect Informat, Wuhan 430079, Peoples R China; [Zhou, Chunxia; Wang, Zemin] Chinese Antarct Ctr Surveying &amp; Mapping, Wuhan 430079, Peoples R China</t>
  </si>
  <si>
    <t>Wuhan University</t>
  </si>
  <si>
    <t>Xu, T (corresponding author), Wuhan Univ, Sch Elect Informat, Wuhan 430079, Peoples R China.</t>
  </si>
  <si>
    <t>xutao.whu@gmail.com; yangwen@whu.edu.cn; liuying1129@gmail.com; zhoucx@whu.edu.cn; zmwang@whu.edu.cn</t>
  </si>
  <si>
    <t>ZeMin, Wang/AAU-3422-2020; Yang, Wen/AAM-8352-2020</t>
  </si>
  <si>
    <t>Yang, Wen/0000-0002-3263-8768</t>
  </si>
  <si>
    <t>National High Technology Research and Development Program of China [2009AA12Z133]; National Natural Science Foundation of China [40801183, 40606002]</t>
  </si>
  <si>
    <t>National High Technology Research and Development Program of China(National High Technology Research and Development Program of China); National Natural Science Foundation of China(National Natural Science Foundation of China (NSFC))</t>
  </si>
  <si>
    <t>This work was supported in part by the National High Technology Research and Development Program of China (No.2009AA12Z133) and the National Natural Science Foundation of China (No.40801183, 40606002).</t>
  </si>
  <si>
    <t>0302-9743</t>
  </si>
  <si>
    <t>978-3-642-21595-7; 978-3-642-21596-4</t>
  </si>
  <si>
    <t>LECT NOTES COMPUT SC</t>
  </si>
  <si>
    <t>Computer Science, Artificial Intelligence; Computer Science, Theory &amp; Methods; Engineering, Electrical &amp; Electronic</t>
  </si>
  <si>
    <t>Computer Science; Engineering</t>
  </si>
  <si>
    <t>BYU87</t>
  </si>
  <si>
    <t>WOS:000300562000037</t>
  </si>
  <si>
    <t>Watson, C; White, N; Church, J; Burgette, R; Tregoning, P; Coleman, R</t>
  </si>
  <si>
    <t>Watson, Christopher; White, Neil; Church, John; Burgette, Reed; Tregoning, Paul; Coleman, Richard</t>
  </si>
  <si>
    <t>Absolute Calibration in Bass Strait, Australia: TOPEX, Jason-1 and OSTM/Jason-2</t>
  </si>
  <si>
    <t>MARINE GEODESY</t>
  </si>
  <si>
    <t>Altimeter calibration; absolute bias; TOPEX; Jason-1; OSTM/Jason-2</t>
  </si>
  <si>
    <t>SEA-LEVEL CHANGE; TOPEX/POSEIDON; SERIES; SYSTEM</t>
  </si>
  <si>
    <t>Updated absolute bias estimates are presented from the Bass Strait calibration site (Australia) for the TOPEX/Poseidon (T/P), Jason-1 and the Ocean Surface Topography Mission (OSTM/Jason-2) altimeter missions. Results from the TOPEX side A and side B data show biases insignificantly different from zero when assessed against our error budget (-15 +/- 20 mm, and -6 +/- 18 mm, respectively). Jason-1 shows a considerably higher absolute bias of +93 +/- 15 mm, indicating that the observed sea surface is higher (or the range shorter), than truth. For OSTM/Jason-2, the absolute bias is further increased to +172 +/- 18 mm (determined from T/GDR data, cycles 001-079). Enhancements made to the Jason-1 and OSTM/Jason-2 microwave radiometer derived products for correcting path delays induced by the wet troposphere are shown to benefit the bias estimate at the Bass Strait site through the reduction of land contamination. We note small shifts to bias estimates when using the enhanced products, changing the biases by +11 and +3 mm for Jason-1 and OSTM/Jason-2, respectively. The significant, and as yet poorly understood, absolute biases observed for both Jason series altimeters reinforces the continued need for further investigation of the measurement systems and ongoing monitoring via in situ calibration sites.</t>
  </si>
  <si>
    <t>[Watson, Christopher; Burgette, Reed] Univ Tasmania, Sch Geog &amp; Environm Studies, Surveying &amp; Spatial Sci Grp, Hobart, Tas 7001, Australia; [White, Neil; Church, John] Ctr Australian Weather &amp; Climate Res, Hobart, Tas, Australia; [Tregoning, Paul] Australian Natl Univ, Res Sch Earth Sci, Canberra, ACT, Australia; [Coleman, Richard] Univ Tasmania, Inst Marine &amp; Antarctic Studies, Hobart, Tas 7001, Australia</t>
  </si>
  <si>
    <t>University of Tasmania; Commonwealth Scientific &amp; Industrial Research Organisation (CSIRO); Australian National University; University of Tasmania</t>
  </si>
  <si>
    <t>Watson, C (corresponding author), Univ Tasmania, Sch Geog &amp; Environm Studies, Surveying &amp; Spatial Sci Grp, Private Bag 76, Hobart, Tas 7001, Australia.</t>
  </si>
  <si>
    <t>cwatson@utas.edu.au</t>
  </si>
  <si>
    <t>Watson, Christopher S/D-4707-2013; Tregoning, Paul/N-4842-2018; White, Neil/B-2077-2013; Church, John A/A-1541-2012; Tregoning, Paul/D-9283-2013; Coleman, Richard/H-4425-2012</t>
  </si>
  <si>
    <t>Tregoning, Paul/0000-0001-7192-5391; Church, John A/0000-0002-7037-8194; Tregoning, Paul/0000-0001-7192-5391; Coleman, Richard/0000-0002-9731-7498; Watson, Christopher/0000-0002-7464-4592</t>
  </si>
  <si>
    <t>NCRIS geoscience capability, AuScope Ltd.; Australian Climate Change Science Program; Australian Research Council [DP0877381]; Australian Research Council [DP0877381] Funding Source: Australian Research Council</t>
  </si>
  <si>
    <t>NCRIS geoscience capability, AuScope Ltd.; Australian Climate Change Science Program; Australian Research Council(Australian Research Council); Australian Research Council(Australian Research Council)</t>
  </si>
  <si>
    <t>Two anonymous reviewers are thanked for their constructive review of this manuscript. The contribution of this absolute bias data stream is supported by the Australian Integrated Marine Observing System (IMOS), established under the Australian Government's National Collaborative Research Infrastructure Strategy (NCRIS). The GPS data were computed on the Terrawulf II computational facility at the Research School of Earth Sciences, a facility supported through the NCRIS geoscience capability, AuScope Ltd. AuScope is also acknowledged for their support of regional CGPS installations used throughout this project. This paper is a contribution to the Centre for Australian Weather and Climate Research Climate Change Research Program. J.A.C. and N.J.W. were partly funded by the Australian Climate Change Science Program. The authors thank the International GNSS Service (IGS) and Geoscience Australia for making the raw GPS data publicly available, and the National Tidal Centre (NTC) for operating and maintaining the Burnie tide gauge with assistance from the Tasmanian Ports Corporation. The CSIRO Marine and Atmospheric Research coastal mooring group undertook the setup, deployment and retrieval of the mooring array. Neil Adams from the Australian Bureau of Meteorology provided atmospheric pressure information. Altimetry products were obtained from the Jet Propulsion Laboratory (JPL) PO. DAAC and Centre National d'Etudes Spatiales (CNES) AVISO archives. Members of the Ocean Surface Topography Science Team (OSTST) are thanked for providing ongoing technical assistance. Aspects of this work were supported under the Australian Research Council's Discovery Projects funding scheme (DP0877381).</t>
  </si>
  <si>
    <t>TAYLOR &amp; FRANCIS INC</t>
  </si>
  <si>
    <t>PHILADELPHIA</t>
  </si>
  <si>
    <t>530 WALNUT STREET, STE 850, PHILADELPHIA, PA 19106 USA</t>
  </si>
  <si>
    <t>0149-0419</t>
  </si>
  <si>
    <t>1521-060X</t>
  </si>
  <si>
    <t>MAR GEOD</t>
  </si>
  <si>
    <t>Mar. Geod.</t>
  </si>
  <si>
    <t>10.1080/01490419.2011.584834</t>
  </si>
  <si>
    <t>Geochemistry &amp; Geophysics; Oceanography; Remote Sensing</t>
  </si>
  <si>
    <t>855CQ</t>
  </si>
  <si>
    <t>WOS:000297541600004</t>
  </si>
  <si>
    <t>Pryde, J; Conner, J; Jack, F; Lancaster, M; Meek, L; Owen, C; Paterson, R; Steele, G; Strang, F; Woods, J</t>
  </si>
  <si>
    <t>Pryde, James; Conner, John; Jack, Frances; Lancaster, Mark; Meek, Lizzie; Owen, Craig; Paterson, Richard; Steele, Gordon; Strang, Fiona; Woods, Jacqui</t>
  </si>
  <si>
    <t>Sensory and Chemical Analysis of 'Shackleton's' Mackinlay Scotch Whisky</t>
  </si>
  <si>
    <t>JOURNAL OF THE INSTITUTE OF BREWING</t>
  </si>
  <si>
    <t>Antarctica; GC; GC-MS; Glen Mhor; HPLC; olfactometry; qualitative descriptive analysis; whisky</t>
  </si>
  <si>
    <t>DISTILLED ALCOHOLIC BEVERAGES; GAMMA-LACTONES; MALT WHISKEY; AMERICAN; FRENCH</t>
  </si>
  <si>
    <t>Three cases of Mackinlay's Rare Highland Malt whisky were excavated from the ice under Sir Ernest Shackleton's 1907 expedition base camp hut at Cape Royds in Antarctica in January 2010. The majority of the bottles were in a pristine state of preservation and three were returned to Scotland in January 2011 for the first sensory and organoleptic analysis of a Scotch malt whisky distilled in the late 1890s. Sensory analysis and the higher alcohol and maturation congener profiles describe a lightly peated malt whisky matured in American white oak sherry or wine casks. Analysis of process related compounds together with combined gas chromatography (GC) mass spectrometry and GC-olfactometry analysis of fermentation related congeners show a distinctly 'modern' style of malt whisky. While Scotch malt whisky at the end of the 19th century was generally regarded as heavily peated and harsh in character, Charles Macicinlay &amp; Co. Distillers were producing a malt whisky with an altogether more subtle character at their Glen Mhor distillery near Inverness. The sensory and chemical analysis of this unique whisky artefact significantly changes our understanding of the quality and character of Scotch malt whisky produced by our distilling forefathers.</t>
  </si>
  <si>
    <t>[Pryde, James; Lancaster, Mark; Paterson, Richard; Strang, Fiona; Woods, Jacqui] Whyte &amp; Mackay Ltd, Invergordon Distillery Lab, Cottage Brae, Invergordon IV18 0HP, Ross Shire, Scotland; [Conner, John; Jack, Frances; Owen, Craig; Steele, Gordon] Scotch Whisky Res Inst, Edinburgh EH14 4AP, Midlothian, Scotland; [Meek, Lizzie] Antarctic Heritage Trust, Christchurch 8140, New Zealand; [Meek, Lizzie] Int Antarctic Ctr, Christchurch 8053, New Zealand</t>
  </si>
  <si>
    <t>Heriot Watt University</t>
  </si>
  <si>
    <t>Pryde, J (corresponding author), Whyte &amp; Mackay Ltd, Invergordon Distillery Lab, Cottage Brae, Invergordon IV18 0HP, Ross Shire, Scotland.</t>
  </si>
  <si>
    <t>james.pryde@whyteandmackay.com</t>
  </si>
  <si>
    <t>Lancaster, Mark A/C-1693-2008</t>
  </si>
  <si>
    <t>Whyte Mackay Ltd; Scotch Whisky Research Institute; Antarctic Heritage Trust</t>
  </si>
  <si>
    <t>This work was supported by Whyte &amp; Mackay Ltd, The Scotch Whisky Research Institute and the Antarctic Heritage Trust and we thank their directors for permission to publish. We thank D. K. Apps for comments on an earlier version of the manuscript and V. Mallya for the secure transport of the whisky artefacts from New Zealand to Scotland. The three whisky bottles, minus the whisky sampled via the syringe for this work, will be returned to New Zealand and the Antarctic Heritage Trust will subsequently return the artefacts to Antarctica and place them back under the floor of Shackleton's hut for posterity.</t>
  </si>
  <si>
    <t>INST BREWING</t>
  </si>
  <si>
    <t>33 CLARGES STREET, LONDON W1Y 8EE, ENGLAND</t>
  </si>
  <si>
    <t>0046-9750</t>
  </si>
  <si>
    <t>J I BREWING</t>
  </si>
  <si>
    <t>J. Inst. Brew.</t>
  </si>
  <si>
    <t>10.1002/j.2050-0416.2011.tb00455.x</t>
  </si>
  <si>
    <t>Food Science &amp; Technology</t>
  </si>
  <si>
    <t>843NN</t>
  </si>
  <si>
    <t>WOS:000296678800002</t>
  </si>
  <si>
    <t>Hayward, S</t>
  </si>
  <si>
    <t>Redner, G</t>
  </si>
  <si>
    <t>Hayward, Susan</t>
  </si>
  <si>
    <t>THE CHANGING CONCEPTION OF SPACE AS A DELINEATOR IN FILM SCORE STYLE: A COMPARATIVE ANALYSIS OF THE SCORES FOR THINGS TO COME AND SCOTT OF THE ANTARCTIC</t>
  </si>
  <si>
    <t>DELEUZE AND FILM MUSIC: BUILDING A METHODOLOGICAL BRIDGE BETWEEN FILM THEORY AND MUSIC</t>
  </si>
  <si>
    <t>Univ Exeter, Exeter EX4 4QJ, Devon, England</t>
  </si>
  <si>
    <t>University of Exeter</t>
  </si>
  <si>
    <t>Hayward, S (corresponding author), Univ Exeter, Exeter EX4 4QJ, Devon, England.</t>
  </si>
  <si>
    <t>INTELLECT LTD</t>
  </si>
  <si>
    <t>THE MILL, PARNALL RD, BRISTOL, ENGLAND</t>
  </si>
  <si>
    <t>978-1-84150-370-7</t>
  </si>
  <si>
    <t>Film, Radio, Television; Music</t>
  </si>
  <si>
    <t>Book Citation Index – Social Sciences &amp; Humanities (BKCI-SSH)</t>
  </si>
  <si>
    <t>Film, Radio &amp; Television; Music</t>
  </si>
  <si>
    <t>BUC89</t>
  </si>
  <si>
    <t>WOS:000288900200008</t>
  </si>
  <si>
    <t>Chen, NC; He, J; Wang, W; Chen, ZQ</t>
  </si>
  <si>
    <t>Chen, Nengcheng; He, Jie; Wang, Wei; Chen, Zeqiang</t>
  </si>
  <si>
    <t>Extended FRAG-BASE schema-matching method for multi-version open GIS Web services retrieval</t>
  </si>
  <si>
    <t>INTERNATIONAL JOURNAL OF GEOGRAPHICAL INFORMATION SCIENCE</t>
  </si>
  <si>
    <t>OGC Web Service; schema matching; Web Feature Service; Web Coverage Service; AntSDI</t>
  </si>
  <si>
    <t>The OGC Web Service (OWS) schemas have the characteristics of a complex element structure, are distributed and large scale, have differences in element naming, and are available in different versions. Applying conventional matching approaches may lead to not only poor quality, but also bad performance. In this article, the OWS schema file decomposition, fragment presentation, fragment identification, fragment element match, and combination of match results are developed based on the extended FRAG-BASE (fragment-based) schema-matching method. Different versions of Web Feature Service (WFS) and Web Coverage Service (WCS) schema-matching experiments show that the average recall of the extended FRAG-BASE matching for the schemas is above 80%, the average precision reaches 90%, the average overall achieves 85%, and the matching efficiency increases by 50% as compared with that of the COMA and CONTEXT matcher. The multi-version WFS retrieval under the Antarctic Spatial Data Infrastructure (AntSDI) data service environment demonstrates the feasibility and superiority of the extended FRAG-BASE method.</t>
  </si>
  <si>
    <t>[Chen, Nengcheng; He, Jie; Wang, Wei; Chen, Zeqiang] Wuhan Univ, Wuhan 430079, Peoples R China; [Wang, Wei] Ningxia Univ, Sch Resources &amp; Environm, Yinchuan 750021, Peoples R China</t>
  </si>
  <si>
    <t>Wuhan University; Ningxia University</t>
  </si>
  <si>
    <t>Chen, NC (corresponding author), Wuhan Univ, Wuhan 430079, Peoples R China.</t>
  </si>
  <si>
    <t>cnc@whu.edu.cn</t>
  </si>
  <si>
    <t>Chen, Nengcheng/0000-0002-3521-9972</t>
  </si>
  <si>
    <t>National Basic Research Program of China [2011CB707101]; 863 Program [2007AA12Z230, 2011AA010500]; National Natural Science Foundation of China [41023001, 41021061]</t>
  </si>
  <si>
    <t>National Basic Research Program of China(National Basic Research Program of China); 863 Program(National High Technology Research and Development Program of China); National Natural Science Foundation of China(National Natural Science Foundation of China (NSFC))</t>
  </si>
  <si>
    <t>This work was supported in part by the National Basic Research Program of China (973 Program) under Grant 2011CB707101, by the 863 Program under Grant 2007AA12Z230 and 2011AA010500, and by the National Natural Science Foundation of China under Grant 41023001 and 41021061. We also sincerely thank Dr. David A. Tait, for proofreading the manuscript. The authors would like to thank the anonymous reviewers for their valuable comments and insightful ideas.</t>
  </si>
  <si>
    <t>1365-8816</t>
  </si>
  <si>
    <t>1362-3087</t>
  </si>
  <si>
    <t>INT J GEOGR INF SCI</t>
  </si>
  <si>
    <t>Int. J. Geogr. Inf. Sci.</t>
  </si>
  <si>
    <t>10.1080/13658816.2010.510474</t>
  </si>
  <si>
    <t>Computer Science, Information Systems; Geography; Geography, Physical; Information Science &amp; Library Science</t>
  </si>
  <si>
    <t>Science Citation Index Expanded (SCI-EXPANDED); Social Science Citation Index (SSCI)</t>
  </si>
  <si>
    <t>Computer Science; Geography; Physical Geography; Information Science &amp; Library Science</t>
  </si>
  <si>
    <t>827YX</t>
  </si>
  <si>
    <t>WOS:000295467600001</t>
  </si>
  <si>
    <t>Passos, FD; Magalhaes, FT</t>
  </si>
  <si>
    <t>Passos, Flavio Dias; Magalhaes, Frederico Thomaisino</t>
  </si>
  <si>
    <t>A comparative study of the Bivalvia (Mollusca) from the continental shelves of Antarctica and Brazil</t>
  </si>
  <si>
    <t>BIOTA NEOTROPICA</t>
  </si>
  <si>
    <t>checklist; shallow waters; brazilian fauna; antarctic fauna</t>
  </si>
  <si>
    <t>SCALLOP ADAMUSSIUM-COLBECKI; SOUTH-SHETLAND ISLANDS; LISSARCA-NOTORCADENSIS BIVALVIA; MYSELLA-CHARCOTI LAMY; KING-GEORGE-ISLAND; FUNCTIONAL-MORPHOLOGY; CAMPOS BASIN; LATERNULA-ELLIPTICA; POPULATION-DYNAMICS; TAXONOMIC DIVERSITY</t>
  </si>
  <si>
    <t>During identification of bivalve molluscs collected in Antarctica, a rich taxonomic bibliography was gathered, stimulating comparisons with the Brazilian malacofauna. We listed a total of 68 and 368 known shallow-water species (less than 200 m depth) from Antarctica and Brazil, respectively, in order to find species, families and superfamilies in common, and to investigate how these malacofaunas differ in regard to these representative groups and their life habits. There are 23 superfamilies absent in Antarctica, but present in Brazil with at least one species; the reverse does not occur, as all superfamilies known from Antarctica are also recorded from Brazil. The number of Brazilian species is higher, being composed of a mixture of taxa from different biogeographical provinces, whereas in Antarctica there are only a few species adapted to its polar conditions, with minor components from elsewhere. Thus, many typical Caribbean species extend into Brazil, belonging to the diverse Arcoidea, Pectinoidea, Lucinoidea, Cardioidea, Veneroidea, and Tellinoidea. Cemented Ostreoidea, Plicatuloidea, Dimyoidea, Spondylidae (Pectinoidea), and Chamoidea are absent from Antarctica, as are wood (Teredinidae, Pholadoidea) and rock borers (Pholadidae, Pholadoidea; Gastrochaenoidea; and Lithophaginae, Mytiloidea). A large number of Brazilian species of infaunal (e.g., Tellinidae, Veneridae, Cardiidae, and Mactroidea) and epifaunal groups (Pectinidae, Mytilidae, and Arcidae) are absent from or poorly represented in Antarctica. Nuculanoidea, Limopsoidea, Lucinoidea, Galeommatoidea, Cyamioidea, and Cuspidarioidea are the richest groups in Antarctica; some of them are also represented by several species in Brazil, albeit in deeper waters. Three species are recorded as living in both places: Limatula pygmaea (Limidae), Lasaea adansoni (Lasaeidae), and Gaimardia trapesina (Gaimardiidae). Through the analysis of these groups from each fauna, it is possible to identify those that are taxonomically diverse in one place or another, and then emphasize them in ecological studies, eventually using them as model or monitoring organisms. The present paper can be a starting point for future discussion on the existing latitudinal gradients along the coast of eastern South America, stimulating studies on changes occurring in the composition of the faunas of bivalves from Brazil, Uruguay, Argentina, and Antarctica.</t>
  </si>
  <si>
    <t>[Passos, Flavio Dias; Magalhaes, Frederico Thomaisino] Univ Campinas UNICAMP, Inst Biol, Dept Anim Biol, BR-13083970 Campinas, SP, Brazil</t>
  </si>
  <si>
    <t>Universidade de Sao Paulo; Universidade Estadual de Campinas</t>
  </si>
  <si>
    <t>Passos, FD (corresponding author), Univ Campinas UNICAMP, Inst Biol, Dept Anim Biol, POB 6109, BR-13083970 Campinas, SP, Brazil.</t>
  </si>
  <si>
    <t>flaviodp@unicamp.br</t>
  </si>
  <si>
    <t>Passos, Flávio Dias/AAG-5430-2020; Passos, Flávio Dias/D-6679-2012</t>
  </si>
  <si>
    <t>Passos, Flávio Dias/0000-0002-8193-9874;</t>
  </si>
  <si>
    <t>CNPq; PPG of Ecologia (UNICAMP)</t>
  </si>
  <si>
    <t>CNPq(Conselho Nacional de Desenvolvimento Cientifico e Tecnologico (CNPQ)); PPG of Ecologia (UNICAMP)</t>
  </si>
  <si>
    <t>Our special thanks are due to Prof. Dr. L.R.L. Simone, MZUSP, who kindly provided bibliographic material and shared opinions about species from Brazil; to Diego Zelaya, who discussed some of the ideas contained in the text; and to CNPq and PPG of Ecologia (UNICAMP) for financial support and a scholarship.</t>
  </si>
  <si>
    <t>REVISTA BIOTA NEOTROPICA</t>
  </si>
  <si>
    <t>CAMPINAS</t>
  </si>
  <si>
    <t>AV. DR. ROMEU TORTIMA, 388 - BARAO GERALDO, CEP 13084-520, CAMPINAS, SP, BRAZIL</t>
  </si>
  <si>
    <t>1676-0603</t>
  </si>
  <si>
    <t>BIOTA NEOTROP</t>
  </si>
  <si>
    <t>Biota Neotrop.</t>
  </si>
  <si>
    <t>JAN-MAR</t>
  </si>
  <si>
    <t>10.1590/S1676-06032011000100014</t>
  </si>
  <si>
    <t>Biodiversity Conservation</t>
  </si>
  <si>
    <t>Biodiversity &amp; Conservation</t>
  </si>
  <si>
    <t>836SI</t>
  </si>
  <si>
    <t>gold, Green Submitted</t>
  </si>
  <si>
    <t>WOS:000296131000015</t>
  </si>
  <si>
    <t>Finney, KT; Watts, D</t>
  </si>
  <si>
    <t>Finney, Kim Tracy; Watts, David</t>
  </si>
  <si>
    <t>REST-based semantic feature catalogue services</t>
  </si>
  <si>
    <t>semantic repository; feature catalogue; ISO 19110; REST; services</t>
  </si>
  <si>
    <t>ONTOLOGY</t>
  </si>
  <si>
    <t>The exchange of scientific datasets online and their subsequent use by service-centric applications requires semantic description of the data objects, or features, being transacted. This is particularly the case in the Earth Systems Sciences. Semantic repositories provide a partial answer to generating rich content. Ideally these repositories should be founded in a framework that permits cross-referencing between independently established semantic data-stores and which provides for a loose coupling between repositories and the agents or clients that will use them. We investigated the applicability of using an ISO 19110-based Feature Catalogue as a cross-domain, semantic repository for various Earth Systems Science communities of interest. Our aim was to develop a repository and a set of services capable of providing semantic content for consumption by smart clients. The constraint applied throughout the research was to develop a set of tools that would present a very low uptake barrier for programmers and domain specialists alike. To meet this challenge, we used Representational State Transfer (REST)-based services to expose content from an enhanced implementation of an ISO 19110-based Feature Catalogue. This article describes how the ISO 19110 conceptual model was augmented during implementation to cater for the requirements of two large multi-disciplinary science groups: the Scientific Committee on Antarctic Research and the Australian Ocean Data Network. The reasons for opting for a REST-based service pattern are discussed and the three REST service types that were developed are described.</t>
  </si>
  <si>
    <t>[Finney, Kim Tracy; Watts, David] Univ Tasmania, Sch Comp &amp; Informat Syst, Sandy Bay, Tas, Australia; [Finney, Kim Tracy] Australian Antarctic Div, Kingston, Tas, Australia</t>
  </si>
  <si>
    <t>University of Tasmania; Australian Antarctic Division</t>
  </si>
  <si>
    <t>Finney, KT (corresponding author), Univ Tasmania, Sch Comp &amp; Informat Syst, Sandy Bay, Tas, Australia.</t>
  </si>
  <si>
    <t>kim.finney@aad.gov.au</t>
  </si>
  <si>
    <t>Watts, David/0000-0002-0373-1971</t>
  </si>
  <si>
    <t>10.1080/13658816.2010.508042</t>
  </si>
  <si>
    <t>829XR</t>
  </si>
  <si>
    <t>WOS:000295620300009</t>
  </si>
  <si>
    <t>Guerra, MBB; Amarasiriwardena, D; Schaefer, CEGR; Pereira, CD; Spielmann, AA; Nóbrega, JA; Pereira, ER</t>
  </si>
  <si>
    <t>Guerra, Marcelo B. B.; Amarasiriwardena, Dulasiri; Schaefer, Carlos E. G. R.; Pereira, Catarinie D.; Spielmann, Adriano A.; Nobrega, Joaquim A.; Pereira-Filho, Edenir R.</t>
  </si>
  <si>
    <t>Biomonitoring of lead in Antarctic lichens using laser ablation inductively coupled plasma mass spectrometry</t>
  </si>
  <si>
    <t>JOURNAL OF ANALYTICAL ATOMIC SPECTROMETRY</t>
  </si>
  <si>
    <t>LA-ICP-MS; KING GEORGE ISLAND; TRACE-ELEMENTS; METAL POLLUTION; MOSS; AREA; CONTAMINATION; BIOINDICATORS; BINDING; SOILS</t>
  </si>
  <si>
    <t>A method for direct determination of Pb by LA-ICP-MS in lichen samples collected in a heavily anthropogenically impacted area of Maritime Antarctica was developed. The lichen samples were cryogenically ground and digested with nitric acid and hydrogen peroxide. Lead determination by solution-based ICP-MS was validated by the use of 2 certified reference materials. Once the Pb concentrations were measured with adequate accuracy and precision, a method for its direct determination by LA-ICP-MS was developed. The laser ablation parameters were optimized by the use of a Doehlert design matrix. The final optimized conditions were: laser energy (60%), spot size (150 mu m) and repetition rate (10 Hz). Lead concentration of the analyzed lichen samples were plotted against the intensity of the lead isotopes (Pb-208, Pb-207 and Pb-206) determined by LA-ICP-MS. Satisfactory linear correlation factors were obtained when C-13 was used as internal standard. Lead distribution profiles in lichen thalli cross-sections were also obtained. By these results, LA-ICP-MS emerges as a potential analytical tool for Pb concentration estimation in lichen samples. Minimum amount of sample required, bioimaging capability, high analytical throughput, and minimization of waste generation are the major analytical features of this approach. The significant differences between the Pb concentration in the lichen samples from the control site (1.12 +/- 0.05 mg kg(-1)) and from the impacted points (mean 5.03 +/- 0.57 mg kg(-1)) permitted qualify these organisms as good biomonitors. Elemental bioimaging of lichens demonstrated that the medulla region of lichen thalli is consistently the main atmospheric lead bioaccumulating lichen tissue.</t>
  </si>
  <si>
    <t>[Guerra, Marcelo B. B.; Amarasiriwardena, Dulasiri] Hampshire Coll, Sch Nat Sci, Amherst, MA 01002 USA; [Guerra, Marcelo B. B.; Pereira, Catarinie D.; Nobrega, Joaquim A.; Pereira-Filho, Edenir R.] Univ Fed Sao Carlos, UFSCar, Grp Appl Instrumental Anal, Dept Chem, BR-13565905 Sao Carlos, SP, Brazil; [Schaefer, Carlos E. G. R.] Univ Fed Vicosa, Dept Soil Sci, UFV, BR-36570000 Vicosa, MG, Brazil; [Spielmann, Adriano A.] Univ Fed Mato Grosso do Sul, UFMS, BR-79080190 Campo Grande, MS, Brazil</t>
  </si>
  <si>
    <t>Universidade Federal de Sao Carlos; Universidade Federal de Vicosa; Universidade Federal de Mato Grosso do Sul</t>
  </si>
  <si>
    <t>Amarasiriwardena, D (corresponding author), Hampshire Coll, Sch Nat Sci, 893 West St, Amherst, MA 01002 USA.</t>
  </si>
  <si>
    <t>dula@hampshire.edu</t>
  </si>
  <si>
    <t>Guerra, Marcelo B. B./D-3294-2015; Pereira, Catarinie D/G-9549-2012; Amarasiriwardena, Dulasiri/S-7017-2019; Schaefer, Carlos Ernesto/AAY-4977-2020; Pereira-Filho, Edenir/F-5789-2010; Spielmann, Adriano A/J-8176-2015; Pereira Filho, Edenir/E-2283-2012; Nobrega, Joaquim/E-1789-2014</t>
  </si>
  <si>
    <t>Pereira Filho, Edenir/0000-0003-0608-0278; Ernesto Goncalves Reynaud Schaefer, Carlos/0000-0001-7060-1598; Braga Bueno Guerra, Marcelo/0000-0002-0058-2640; Nobrega, Joaquim/0000-0001-9134-9547; Ernesto Goncalves Reynaud Schaefer, Carlos/0000-0001-5735-3227</t>
  </si>
  <si>
    <t>Fundacao de Amparo a Pesquisa do Estado de Sao Paulo (FAPESP) [2008/08260-3, 2006/59083-9]; Conselho Nacional de Desenvolvimento Cientifico e Tecnologico (CNPq); Coordenacao de Aperfeicoamento de Pessoal de Nivel Superior (CAPES); National Science Foundation [0959028]; Direct For Biological Sciences; Div Of Biological Infrastructure [0959028] Funding Source: National Science Foundation; Fundacao de Amparo a Pesquisa do Estado de Sao Paulo (FAPESP) [08/08260-3] Funding Source: FAPESP</t>
  </si>
  <si>
    <t>Fundacao de Amparo a Pesquisa do Estado de Sao Paulo (FAPESP)(Fundacao de Amparo a Pesquisa do Estado de Sao Paulo (FAPESP)); Conselho Nacional de Desenvolvimento Cientifico e Tecnologico (CNPq)(Conselho Nacional de Desenvolvimento Cientifico e Tecnologico (CNPQ)); Coordenacao de Aperfeicoamento de Pessoal de Nivel Superior (CAPES)(Coordenacao de Aperfeicoamento de Pessoal de Nivel Superior (CAPES)); National Science Foundation(National Science Foundation (NSF)); Direct For Biological Sciences; Div Of Biological Infrastructure(National Science Foundation (NSF)NSF - Directorate for Biological Sciences (BIO)); Fundacao de Amparo a Pesquisa do Estado de Sao Paulo (FAPESP)(Fundacao de Amparo a Pesquisa do Estado de Sao Paulo (FAPESP))</t>
  </si>
  <si>
    <t>The authors are grateful to the grants received from Fundacao de Amparo a Pesquisa do Estado de Sao Paulo (FAPESP, Grants: 2008/08260-3 and 2006/59083-9), Conselho Nacional de Desenvolvimento Cientifico e Tecnologico (CNPq) and Coordenacao de Aperfeicoamento de Pessoal de Nivel Superior (CAPES). D.A. would like to acknowledge the National Science Foundation-Major Instrumentation Grant (NSF-DBI MRI-R2 # 0959028) for funding the LA-ICP-MS system. We would also like to thank Ms. Kristen Shrout for instrumentation help and the group of Prof. Shaw Ling Hsu from the Department of Polymer Science and Engineering Department (University of Massachusetts at Amherst) for kindly allowing us to use their pellet press.</t>
  </si>
  <si>
    <t>ROYAL SOC CHEMISTRY</t>
  </si>
  <si>
    <t>THOMAS GRAHAM HOUSE, SCIENCE PARK, MILTON RD, CAMBRIDGE CB4 0WF, CAMBS, ENGLAND</t>
  </si>
  <si>
    <t>0267-9477</t>
  </si>
  <si>
    <t>1364-5544</t>
  </si>
  <si>
    <t>J ANAL ATOM SPECTROM</t>
  </si>
  <si>
    <t>J. Anal. At. Spectrom.</t>
  </si>
  <si>
    <t>10.1039/c1ja10198f</t>
  </si>
  <si>
    <t>Chemistry, Analytical; Spectroscopy</t>
  </si>
  <si>
    <t>Chemistry; Spectroscopy</t>
  </si>
  <si>
    <t>835FT</t>
  </si>
  <si>
    <t>WOS:000296021800012</t>
  </si>
  <si>
    <t>Spaulding, NE; Meese, DA; Baker, I</t>
  </si>
  <si>
    <t>Spaulding, N. E.; Meese, D. A.; Baker, I.</t>
  </si>
  <si>
    <t>Advanced microstructural characterization of four East Antarctic firn/ice cores</t>
  </si>
  <si>
    <t>JOURNAL OF GLACIOLOGY</t>
  </si>
  <si>
    <t>SCANNING-ELECTRON-MICROSCOPE; POLAR ICE; SOUTH-POLE; DENSIFICATION; IMPURITIES; SNOW; RECRYSTALLIZATION; GREENLAND; AEROSOL; CHEMISTRY</t>
  </si>
  <si>
    <t>The microstructures and microchemistry of four US International Trans-Antarctic Scientific Expedition ice cores were examined, at three depths (30, 60, 90m) each, using scanning electron microscopy, including electron backscattered patterns and energy-dispersive spectroscopy (EDS), in order to assess the relationship between chemical and physical properties. The physical characteristics (grain size, porosity, density, internal surface volume, and crystallographic orientation) at the four sites were inhomogeneous, as expected on the basis of differences in the moisture content of deposited snow and the accumulation rate at their respective locations. Evidence of shallow subgrain boundary formation and trends in internal surface volume, having implications for the study of firn densification and ice-sheet modeling, were also found. Chemical characterization revealed that site-specific variations in particulate concentration and source could accurately be determined using EDS analysis. It was also found that the combination of elements predominant within the sample controls the morphology and microstructural location of the impurities.</t>
  </si>
  <si>
    <t>[Spaulding, N. E.; Meese, D. A.] Univ Maine, Climate Change Inst, Bryand Global Sci Ctr 303, Orono, ME 04469 USA; [Meese, D. A.; Baker, I.] Dartmouth Coll, Thayer Sch Engn, Hanover, NH 03755 USA</t>
  </si>
  <si>
    <t>University of Maine System; University of Maine Orono; Dartmouth College</t>
  </si>
  <si>
    <t>Spaulding, NE (corresponding author), Univ Maine, Climate Change Inst, Bryand Global Sci Ctr 303, Orono, ME 04469 USA.</t>
  </si>
  <si>
    <t>nicole.spaulding@maine.edu</t>
  </si>
  <si>
    <t>Spaulding, Nicole/0000-0001-5159-3078</t>
  </si>
  <si>
    <t>US National Science Foundation (NSF) Office of Polar Programs [OPP 0538494]</t>
  </si>
  <si>
    <t>US National Science Foundation (NSF) Office of Polar Programs(National Science Foundation (NSF))</t>
  </si>
  <si>
    <t>The US National Science Foundation (NSF) Office of Polar Programs is acknowledged for funding this project under OPP 0538494. Also acknowledged are participants of the 2006 and 2007 US ITASE traverses involved in the collection and preparation of ice cores for this research. C. Daghlian of the Dartmouth Medical School Electron Microscope Facility and S. Sneed of the University of Maine Climate Change Chemistry Laboratory are thanked for lending their time and expertise. A final thanks to reviewers T. Thorsteinsson and M. Tranter whose attention to detail and insightful comments greatly improved the quality of the manuscript.</t>
  </si>
  <si>
    <t>INT GLACIOL SOC</t>
  </si>
  <si>
    <t>LENSFIELD RD, CAMBRIDGE CB2 1ER, ENGLAND</t>
  </si>
  <si>
    <t>0022-1430</t>
  </si>
  <si>
    <t>J GLACIOL</t>
  </si>
  <si>
    <t>J. Glaciol.</t>
  </si>
  <si>
    <t>10.3189/002214311798043807</t>
  </si>
  <si>
    <t>836NP</t>
  </si>
  <si>
    <t>WOS:000296118700003</t>
  </si>
  <si>
    <t>Nomura, D; Simizu, D; Shinagawa, H; Ouchida, C; Fukuchi, M</t>
  </si>
  <si>
    <t>Nomura, Daiki; Simizu, Daisuke; Shinagawa, Hideo; Ouchida, Chinatsu; Fukuchi, Mitsuo</t>
  </si>
  <si>
    <t>Biogeochemical properties of water in surface ponds on Antarctic fast ice and their relationship with underlying sea-ice properties</t>
  </si>
  <si>
    <t>MELT PONDS; SUMMER; SNOW; LAND; PACK</t>
  </si>
  <si>
    <t>Surface ponds on Antarctic fast ice were examined by measuring temperature, salinity and concentrations of chlorophyll a (Chl-a), dissolved inorganic carbon (DIC) and nutrients (NO(3) + NO(2), PO(4), and SiO(2)) in the surface pond water and under-ice water. Sea-ice cores were also collected from the bottom of a surface pond (pond-ice core) and from a site away from the pond (bare-ice core). Time-series measurements of surface pond water temperature showed that it varied with solar radiation rather than with air temperature. Comparison of water properties between surface pond water and under-ice water suggested that DIC and nutrients were consumed by biological productivity during pond formation. Depth profiles of nutrient concentrations in the pond-ice core suggested the remineralization of organic matter at the bottom of the surface pond. The Chl-a concentration was lower at the bottom of the pond-ice core than in the bare-ice core, suggesting that surface pond formation reduces ice algae abundance in sea ice because meltwater flushes algae from the porous sea ice into the under-ice water.</t>
  </si>
  <si>
    <t>[Nomura, Daiki; Fukuchi, Mitsuo] Natl Inst Polar Res, Tachikawa, Tokyo 1908501, Japan; [Simizu, Daisuke] Hokkaido Univ, Inst Low Temp Sci, Sapporo, Hokkaido 0600819, Japan; [Shinagawa, Hideo] Univ Tsukuba, Shimoda Marine Res Ctr, Shizuoka 4150025, Japan; [Ouchida, Chinatsu] Tokyo Univ Marine Sci &amp; Technol, Grad Sch Marine Sci &amp; Technol, Minato Ku, Tokyo 1088477, Japan</t>
  </si>
  <si>
    <t>Research Organization of Information &amp; Systems (ROIS); National Institute of Polar Research (NIPR) - Japan; Hokkaido University; University of Tsukuba; Tokyo University of Marine Science &amp; Technology</t>
  </si>
  <si>
    <t>Nomura, D (corresponding author), Norwegian Polar Res Inst, Fram Ctr, NO-9296 Tromso, Norway.</t>
  </si>
  <si>
    <t>daiki.nomura@npolar.no</t>
  </si>
  <si>
    <t>SIMIZU, Daisuke/0000-0003-4214-6756</t>
  </si>
  <si>
    <t>10.3189/002214311798043825</t>
  </si>
  <si>
    <t>WOS:000296118700008</t>
  </si>
  <si>
    <t>Järvinen, O; Leppäranta, M</t>
  </si>
  <si>
    <t>Jarvinen, Onni; Lepparanta, Matti</t>
  </si>
  <si>
    <t>Transmission of solar radiation through the snow cover on floating ice</t>
  </si>
  <si>
    <t>OPTICAL-PROPERTIES; ANTARCTIC SNOW; SEA-ICE; TRANSMITTANCE</t>
  </si>
  <si>
    <t>Spectral measurements of solar radiation in the band 400-900 nm were performed above and inside the snowpack in two locations in Finland, using a spectroradiometer. The transmittance and extinction coefficient were estimated for different snow layers. Four small candle-shaped photo-synthetically active radiation (PAR) sensors were also used to measure the transfer of PAR inside the snowpack. In addition to the light measurements, physical characterization of snow stratigraphy was done, including the thickness, density, hardness (hand test), salinity, and grain size and shape (photographs of crystals). The transmittance varied from &lt;1% (0-12 cm layer) to 80% (0-4 cm layer), and the extinction coefficient was between 0.03 cm(-1) (4-8 cm layer) and 0.8 cm(-1) (0-4 cm layer). The physical properties of the snow varied considerably between locations and days. The density of the snow varied between 140 and 480 kg m(-3).</t>
  </si>
  <si>
    <t>[Jarvinen, Onni; Lepparanta, Matti] Univ Helsinki, Dept Phys, FIN-00014 Helsinki, Finland</t>
  </si>
  <si>
    <t>University of Helsinki</t>
  </si>
  <si>
    <t>Järvinen, O (corresponding author), Univ Helsinki, Dept Phys, Erik Palmenin Aukio 1,POB 48, FIN-00014 Helsinki, Finland.</t>
  </si>
  <si>
    <t>onni.jarvinen@helsinki.fi</t>
  </si>
  <si>
    <t>Lepparanta, Matti/M-7507-2017</t>
  </si>
  <si>
    <t>Lepparanta, Matti/0000-0002-4754-5564</t>
  </si>
  <si>
    <t>Academy of Finland [122787]; Academy of Finland (AKA) [122787] Funding Source: Academy of Finland (AKA)</t>
  </si>
  <si>
    <t>Academy of Finland(Research Council of Finland); Academy of Finland (AKA)(Research Council of Finland)</t>
  </si>
  <si>
    <t>This work was funded by the Academy of Finland (project 122787 Ice Laboratory and Ice Geophysics).</t>
  </si>
  <si>
    <t>WOS:000296118700010</t>
  </si>
  <si>
    <t>Wilson, CJL; Peternell, M</t>
  </si>
  <si>
    <t>Wilson, Christopher J. L.; Peternell, Mark</t>
  </si>
  <si>
    <t>Evaluating ice fabrics using fabric analyser techniques in Sorsdal Glacier, East Antarctica</t>
  </si>
  <si>
    <t>SIMPLE SHEAR; DEFORMATION; ORIENTATION; CORE; LOCALIZATION; MORPHOLOGY; EVOLUTION; STRAIN; ZONES</t>
  </si>
  <si>
    <t>Ice cores (similar to 4 m long) obtained from areas of different surface velocities near the terminus of Sorsdal Glacier, East Antarctica, have been investigated using two versions of a fabric analyser (G50). In sections parallel to the flow plane, the microstructure is typically interlocking with elongate grains that parallel air-bubble elongation, X, reflecting their development in an earlier ductile regime. The c-axis fabric patterns vary with respect to X and vary from single double maxima to asymmetric small-circle girdles oblique to the planar foliation, which can be attributed to a simple shear regime. The siteto-site variations in the c-axis patterns can be related to areas of different surface velocities, the asymmetry of fabrics correlating with localized strain variations and differences in the deformation path, but not to the current strain pattern recorded by the near-surface deformation conditions. Overprinting fractures have little effect on microstructure except for local dissolution and precipitation along stylolitic surfaces. Comparison of results from the two different fabric analysers reveals that with a higher pixel resolution the incorporation of additional monochromatic light-emitting diodes and repositioning of a retarder plate produce more reliable c-axis measurements.</t>
  </si>
  <si>
    <t>[Wilson, Christopher J. L.] Monash Univ, Sch Geosci, Clayton, Vic 3800, Australia; [Peternell, Mark] Johannes Gutenberg Univ Mainz, Dept Earth Sci, D-55099 Mainz, Germany</t>
  </si>
  <si>
    <t>Monash University; Johannes Gutenberg University of Mainz</t>
  </si>
  <si>
    <t>Wilson, CJL (corresponding author), Monash Univ, Sch Geosci, Clayton, Vic 3800, Australia.</t>
  </si>
  <si>
    <t>Chris.Wilson@monash.edu</t>
  </si>
  <si>
    <t>Australian Research Council [DP0773097]; Antarctic Science Advisory Committee [1205]; ANARE expeditioners (Australian National Antarctic Research Expeditions) of Davis Station; Australian Research Council [DP0773097] Funding Source: Australian Research Council</t>
  </si>
  <si>
    <t>Australian Research Council(Australian Research Council); Antarctic Science Advisory Committee; ANARE expeditioners (Australian National Antarctic Research Expeditions) of Davis Station; Australian Research Council(Australian Research Council)</t>
  </si>
  <si>
    <t>We thank A. Corvino and B. Patrick for collecting the ice cores during their investigations of Sorsdal Glacier, and H. Sim for his initial microfabric results. This work was supported by an Australian Research Council grant (DP0773097), an Antarctic Science Advisory Committee grant (1205) and the ANARE expeditioners (Australian National Antarctic Research Expeditions) of Davis Station from 2000 to 2003. D. Russell-Head is thanked for technical advice and assistance, including the redesign and modifications of the G50 instrument, and comments on the manuscript. J.-L. Tison (Universite de Bruxelles) is thanked for making available his G50 (LED-white) that enabled us to undertake the comparative test. A. Corvino, S. Kipfstuhl and two anonymous reviewers are thanked for constructive feedback on an earlier version of the paper.</t>
  </si>
  <si>
    <t>10.3189/002214311798043744</t>
  </si>
  <si>
    <t>WOS:000296118700012</t>
  </si>
  <si>
    <t>Eastman, JT; Barrera-Oro, E; Moreira, E</t>
  </si>
  <si>
    <t>Eastman, Joseph T.; Barrera-Oro, Esteban; Moreira, Eugenia</t>
  </si>
  <si>
    <t>Adaptive radiation at a low taxonomic level: divergence in buoyancy of the ecologically similar Antarctic fish Notothenia coriiceps and N. rossii</t>
  </si>
  <si>
    <t>MARINE ECOLOGY PROGRESS SERIES</t>
  </si>
  <si>
    <t>Notothenioid; Ontogenetic variation; Skeletal anatomy and histology; South Shetland Islands</t>
  </si>
  <si>
    <t>SOUTH-SHETLAND ISLANDS; POTTER COVE; DISSOSTICHUS-MAWSONI; GENE-SEQUENCES; DEEP-SEA; MITOCHONDRIAL; BIOGEOGRAPHY; NEGLECTA; MALACOSTRACA; PERCIFORMES</t>
  </si>
  <si>
    <t>We studied the buoyancy of 263 specimens of the sympatric sister species Notothenia coriiceps and N. rossii captured at King George Island. In these species without a swim bladder, we expressed measurements of buoyancy as percentage buoyancy (% B = weight in water/weight in air x 100), with smaller numbers reflecting more buoyant (i.e. less dense) species. Mean % B of N. coriiceps (4.34%) was significantly greater than that of N. rossii (3.82%), reflecting the lower density and more active swimming, migratory, and feeding behavior of N. rossii compared to N. coriiceps. Skeletal weight as a percentage of body weight was also significantly greater in N. coriiceps (2.46%) than N. rossii (1.65%). Paradoxically, the weight of the vertebral column as a percentage of skeletal weight was significantly greater in N. rossii (28.01%) than in N. coriiceps (24.29%); however, this is intelligible in light of the bone anatomy and histology. Our sample encompassed a wide size and age range, and trend lines for scatter plots of % B against standard length were curvilinear for both species, peaking at 140 to 160 mm, a phenomenon not previously seen in studies of notothenioid buoyancy. We conclude that the ontogenetic increase in % B (reduced buoyancy) in fingerlings/young juveniles and the ontogenetic decrease in % B (increased buoyancy) in older juveniles/immature adults reflects disproportionate growth of skeletal and visceral tissues, respectively, and is not causally related to concurrent pelagic-demersal habitat shifts.</t>
  </si>
  <si>
    <t>[Eastman, Joseph T.] Ohio Univ, Dept Biomed Sci, Athens, OH 45701 USA; [Barrera-Oro, Esteban; Moreira, Eugenia] Inst Antartico Argentino, Buenos Aires, DF, Argentina; [Barrera-Oro, Esteban; Moreira, Eugenia] Consejo Nacl Invest Cient &amp; Tecn, RA-1033 Buenos Aires, DF, Argentina; [Barrera-Oro, Esteban] Museo Argentino Ciencias Nat Bernardino Rivadavia, Buenos Aires, DF, Argentina</t>
  </si>
  <si>
    <t>University System of Ohio; Ohio University; Instituto Antartico Argentino; Consejo Nacional de Investigaciones Cientificas y Tecnicas (CONICET); Museo Argentino de Ciencias Naturales Bernardino Rivadavia (MACN)</t>
  </si>
  <si>
    <t>Eastman, Joseph T./O-6150-2019; Eastman, Joseph T/A-9786-2008</t>
  </si>
  <si>
    <t>Eastman, Joseph T./0000-0003-3868-261X; MOREIRA, EUGENIA/0000-0002-3704-1696</t>
  </si>
  <si>
    <t>US National Science Foundation [ANT 04-36190]</t>
  </si>
  <si>
    <t>US National Science Foundation(National Science Foundation (NSF))</t>
  </si>
  <si>
    <t>We thank C. Bellisio, L. Vila, and O. Gonzalez for their help in field activities and laboratory procedures. O. Gon and P. Haworth of the South African Institute for Aquatic Biodiversity generously gave permission to use the illustrations in Fig. 2. We also thank D. Pratt for work on the figures. We received many useful comments from the 3 referees. J.T.E. was supported by US National Science Foundation grant ANT 04-36190.</t>
  </si>
  <si>
    <t>INTER-RESEARCH</t>
  </si>
  <si>
    <t>OLDENDORF LUHE</t>
  </si>
  <si>
    <t>NORDBUNTE 23, D-21385 OLDENDORF LUHE, GERMANY</t>
  </si>
  <si>
    <t>0171-8630</t>
  </si>
  <si>
    <t>1616-1599</t>
  </si>
  <si>
    <t>MAR ECOL PROG SER</t>
  </si>
  <si>
    <t>Mar. Ecol.-Prog. Ser.</t>
  </si>
  <si>
    <t>10.3354/meps09287</t>
  </si>
  <si>
    <t>Ecology; Marine &amp; Freshwater Biology; Oceanography</t>
  </si>
  <si>
    <t>Environmental Sciences &amp; Ecology; Marine &amp; Freshwater Biology; Oceanography</t>
  </si>
  <si>
    <t>829WK</t>
  </si>
  <si>
    <t>WOS:000295616000017</t>
  </si>
  <si>
    <t>Hara, K; Osada, K; Nishita-Hara, C; Yabuki, M; Hayashi, M; Yamanouchi, T; Wada, M; Shiobara, M</t>
  </si>
  <si>
    <t>Hara, K.; Osada, K.; Nishita-Hara, C.; Yabuki, M.; Hayashi, M.; Yamanouchi, T.; Wada, M.; Shiobara, M.</t>
  </si>
  <si>
    <t>Seasonal features of ultrafine particle volatility in the coastal Antarctic troposphere</t>
  </si>
  <si>
    <t>SUBMICROMETER AEROSOL-PARTICLES; CLOUD CONDENSATION NUCLEI; SEA-SALT AEROSOL; SIZE DISTRIBUTIONS; SYOWA STATION; SOUTH-POLE; SULFUR; PHYTOPLANKTON; REGIONS; SULFATE</t>
  </si>
  <si>
    <t>The size distribution and volatility of ultrafine aerosol particles were measured using scanning mobility particle sizer and thermodenuder at Syowa Station during the 46-47 Japanese Antarctic Research Expeditions (2005-2007). The relative abundance of non-volatile particles in a 240 degrees C scan was approximately 20% during the summer, whereas the abundance of non-volatile particles increased by &gt; 90% during the winter-spring. Most ultrafine particles were volatilized at temperature of 150-210 degrees C. This volatility was consistent well to major aerosol constituents (NH4+, SO42- and (CHSO3-)-S-3) during the summer. In contrast, major constituents of ultrafine particles were sea-salts (Na+ and Cl-) in winter-spring. Therefore, the seasonal feature of volatility of ultrafine particles at Syowa was associated with seasonal variations of the major aerosol constituents. Although the relative abundance of non-volatile particles was usually higher during the winter-spring, the abundance dropped occasionally to &lt; 30 %. The lower abundance of non-volatile ultrafine particles during winter-spring corresponded to the lower number concentration of ultrafine particles and transport from the free troposphere over Antarctica.</t>
  </si>
  <si>
    <t>[Hara, K.; Yabuki, M.; Yamanouchi, T.; Wada, M.; Shiobara, M.] Natl Inst Polar Res, Tokyo, Japan; [Hara, K.; Hayashi, M.] Fukuoka Univ, Fac Sci, Dept Earth Syst Sci, Fukuoka, Japan; [Osada, K.; Nishita-Hara, C.] Nagoya Univ, Grad Sch Environm Studies, Nagoya, Aichi 4648601, Japan</t>
  </si>
  <si>
    <t>Research Organization of Information &amp; Systems (ROIS); National Institute of Polar Research (NIPR) - Japan; Fukuoka University; Nagoya University</t>
  </si>
  <si>
    <t>Hara, K (corresponding author), Fukuoka Univ, Fac Sci, Dept Earth Syst Sci, Fukuoka, Japan.</t>
  </si>
  <si>
    <t>harakei@fukuoka-u.ac.jp</t>
  </si>
  <si>
    <t>Yamanouchi, Takashi/P-2041-2015; Osada, Kazuo/I-6395-2014; Hara, Keiichiro/N-8264-2018</t>
  </si>
  <si>
    <t>Osada, Kazuo/0000-0003-3100-5835; Hara, Keiichiro/0000-0001-7440-7776</t>
  </si>
  <si>
    <t>Observation project of global atmospheric change in the Antarctic [JARE 43-47]; Ministry of Education, Culture, Sports, Science and Technology of Japan [16253001, 15310012]; Grants-in-Aid for Scientific Research [16253001, 22310013, 15310012] Funding Source: KAKEN</t>
  </si>
  <si>
    <t>Observation project of global atmospheric change in the Antarctic; 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</si>
  <si>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the members of the 46th and 47th Japanese Antarctic Research Expedition for assistance with aerosol measurements at Syowa Station. This study was supported by the Observation project of global atmospheric change in the Antarctic for JARE 43-47. This work was also supported by a Grant-in Aid (No. 16253001, PI: T. Yamanouchi, and No. 15310012, PI: K. Osada) from the Ministry of Education, Culture, Sports, Science and Technology of Japan. The authors gratefully acknowledge the NOAA Air Resources Laboratory (ARL) for providing the HYSPLIT transport and dispersion model and READY website (http://www.arl.noaa.gov/ready.html) used for this research.</t>
  </si>
  <si>
    <t>10.5194/acp-11-9803-2011</t>
  </si>
  <si>
    <t>826QL</t>
  </si>
  <si>
    <t>WOS:000295368700025</t>
  </si>
  <si>
    <t>Lossow, S; Steinwagner, J; Urban, J; Dupuy, E; Boone, CD; Kellmann, S; Linden, A; Kiefer, M; Grabowski, U; Glatthor, N; Höpfner, M; Röckmann, T; Murtagh, DP; Walker, KA; Bernath, PF; von Clarmann, T; Stiller, GP</t>
  </si>
  <si>
    <t>Lossow, S.; Steinwagner, J.; Urban, J.; Dupuy, E.; Boone, C. D.; Kellmann, S.; Linden, A.; Kiefer, M.; Grabowski, U.; Glatthor, N.; Hoepfner, M.; Rockmann, T.; Murtagh, D. P.; Walker, K. A.; Bernath, P. F.; von Clarmann, T.; Stiller, G. P.</t>
  </si>
  <si>
    <t>Comparison of HDO measurements from Envisat/MIPAS with observations by Odin/SMR and SCISAT/ACE-FTS</t>
  </si>
  <si>
    <t>ATMOSPHERIC MEASUREMENT TECHNIQUES</t>
  </si>
  <si>
    <t>STRATOSPHERIC WATER-VAPOR; MOLECULAR SPECTROSCOPIC DATABASE; INFRARED SOLAR SPECTRA; TROPOSPHERE EXCHANGE; ISOTOPIC COMPOSITION; TROPICAL TROPOPAUSE; DEUTERATED WATER; HDO/H2O RATIOS; DEHYDRATION; SATELLITE</t>
  </si>
  <si>
    <t>Measurements of thermal emission in the mid-infrared by Envisat/MIPAS allow the retrieval of HDO information roughly in the altitude range between 10 km and 50 km. From June 2002 to March 2004 MIPAS performed measurements in the full spectral resolution mode. To assess the quality of the HDO data set obtained during that period comparisons with measurements by Odin/SMR and SCISAT/ACE-FTS were performed. Comparisons were made on profile-to-profile basis as well as using seasonal and monthly averages. All in all the comparisons yield favourable results. The largest deviations between MIPAS and ACE-FTS are observed below 15 km, where relative deviations can occasionally exceed 100 %. Despite these deviations in the absolute amount of HDO the latitudinal structures observed by both instruments are consistent in this altitude range. Between 15 km and 20 km there is less good agreement, in particular in the Antarctic during winter and spring. Also in the tropics some deviations are found. Above 20 km there is a high consistency in the structures observed by all three instruments. MIPAS and ACE-FTS typically agree within 10 %, with MIPAS mostly showing higher abundances than ACE-FTS. Both data sets show considerably more HDO than SMR. This bias can be explained basically by uncertainties in spectroscopic parameters. Above 40 km, where the MIPAS HDO retrieval reaches its limits, still good agreement with the structures observed by SMR is found for most seasons. This puts some confidence in the MIPAS data at these altitudes.</t>
  </si>
  <si>
    <t>[Lossow, S.; Kellmann, S.; Linden, A.; Kiefer, M.; Grabowski, U.; Glatthor, N.; Hoepfner, M.; von Clarmann, T.; Stiller, G. P.] Karlsruhe Inst Technol, Inst Meteorol &amp; Climate Res, D-76344 Leopoldshafen, Germany; [Steinwagner, J.; Rockmann, T.] Univ Utrecht, Inst Marine &amp; Atmospher Res Utrecht, NL-3584 CC Utrecht, Netherlands; [Urban, J.; Murtagh, D. P.] Chalmers Univ Technol, Dept Earth &amp; Space Sci, S-41296 Gothenburg, Sweden; [Dupuy, E.] Nat Inst Informat &amp; Commun Technol NICT, Appl Elect Res Ctr, Tokyo 1848795, Japan; [Boone, C. D.] Univ Waterloo, Dept Chem, Waterloo, ON N2L 3G1, Canada; [Walker, K. A.] Univ Toronto, Dept Phys, Toronto, ON M5S 1A7, Canada; [Bernath, P. F.] Univ York, Dept Chem, York YO10 5DD, N Yorkshire, England</t>
  </si>
  <si>
    <t>Helmholtz Association; Karlsruhe Institute of Technology; Utrecht University; Chalmers University of Technology; National Institute of Information &amp; Communications Technology (NICT) - Japan; University of Waterloo; University of Toronto; University of York - UK</t>
  </si>
  <si>
    <t>Lossow, S (corresponding author), Karlsruhe Inst Technol, Inst Meteorol &amp; Climate Res, Hermann von Helmholtz Pl 1, D-76344 Leopoldshafen, Germany.</t>
  </si>
  <si>
    <t>stefan.lossow@kit.edu</t>
  </si>
  <si>
    <t>Glatthor, Norbert/B-2141-2013; Bernath, Peter F/B-6567-2012; Urban, Jo/F-9172-2010; Stiller, Gabriele P./A-7340-2013; Kiefer, Michael/A-7254-2013; von Clarmann, Thomas/A-7287-2013; Hopfner, Michael/A-7255-2013; /F-8694-2011; Rockmann, Thomas/F-4479-2015</t>
  </si>
  <si>
    <t>Bernath, Peter F/0000-0002-1255-396X; Urban, Jo/0000-0001-7026-793X; Stiller, Gabriele P./0000-0003-2883-6873; Lossow, Stefan/0000-0003-2833-0522; Hopfner, Michael/0000-0002-4174-9531; /0000-0003-1539-3559; Rockmann, Thomas/0000-0002-6688-8968; von Clarmann, Thomas/0000-0003-2219-3379</t>
  </si>
  <si>
    <t>German Federal Ministry of Education and Research (BMBF) [50 EE 0901]; Dutch Science foundation NWO [ALW-GO-AO/07-01]; Swedish National Space Board (SNSB); Canadian Space Agency (CSA); National Technology Agency of Finland (Tekes); Centre National d'Etudes Spatiales (CNES) in France; Natural Sciences and Engineering Research Council of Canada (NSERC); KIT Steinbuch Centre for Computing (SCC); Deutsche Forschungsgemeinschaft (DFG); Karlsruhe Institute of Technology</t>
  </si>
  <si>
    <t>German Federal Ministry of Education and Research (BMBF)(Federal Ministry of Education &amp; Research (BMBF)); Dutch Science foundation NWO(Netherlands Organization for Scientific Research (NWO)); Swedish National Space Board (SNSB)(Swedish National Space Agency (SNSA)); Canadian Space Agency (CSA)(Canadian Space Agency); National Technology Agency of Finland (Tekes)(Finnish Funding Agency for Technology &amp; Innovation (TEKES)); Centre National d'Etudes Spatiales (CNES) in France(Centre National D'etudes Spatiales); Natural Sciences and Engineering Research Council of Canada (NSERC)(Natural Sciences and Engineering Research Council of Canada (NSERC)); KIT Steinbuch Centre for Computing (SCC); Deutsche Forschungsgemeinschaft (DFG)(German Research Foundation (DFG)); Karlsruhe Institute of Technology(Helmholtz Association)</t>
  </si>
  <si>
    <t>This work has been funded by the German Federal Ministry of Education and Research (BMBF) via contract no. 50 EE 0901. J. Steinwagner and T. Rockmann were financially supported by the Dutch Science foundation NWO (grant number ALW-GO-AO/07-01). We would like to thank the European Space Agency (ESA) for making the MIPAS level-1b data set available. Odin is a Swedish-led satellite project funded jointly by the Swedish National Space Board (SNSB), the Canadian Space Agency (CSA), the National Technology Agency of Finland (Tekes) and the Centre National d'Etudes Spatiales (CNES) in France. The Swedish Space Corporation has been the industrial prime constructor. Since April 2007 Odin is a third-party mission of ESA. The Atmospheric Chemistry Experiment (ACE), also known as SCISAT, is a Canadian-led mission mainly supported by the Canadian Space Agency (CSA) and the Natural Sciences and Engineering Research Council of Canada (NSERC). The MIPAS retrievals were partly performed on the HP XC4000 of the KIT Steinbuch Centre for Computing (SCC) under the project grant MIPAS. We acknowledge support by Deutsche Forschungsgemeinschaft (DFG) and the Open Access Publishing Fund of the Karlsruhe Institute of Technology. The main author thanks C. Martin, J. Buckland, G. Berryman and W. Champion for their support.</t>
  </si>
  <si>
    <t>1867-1381</t>
  </si>
  <si>
    <t>1867-8548</t>
  </si>
  <si>
    <t>ATMOS MEAS TECH</t>
  </si>
  <si>
    <t>Atmos. Meas. Tech.</t>
  </si>
  <si>
    <t>10.5194/amt-4-1855-2011</t>
  </si>
  <si>
    <t>826QC</t>
  </si>
  <si>
    <t>WOS:000295367700010</t>
  </si>
  <si>
    <t>Gallet, JC; Domine, F; Arnaud, L; Picard, G; Savarino, J</t>
  </si>
  <si>
    <t>Gallet, J-C; Domine, F.; Arnaud, L.; Picard, G.; Savarino, J.</t>
  </si>
  <si>
    <t>Vertical profile of the specific surface area and density of the snow at Dome C and on a transect to Dumont D'Urville, Antarctica - albedo calculations and comparison to remote sensing products</t>
  </si>
  <si>
    <t>CRYOSPHERE</t>
  </si>
  <si>
    <t>NONSPHERICAL ICE PARTICLE; SPECTRAL ALBEDO; INFRARED REFLECTANCE; INDEPENDENT SPHERES; GRAIN-SIZE; BIDIRECTIONAL REFLECTANCE; OPTICAL-PROPERTIES; ARCTIC SNOWPACK; SOLAR-RADIATION; SCATTERING</t>
  </si>
  <si>
    <t>The specific surface area (SSA) of snow determines in part the albedo of snow surfaces and the capacity of the snow to adsorb chemical species and catalyze reactions. Despite these crucial roles, almost no value of snow SSA are available for the largest permanent snow expanse on Earth, the Antarctic. We report the first extensive study of vertical profiles of snow SSA near Dome C (DC: 75 degrees 06' S, 123 degrees 20' E, 3233 m a.s.l.) on the Antarctic plateau, and at seven sites during the logistical traverse between Dome C and the French coastal base Dumont D'Urville (DDU: 66 degrees 40' S, 140 degrees 01' E) during the Austral summer 2008-2009. We used the DU-FISSS system, which measures the IR reflectance of snow at 1310 nm with an integrating sphere. At DC, the mean SSA of the snow in the top 1 cm is 38 m(2) kg(-1), decreasing monotonically to 14 m(2) kg(-1) at a depth of 50 cm. Along the traverse, the snow SSA profile is similar to that at DC in the first 600 km from DC. Closer to DDU, the SSA of the top 5 cm is 23 m(2) kg(-1), decreasing to 19 m(2) kg(-1) at 50 cm depth. This difference is attributed to wind, which causes a rapid decrease of surface snow SSA, but forms hard wind-packs whose SSA decrease more slowly with time. Since light-absorbing impurities are not concentrated enough to affect albedo, the vertical profiles of SSA and density were used to calculate the spectral albedo of the snow for several realistic illumination conditions, using the DISORT radiative transfer model. A preliminary comparison with MODIS data is presented and our calculations and MODIS data show similar trends.</t>
  </si>
  <si>
    <t>[Domine, F.] CNRS INSU Lab Glaciol &amp; Geophys Environm, UMR5183, F-38402 St Martin Dheres, France; Univ Grenoble 1, Grenoble I, France</t>
  </si>
  <si>
    <t>Domine, F (corresponding author), CNRS INSU Lab Glaciol &amp; Geophys Environm, UMR5183, 54 Rue Moliere, F-38402 St Martin Dheres, France.</t>
  </si>
  <si>
    <t>florent@lgge.obs.ujf-grenoble.fr</t>
  </si>
  <si>
    <t>Picard, Ghislain/D-4246-2013; Savarino, Joel/H-9730-2012</t>
  </si>
  <si>
    <t>Picard, Ghislain/0000-0003-1475-5853; Savarino, Joel/0000-0002-6708-9623; arnaud, laurent/0000-0002-4432-4205; Gallet, Jean-Charles/0000-0002-6153-1361</t>
  </si>
  <si>
    <t>French Polar Institute (IPEV) [1011]; Agence Nationale de la Recherche (ANR) [NT09-451281]; CNRS-INSU</t>
  </si>
  <si>
    <t>French Polar Institute (IPEV); Agence Nationale de la Recherche (ANR)(Agence Nationale de la Recherche (ANR)); CNRS-INSU(Centre National de la Recherche Scientifique (CNRS))</t>
  </si>
  <si>
    <t>This work was supported by the French Polar Institute (IPEV) under grant no. 1011, program Nite DC, and by the Agence Nationale de la Recherche (ANR), grant NT09-451281, OPALE project. We also thank all the technical staff of Concordia station and P. Godon who allowed J. C. G. to perform measurements during the logistical traverse. Stephen Hudson, Norwegian Polar Institute, kindly provided his albedo data from Dome C and B. de Fleurian the map of Antarctica of Fig. 6.; The publication of this article is financed by CNRS-INSU.</t>
  </si>
  <si>
    <t>1994-0416</t>
  </si>
  <si>
    <t>1994-0424</t>
  </si>
  <si>
    <t>Cryosphere</t>
  </si>
  <si>
    <t>10.5194/tc-5-631-2011</t>
  </si>
  <si>
    <t>826TO</t>
  </si>
  <si>
    <t>WOS:000295377900009</t>
  </si>
  <si>
    <t>Petrou, K; Ralph, PJ</t>
  </si>
  <si>
    <t>Petrou, K.; Ralph, P. J.</t>
  </si>
  <si>
    <t>Photosynthesis and net primary productivity in three Antarctic diatoms: possible significance for their distribution in the Antarctic marine ecosystem</t>
  </si>
  <si>
    <t>Net primary productivity; Antarctic diatoms; Ecological niche adaptation; Chl a fluorescence</t>
  </si>
  <si>
    <t>PHOTOSYSTEM-II; SEA-ICE; WEDDELL SEA; IRRADIANCE RELATIONSHIPS; ELECTRON-TRANSPORT; COASTAL WATERS; PHYTOPLANKTON; LIGHT; TEMPERATURE; OXYGEN</t>
  </si>
  <si>
    <t>Photosynthesis and net primary productivity were measured in 3 Antarctic diatoms, Fragilariopsis cylindrus, Pseudo-nitzschia subcurvata and Chaetoceros sp., exposed to rapid changes in temperature and salinity representing a range of conditions found during a seasonal cycle. Measured differences in fluorescence-derived photosynthetic activity and oxygen evolution suggested that some alternative electron cycling activity was present under high irradiances. F. cylindrus displayed the highest rates of relative electron transport and net primary productivity under all salinity and temperature combinations and showed adaptive traits towards the sea-ice-like environment. P. subcurvata displayed a preference for low saline conditions where production rates were greatest. However, there was evidence of photosynthetic sensitivity to the lowest temperatures and highest salinities, suggesting a lack of adaptation for dealing with sea-ice-like conditions. Chaetoceros sp. showed high plasticity, acclimating well to all conditions but performing best under pelagic conditions. The study shows species-specific sensitivities to environmental change, highlighting photosynthetic capacity as a potentially important mechanism in ecological niche adaptation. When these data were modelled over different seasons, integrated daily net primary production was greatest under summer pelagic conditions. The findings from this study support the general observations of light control and seasonal development of net primary productivity and species succession in the Antarctic marine ecosystem.</t>
  </si>
  <si>
    <t>[Petrou, K.; Ralph, P. J.] Univ Technol Sydney, Sch Environm, Broadway, NSW 2007, Australia</t>
  </si>
  <si>
    <t>University of Technology Sydney</t>
  </si>
  <si>
    <t>Petrou, K (corresponding author), Univ Technol Sydney, Sch Environm, POB 123, Broadway, NSW 2007, Australia.</t>
  </si>
  <si>
    <t>klpetrou@uts.edu.au</t>
  </si>
  <si>
    <t>Ralph, Peter/L-1527-2019</t>
  </si>
  <si>
    <t>Ralph, Peter/0000-0002-3103-7346; Petrou, Katherina/0000-0002-2703-0694</t>
  </si>
  <si>
    <t>Australian Research Council [DP0773558]; Australian Postgraduate Award; Commonwealth Scientific and Industrial Research Organisation (CSIRO); Australian Research Council [DP0773558] Funding Source: Australian Research Council</t>
  </si>
  <si>
    <t>Australian Research Council(Australian Research Council); Australian Postgraduate Award(Australian Government); Commonwealth Scientific and Industrial Research Organisation (CSIRO)(Commonwealth Scientific &amp; Industrial Research Organisation (CSIRO)); Australian Research Council(Australian Research Council)</t>
  </si>
  <si>
    <t>Thanks to the 3 anonymous reviewers for their input to improve this paper. Thanks to Olivia Sackett for experimental assistance and Dr Isabel Jimenez-Denness for her support, helpful discussions and guidance. We are grateful to Dr A. Pankowski, Dr P. Assmy and Dr C. Hassler for supplying the 3 Antarctic cultures (F. cylindrus, P. subcurvata and Chaetoceros sp., respectively). Financial support was provided by the Australian Research Council grant (DP0773558) awarded to P.J.R., Aquatic Processes Group and Department of Environmental Sciences, University of Technology, Sydney. K.P. was supported by an Australian Postgraduate Award and the Commonwealth Scientific and Industrial Research Organisation (CSIRO) top-up scholarship.</t>
  </si>
  <si>
    <t>10.3354/meps09291</t>
  </si>
  <si>
    <t>826GV</t>
  </si>
  <si>
    <t>Bronze, Green Submitted</t>
  </si>
  <si>
    <t>WOS:000295342600003</t>
  </si>
  <si>
    <t>Mould, J</t>
  </si>
  <si>
    <t>Mould, Jeremy</t>
  </si>
  <si>
    <t>A Next Generation Deep 2-μm Survey: Reconnoitering the Dark Ages</t>
  </si>
  <si>
    <t>PUBLICATIONS OF THE ASTRONOMICAL SOCIETY OF AUSTRALIA</t>
  </si>
  <si>
    <t>infrared: general; galaxies: high redshift; telescopes</t>
  </si>
  <si>
    <t>SKY; FIELD</t>
  </si>
  <si>
    <t>The next generation 2-mu m sky survey should target nascent galaxies in the epoch of reionization for spectroscopic followup on large telescopes. A 2.5-m telescope at a site on the Antarctic plateau has advantages for this purpose and for southern hemisphere infrared surveys in general.</t>
  </si>
  <si>
    <t>[Mould, Jeremy] Swinburne Univ, Hawthorn, Vic 3122, Australia</t>
  </si>
  <si>
    <t>Swinburne University of Technology</t>
  </si>
  <si>
    <t>Mould, J (corresponding author), Swinburne Univ, Hawthorn, Vic 3122, Australia.</t>
  </si>
  <si>
    <t>jmould@swin.edu.au</t>
  </si>
  <si>
    <t>Mould, Jeremy/0000-0003-3820-1740</t>
  </si>
  <si>
    <t>Australian Research Council through CAASTRO; [CE11E0090]</t>
  </si>
  <si>
    <t>Australian Research Council through CAASTRO(Australian Research Council);</t>
  </si>
  <si>
    <t>This paper is based on a presentation to the SCAR AAA meeting in July 2011. I would like to thank the PILOT and PLATO teams for inspiration and for their perseverance, and John Storey and his UNSW team for organizing a timely international meeting. Survey astronomy is supported by the Australian Research Council through CAASTRO. The Centre for All-sky Astrophysics is an Australian Research Council Centre of Excellence, funded by grant CE11E0090.</t>
  </si>
  <si>
    <t>1323-3580</t>
  </si>
  <si>
    <t>1448-6083</t>
  </si>
  <si>
    <t>PUBL ASTRON SOC AUST</t>
  </si>
  <si>
    <t>Publ. Astron. Soc. Aust.</t>
  </si>
  <si>
    <t>10.1071/AS11036</t>
  </si>
  <si>
    <t>823XY</t>
  </si>
  <si>
    <t>WOS:000295162500006</t>
  </si>
  <si>
    <t>Krajewski, KP</t>
  </si>
  <si>
    <t>Tewari, VC; Seckbach, J</t>
  </si>
  <si>
    <t>Krajewski, Krzysztof P.</t>
  </si>
  <si>
    <t>PHOSPHATIC MICROBIALITES IN THE TRIASSIC PHOSPHOGENIC FACES OF SVALBARD</t>
  </si>
  <si>
    <t>STROMATOLITES: INTERACTION OF MICROBES WITH SEDIMENTS</t>
  </si>
  <si>
    <t>Cellular Origin Life in Extreme Habitats and Astrobiology</t>
  </si>
  <si>
    <t>Phosphatic microbialites; Triassic; Phosphogenesis; Coastal upwelling; Benthic; Microbial mats; Sedimentation; Carbonate fluorapatite; Fossilization; Pyritization; Phosphorus; Svalbard</t>
  </si>
  <si>
    <t>CONTINENTAL-MARGIN SEDIMENTS; RARE-EARTH-ELEMENTS; PHOSPHORITES SOUTHERN ISRAEL; SULFUR ISOTOPE FRACTIONATION; ORGANIC-RICH SEDIMENTS; FRESH-WATER STRAINS; SULFATE REDUCTION; PYRITE FORMATION; BIOLOGICAL PROCESSES; MONTEREY FORMATION</t>
  </si>
  <si>
    <t>The Triassic organic carbon-rich, phosphogenic facies setting in Svalbard, NW Barents Sea Shelf provides an insight into ancient shelf depositional system that shows similarities to modern phosphogenic shelves reinforced by coastal upwellings. Enhanced deposition and diagenesis of marine organic matter on the Svalbard shelf promoted phosphogenesis in bottom sediments that resulted in the formation of various nodular and peloidal phosphate deposits as well as peculiar phosphatic accumulations related to benthic activity of microbial mats. The phosphatic microbialites are interpreted to have been dominated by mats of colorless filamentous sulfur bacteria, which proliferated on elevated sediment bodies and submarine slopes under conditions of highly reduced or halted sedimentation. They provided local depositional systems capable of precipitating and significantly concentrating carbonate fluorapatite (CFA) in the sediment due to sealing of the sediment surface to phosphate diffusion, narrowing chemical gradients essential for the phosphorus pumps, reactive phosphate buildup, and the mineral precipitation. The precipitation of apatite was a very early phenomenon that resulted in the formation of phosphatic matrix or cement filling the original pore space of biolaminated sediment sequences. The matrix formation was a complex process, involving pulses of apatite precipitation associated with fossilization of microbial communities, oxidation of organic matter, enrichment with rare earth elements, and pyritization of the phosphatic fabric. The formation of phosphatic matrix was limited to a narrow submat zone, which coincided with the upper limit of the sulfate reduction zone in organic-rich sediment. The horizons with well-defined phosphatic microbialites show high concentrations of CFA (up to 32 wt% P2O5), though their contribution to the phosphorus pool of the phosphogenic facies is subordinate. Nodular and peloidal accumulations dominate the phosphorite fraction of the Triassic sequence, but these phosphates usually give lower burial phosphorus concentrations in the sediment.</t>
  </si>
  <si>
    <t>[Krajewski, Krzysztof P.] Polish Acad Sci, Inst Geol Sci, PL-00818 Warsaw, Poland; [Krajewski, Krzysztof P.] Polish Acad Sci, Dept Antarctic Biol, PL-02141 Warsaw, Poland</t>
  </si>
  <si>
    <t>Polish Academy of Sciences; Institute of Geological Sciences of the Polish Academy of Sciences; Polish Academy of Sciences</t>
  </si>
  <si>
    <t>Krajewski, KP (corresponding author), Polish Acad Sci, Inst Geol Sci, Twarda 51155, PL-00818 Warsaw, Poland.</t>
  </si>
  <si>
    <t>kpkraj@twarda.pan.pl</t>
  </si>
  <si>
    <t>1871-661X</t>
  </si>
  <si>
    <t>978-94-007-0396-4</t>
  </si>
  <si>
    <t>CELL ORIG LIFE EXTRE</t>
  </si>
  <si>
    <t>Cell. Orig. Life Extrem. Habitats Astrobiol.</t>
  </si>
  <si>
    <t>10.1007/978-94-007-0397-1</t>
  </si>
  <si>
    <t>Biology; Cell Biology</t>
  </si>
  <si>
    <t>Life Sciences &amp; Biomedicine - Other Topics; Cell Biology</t>
  </si>
  <si>
    <t>BWJ51</t>
  </si>
  <si>
    <t>WOS:000294028500011</t>
  </si>
  <si>
    <t>Jabour, J</t>
  </si>
  <si>
    <t>Jones, A; Phillips, M</t>
  </si>
  <si>
    <t>Jabour, Julia</t>
  </si>
  <si>
    <t>Would You Like Ice With That? Antarctic Tourism and Climate Change</t>
  </si>
  <si>
    <t>DISAPPEARING DESTINATIONS: CLIMATE CHANGE AND FUTURE CHALLENGES FOR COASTAL TOURISM</t>
  </si>
  <si>
    <t>Univ Tasmania, Inst Antarctic &amp; So Ocean Studies, Hobart, Tas 7001, Australia</t>
  </si>
  <si>
    <t>Jabour, J (corresponding author), Univ Tasmania, Inst Antarctic &amp; So Ocean Studies, Private Bag 77, Hobart, Tas 7001, Australia.</t>
  </si>
  <si>
    <t>jabour@utas.edu.au</t>
  </si>
  <si>
    <t>Jabour, Julia A/J-7882-2014</t>
  </si>
  <si>
    <t>CABI PUBLISHING-C A B INT</t>
  </si>
  <si>
    <t>WALLINGFORD</t>
  </si>
  <si>
    <t>CABI PUBLISHING, WALLINGFORD 0X10 8DE, OXON, ENGLAND</t>
  </si>
  <si>
    <t>978-1-84593-548-1</t>
  </si>
  <si>
    <t>10.1079/9781845935481.0177</t>
  </si>
  <si>
    <t>10.1079/9781845935481.0000</t>
  </si>
  <si>
    <t>Environmental Studies; Hospitality, Leisure, Sport &amp; Tourism</t>
  </si>
  <si>
    <t>Environmental Sciences &amp; Ecology; Social Sciences - Other Topics</t>
  </si>
  <si>
    <t>BVY08</t>
  </si>
  <si>
    <t>WOS:000293122600015</t>
  </si>
  <si>
    <t>Carlsen, J; Butler, R</t>
  </si>
  <si>
    <t>Aliens in an Ancient Landscape: Rabbits, Rats and Tourists on Macquarie Island</t>
  </si>
  <si>
    <t>ISLAND TOURISM: SUSTAINABLE PERSPECTIVES</t>
  </si>
  <si>
    <t>Ecotourism Book Series</t>
  </si>
  <si>
    <t>MANAGEMENT</t>
  </si>
  <si>
    <t>Univ Tasmania, Inst Marine &amp; Antarctic Studies, Hobart, Tas 7001, Australia</t>
  </si>
  <si>
    <t>Jabour, J (corresponding author), Univ Tasmania, Inst Marine &amp; Antarctic Studies, Hobart, Tas 7001, Australia.</t>
  </si>
  <si>
    <t>978-1-84593-679-2</t>
  </si>
  <si>
    <t>ECOTOUR BK SER</t>
  </si>
  <si>
    <t>10.1079/9781845936792.0000</t>
  </si>
  <si>
    <t>Hospitality, Leisure, Sport &amp; Tourism</t>
  </si>
  <si>
    <t>Social Sciences - Other Topics</t>
  </si>
  <si>
    <t>BWB11</t>
  </si>
  <si>
    <t>WOS:000293335600003</t>
  </si>
  <si>
    <t>Reinardy, BTI; Larter, RD; Hillenbrand, CD; Murray, T; Hiemstra, JF; Booth, AD</t>
  </si>
  <si>
    <t>Reinardy, Benedict T. I.; Larter, Robert D.; Hillenbrand, Claus-Dieter; Murray, Tavi; Hiemstra, John F.; Booth, Adam D.</t>
  </si>
  <si>
    <t>Streaming flow of an Antarctic Peninsula palaeo-ice stream, both by basal sliding and deformation of substrate</t>
  </si>
  <si>
    <t>GLACIAL GEOMORPHIC FEATURES; SUBGLACIAL BEDS; WEST ANTARCTICA; BENEATH; SHELF; SHEET; TILL; MARGIN; SEA; BATHYMETRY</t>
  </si>
  <si>
    <t>Acoustic sub-bottom profiler surveys on the northeast Antarctic Peninsula shelf indicate that parts of the seabed are underlain by an acoustically transparent layer that is thin on the inner shelf and becomes thicker and more extensive towards the outer shelf. Sedimentological and geophysical data are combined to construct a bed model where streaming ice flow, by both deformation and basal sliding, took place within cross-shelf troughs. The model suggests only limited deformation contributed to fast flow on the inner shelf, i.e. in the onset zone of ice streaming, where the bed was predominantly underlain by a stiff till. Thus, fast ice flow in this area might have been by basal sliding, with deformation confined to discontinuous patches of soft till &lt;40 cm thick. Towards the middle and outer shelf, extensive, thick sequences of soft till suggest a change in the dominant subglacial process towards widespread deformation. This downstream change from basal sliding to subglacial deformation is manifest in the transition from stiff-till dominance to soft-till dominance, while a downstream increase in ice flow velocity is evident from the complex geomorphic imprint on the inner shelf evolving to the more restricted set of bedforms on the outer shelf.</t>
  </si>
  <si>
    <t>[Reinardy, Benedict T. I.; Murray, Tavi; Hiemstra, John F.; Booth, Adam D.] Swansea Univ, Dept Geog, Swansea SA2 8PP, W Glam, Wales; [Larter, Robert D.; Hillenbrand, Claus-Dieter] British Antarctic Survey, Nat Environm Res Council, Cambridge CB3 0ET, England</t>
  </si>
  <si>
    <t>Swansea University; UK Research &amp; Innovation (UKRI); Natural Environment Research Council (NERC); NERC British Antarctic Survey</t>
  </si>
  <si>
    <t>Reinardy, BTI (corresponding author), Swansea Univ, Dept Geog, Singleton Pk, Swansea SA2 8PP, W Glam, Wales.</t>
  </si>
  <si>
    <t>371404@swansea.ac.uk</t>
  </si>
  <si>
    <t>Reinardy, Benedict/HKO-3273-2023; Hiemstra, John F/E-4192-2013</t>
  </si>
  <si>
    <t>Reinardy, Benedict/0000-0002-3409-6747; Booth, Adam/0000-0002-8166-9608; Murray, Tavi/0000-0001-6714-6512; Larter, Robert/0000-0002-8414-7389</t>
  </si>
  <si>
    <t>UK Natural Environment Research Council</t>
  </si>
  <si>
    <t>UK Natural Environment Research Council(UK Research &amp; Innovation (UKRI)Natural Environment Research Council (NERC))</t>
  </si>
  <si>
    <t>This work forms a contribution to the Ice Sheets component of the British Antarctic Survey Polar Science for Planet Earth Programme. It was funded by the UK Natural Environment Research Council. We thank the officers and crew of RRS James Clark Ross for their skilful ice navigation, the British Geological Survey team for coring in Antarctic conditions during cruises JR48 and JR71 to the NEAP continental shelf in 2000 and 2002, and especially C. Pudsey, J. Evans and A. Graham for all their help.</t>
  </si>
  <si>
    <t>EDINBURGH BLDG, SHAFTESBURY RD, CB2 8RU CAMBRIDGE, ENGLAND</t>
  </si>
  <si>
    <t>1727-5652</t>
  </si>
  <si>
    <t>10.3189/002214311797409758</t>
  </si>
  <si>
    <t>822BT</t>
  </si>
  <si>
    <t>WOS:000295019400002</t>
  </si>
  <si>
    <t>Horgan, HJ; Anandakrishnan, S; Alley, RB; Burkett, PG; Peters, LE</t>
  </si>
  <si>
    <t>Horgan, Huw J.; Anandakrishnan, Sridhar; Alley, Richard B.; Burkett, Peter G.; Peters, Leo E.</t>
  </si>
  <si>
    <t>Englacial seismic reflectivity: imaging crystal-orientation fabric in West Antarctica</t>
  </si>
  <si>
    <t>C-AXIS FABRICS; ICE-SHEET; SIPLE-DOME; POLAR ICE; CORE; GREENLAND; GLACIERS; TEXTURES</t>
  </si>
  <si>
    <t>Abrupt changes in crystal-orientation fabric (COF), and therefore viscosity, are observed near the base of the ice sheet throughout West Antarctica. We report on active-source seismic observations from WAIS Divide, mid-stream and downstream on Thwaites Glacier, and the onset region of Bindschadler Ice Stream. These data reveal a prevalence of englacial seismic reflectivity in the bottom quarter of the ice sheet. The observed seismic reflectivity is complex but largely bed-conformable, with long-spatial-wavelength features observed in the flow direction and short-wavelength features observed across flow. A correspondence of englacial structures with bed features is also observed. We determine the origin of the reflectivity to be abrupt changes in the COF of ice, based on the following: (1) observations of englacial reflectivity are consistent with current knowledge of COF within ice sheets, (2) englacial reflectivity caused by COF contrasts requires the simplest genesis, especially at ice divides, and (3) amplitude analysis shows that the observed englacial reflectivity can be explained by contrasts in seismic velocity due to COF changes. We note that the downstream increase in the quantity and complexity of observations indicates that direct observations of COF at ice divides likely underestimate the role that fabric plays in ice-sheet dynamics.</t>
  </si>
  <si>
    <t>[Horgan, Huw J.] Victoria Univ Wellington, Antarctic Res Ctr, Wellington, New Zealand; [Horgan, Huw J.; Anandakrishnan, Sridhar; Alley, Richard B.; Burkett, Peter G.; Peters, Leo E.] Penn State Univ, Dept Geosci, University Pk, PA 16802 USA; [Horgan, Huw J.; Anandakrishnan, Sridhar; Alley, Richard B.; Burkett, Peter G.; Peters, Leo E.] Penn State Univ, PSICE Ctr, University Pk, PA 16802 USA; [Anandakrishnan, Sridhar; Alley, Richard B.; Burkett, Peter G.; Peters, Leo E.] Penn State Univ, Earth &amp; Environm Syst Inst, University Pk, PA 16802 USA</t>
  </si>
  <si>
    <t>Victoria University Wellington; 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</si>
  <si>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Horgan, HJ (corresponding author), Victoria Univ Wellington, Antarctic Res Ctr, POB 600, Wellington, New Zealand.</t>
  </si>
  <si>
    <t>huw.horgan@vuw.ac.nz</t>
  </si>
  <si>
    <t>Horgan, Huw/I-5847-2019; Anandakrishnan, Sridhar/JCN-5026-2023</t>
  </si>
  <si>
    <t>Horgan, Huw/0000-0002-4836-0078;</t>
  </si>
  <si>
    <t>US National Science Foundation; Center for Remote Sensing of Ice Sheets (CReSIS) [NSF-OPP-0424589 (CReSIS), 0539578]</t>
  </si>
  <si>
    <t>US National Science Foundation(National Science Foundation (NSF)); Center for Remote Sensing of Ice Sheets (CReSIS)</t>
  </si>
  <si>
    <t>This work was made possible by the US National Science Foundation and the Center for Remote Sensing of Ice Sheets (CReSIS) (NSF-OPP-0424589 (CReSIS), 0539578 (R.B.A.)) along with field support from Raytheon Polar Services Company. H.J.H. is grateful for the generous support of the Alan Eggers Endowment. Active-source seismic acquisition is an arduous enterprise and we are grateful for the assistance of P. Braddock, K. Christianson, R. Greschke, J. MacGregor, A. Mironov, A. Morton, M. Nolan, S. O'Neel, A. Smith, D. Voigt, J.P. Winberry and L. Zoet. We thank I. Joughin for velocity data. The manuscript was improved by the reviews of T.H. Jacka and an anonymous reviewer, and by discussions with R. Dadic and A. Mackintosh.</t>
  </si>
  <si>
    <t>10.3189/002214311797409686</t>
  </si>
  <si>
    <t>Green Accepted, Green Submitted, Bronze</t>
  </si>
  <si>
    <t>WOS:000295019400006</t>
  </si>
  <si>
    <t>Ding, MH; Xiao, CD; Li, YS; Ren, JW; Hou, SG; Jin, B; Sun, B</t>
  </si>
  <si>
    <t>Ding Minghu; Xiao Cunde; Li Yuansheng; Ren Jiawen; Hou Shugui; Jin Bo; Sun Bo</t>
  </si>
  <si>
    <t>Spatial variability of surface mass balance along a traverse route from Zhongshan station to Dome A, Antarctica</t>
  </si>
  <si>
    <t>LAMBERT GLACIER BASIN; SNOW-ACCUMULATION VARIABILITY; EAST ANTARCTICA; WILKES LAND; CLIMATE; REGION</t>
  </si>
  <si>
    <t>Stakes at 2 km intervals were installed in January 1997 and remeasured in February 1998, January 1999, January 2005 and during the 2007/08 austral summer along a 1248 km traverse route from Zhongshan station to Dome A, East Antarctica. Based on topographical parameters, meteorological features and the records of similar to 650 stakes and six stake arrays, the route is divided into five zones. We find that the snow accumulation rate decreases with increasing altitude as one progresses inland, except in the zone 800-1128 km from the coast, where the average annual accumulation rate is higher than in the zone 524-800 km from the coast. The Dome A zone (1128-1248 km) has the lowest accumulation rate (35 kg m(-2) a(-1), 2005-08) due to having the highest elevation and being furthest from the coast. The surface mass balance in the region 202-1128 km from the coast exhibits no temporal change from 1999-2005 to 2005-08, but there is a change in the accumulation distribution. The zone from 202 to 524 km shows a decrease in surface mass balance from 84 kg m(-2) a(-1) in 1999-2005 to 67 kg m(-2) a(-1) in 2005-08, while the zone between 800 and 1128 km shows an increase from 67 kg m(-2) a(-1) in 1999-2005 to 75 kg m(-2) a(-1) in 2005-08.</t>
  </si>
  <si>
    <t>[Ding Minghu; Xiao Cunde; Ren Jiawen; Hou Shugui] Chinese Acad Sci, Cold &amp; Arid Reg Environm &amp; Engn Res Inst, State Key Lab Cryospher Sci, Lanzhou 730000, Peoples R China; [Ding Minghu] Chinese Acad Sci, Inst Geol &amp; Geophys, Div Cenozo Geol &amp; Environm, Beijing 100029, Peoples R China; [Ding Minghu; Xiao Cunde] Chinese Acad Meteorol Sci, Inst Climate Syst, Beijing 100081, Peoples R China; [Ding Minghu] Chinese Acad Sci, Grad Univ, Beijing 100049, Peoples R China; [Hou Shugui] Nanjing Univ, Minist Educ, Sch Geog &amp; Oceanog Sci, Key Lab Coast &amp; Isl Dev, Nanjing 210093, Peoples R China; [Li Yuansheng; Sun Bo] Polar Res Inst China, Shanghai 200136, Peoples R China; [Jin Bo] Chinese Arctic &amp; Antarctic Adm, Beijing 100860, Peoples R China</t>
  </si>
  <si>
    <t>Chinese Academy of Sciences; Cold &amp; Arid Regions Environmental &amp; Engineering Research Institute, CAS; Chinese Academy of Sciences; Institute of Geology &amp; Geophysics, CAS; China Meteorological Administration; Chinese Academy of Meteorological Sciences (CAMS); Chinese Academy of Sciences; University of Chinese Academy of Sciences, CAS; Nanjing University; Polar Research Institute of China</t>
  </si>
  <si>
    <t>Ding, MH (corresponding author), Chinese Acad Sci, Cold &amp; Arid Reg Environm &amp; Engn Res Inst, State Key Lab Cryospher Sci, 320 Donggang W Rd, Lanzhou 730000, Peoples R China.</t>
  </si>
  <si>
    <t>cdxiao@lzb.ac.cn</t>
  </si>
  <si>
    <t>Hou, Shugui/J-3651-2015; Jiawen, Ren/K-7734-2012; Ding, Minghu/AFU-3600-2022</t>
  </si>
  <si>
    <t>Ding, Minghu/0000-0002-1142-6598; Hou, Shugui/0000-0002-0905-3542</t>
  </si>
  <si>
    <t>National Natural Science Foundation of China [500222103002, 40825017]; Chinese Academy of Sciences; Ministry of Science and Technology of the People's Republic of China [2006BAB18B01]; Chinese Arctic and Antarctic Administration; State Key Laboratory of Cryospheric Sciences</t>
  </si>
  <si>
    <t>National Natural Science Foundation of China(National Natural Science Foundation of China (NSFC)); Chinese Academy of Sciences(Chinese Academy of Sciences); Ministry of Science and Technology of the People's Republic of China(Ministry of Science and Technology, China); Chinese Arctic and Antarctic Administration; State Key Laboratory of Cryospheric Sciences</t>
  </si>
  <si>
    <t>We thank CHINARE for logistical support. This study was funded by the National Natural Science Foundation of China (500222103002, 40825017), the Hundred Talent Project of the Chinese Academy of Sciences, and the Natural Science Project of the Ministry of Science and Technology of the People's Republic of China (2006BAB18B01). We also received logistical and financial support from the Chinese Arctic and Antarctic Administration and the State Key Laboratory of Cryospheric Sciences. We thank all members of the traverse teams. We also thank J. Ming and M. Frezzotti for many helpful comments.</t>
  </si>
  <si>
    <t>WOS:000295019400008</t>
  </si>
  <si>
    <t>Bliss, AK; Cuffey, KM; Kavanaugh, JL</t>
  </si>
  <si>
    <t>Bliss, Andrew K.; Cuffey, Kurt M.; Kavanaugh, Jeffrey L.</t>
  </si>
  <si>
    <t>Sublimation and surface energy budget of Taylor Glacier, Antarctica</t>
  </si>
  <si>
    <t>MCMURDO DRY VALLEYS; AERODYNAMIC ROUGHNESS LENGTH; BLUE-ICE; BONNEY DRIFT; BALANCE; MODEL; RATES; CORE; SNOW; DOME</t>
  </si>
  <si>
    <t>Taylor Glacier, an outlet of the East Antarctic ice sheet, flows through the Transantarctic Mountains and terminates in the Dry Valleys. Understanding how this glacier fluctuates is important for studies of glacial geology, paleoclimate, ice dynamics and ecology. Sublimation is the primary mass-loss process for most of the glacier. Four years of specific balance measurements from the ablation zone show sublimation rates up to 40 cm a(-1). We used data from an array of weather stations as inputs to a model for latent heat flux and hence sublimation rate. Calculated and measured ablation rates agree to within uncertainties, indicating that wind speed and vapour pressure gradient (a function of temperature and humidity) are the governing variables, as expected from theory. Measurements and model results together allowed us to examine the spatial and temporal variations of sublimation on the glacier. On average, sublimation is about two times faster in summer than winter. Rapid sublimation occurs during storms and katabatic wind events, but such periods contribute less to the annual total than do slow, persistent losses. Spatially, sublimation reaches a maximum midway along the glacier, where descending surface air currents are focused by the topography of the aptly named tributary, Windy Gully.</t>
  </si>
  <si>
    <t>[Bliss, Andrew K.; Cuffey, Kurt M.] Univ Calif Berkeley, Dept Geog, Berkeley, CA 94720 USA; [Kavanaugh, Jeffrey L.] Univ Alberta, Dept Earth &amp; Atmospher Sci, Edmonton, AB T6G 2E3, Canada</t>
  </si>
  <si>
    <t>University of California System; University of California Berkeley; University of Alberta</t>
  </si>
  <si>
    <t>Bliss, AK (corresponding author), Univ Calif Berkeley, Dept Geog, 507 McCone Hall, Berkeley, CA 94720 USA.</t>
  </si>
  <si>
    <t>andybliss@gmail.com</t>
  </si>
  <si>
    <t>Bliss, Andrew/0000-0002-8637-1923</t>
  </si>
  <si>
    <t>US National Science Foundation (NSF) [OPP-0125579]; University of California</t>
  </si>
  <si>
    <t>US National Science Foundation (NSF)(National Science Foundation (NSF)); University of California(University of California System)</t>
  </si>
  <si>
    <t>Thanks to fellow scientists and support staff who helped us in the field. The McMurdo Dry Valleys LTER project graciously provided their weather station and ablation data. The work reported here was supported in part by US National Science Foundation (NSF) grant OPP-0125579 to K.M.C. Additional funding was provided by the University of California.</t>
  </si>
  <si>
    <t>10.3189/002214311797409767</t>
  </si>
  <si>
    <t>WOS:000295019400010</t>
  </si>
  <si>
    <t>Brun, E; Six, D; Picard, G; Vionnet, V; Arnaud, L; Bazile, E; Boone, A; Bouchard, A; Genthon, C; Guidard, V; Le Moigne, P; Rabier, F; Seity, Y</t>
  </si>
  <si>
    <t>Brun, Eric; Six, Delphine; Picard, Ghislain; Vionnet, Vincent; Arnaud, Laurent; Bazile, Eric; Boone, Aaron; Bouchard, Aurelie; Genthon, Christophe; Guidard, Vincent; Le Moigne, Patrick; Rabier, Florence; Seity, Yann</t>
  </si>
  <si>
    <t>Snow/atmosphere coupled simulation at Dome C, Antarctica</t>
  </si>
  <si>
    <t>SURFACE-ENERGY BALANCE; FRANCE CLIMATE MODEL; SNOW-COVER; OPERATIONAL IMPLEMENTATION; BRIGHTNESS TEMPERATURE; TIME-SERIES; PARAMETERIZATION; ICE; VALIDATION; BUDGET</t>
  </si>
  <si>
    <t>Using a snow/atmosphere coupled model, the evolution of the surface and near-surface snow temperature is modeled at Dome C, Antarctica, during the period 20-30 January 2010. Firstly, the detailed multilayer snow model Crocus is run in stand-alone mode, with meteorological input forcing data provided by local meteorological observations. The snow model is able to simulate the evolution of surface temperature with good accuracy. It reproduces the observed downward propagation of the diurnal heatwave into the upper 50 cm of the snowpack reasonably well. Secondly, a fully coupled 3-D snow/atmosphere simulation is performed with the AROME regional meteorological model, for which the standard single-layer snow parameterization is replaced by Crocus. In spite of a poor simulation of clouds, the surface and near-surface snow temperatures are correctly simulated, showing neither significant bias nor drifts during the simulation period. The model reproduces particularly well the average decrease of the diurnal amplitude of air temperature from the surface to the top of the 45 m instrumented tower. This study highlights the potential of snow/atmosphere coupled models over the Antarctic plateau and the need to improve cloud microphysics and data assimilation over polar regions.</t>
  </si>
  <si>
    <t>[Brun, Eric; Vionnet, Vincent; Bazile, Eric; Boone, Aaron; Bouchard, Aurelie; Guidard, Vincent; Le Moigne, Patrick; Rabier, Florence; Seity, Yann] Meteo France, CNRM GAME, F-31057 Toulouse, France; [Brun, Eric; Vionnet, Vincent; Bazile, Eric; Boone, Aaron; Bouchard, Aurelie; Guidard, Vincent; Le Moigne, Patrick; Rabier, Florence; Seity, Yann] CNRS, F-31057 Toulouse, France; [Six, Delphine; Picard, Ghislain; Arnaud, Laurent; Genthon, Christophe] UJF Grenoble 1 CNRS, LGGE UMR 5183, F-38041 Grenoble, France</t>
  </si>
  <si>
    <t>Centre National de la Recherche Scientifique (CNRS); Meteo France; Centre National de la Recherche Scientifique (CNRS); Centre National de la Recherche Scientifique (CNRS); Communaute Universite Grenoble Alpes; Universite Grenoble Alpes (UGA)</t>
  </si>
  <si>
    <t>Brun, E (corresponding author), Meteo France, CNRM GAME, F-31057 Toulouse, France.</t>
  </si>
  <si>
    <t>Eric.Brun@meteo.fr</t>
  </si>
  <si>
    <t>Le+Moigne, Patrick/AAU-9622-2020; Picard, Ghislain/D-4246-2013; Vionnet, Vincent/F-5446-2018; GUIDARD, Vincent/X-3762-2019</t>
  </si>
  <si>
    <t>Picard, Ghislain/0000-0003-1475-5853; GUIDARD, Vincent/0000-0002-4136-3962; Rabier, Florence/0000-0002-3222-6712; boone, aaron/0000-0003-1901-7024; arnaud, laurent/0000-0002-4432-4205; Vionnet, Vincent/0000-0002-9142-9739</t>
  </si>
  <si>
    <t>IPEV; European Commission [226520]; French Institut National des Sciences de l'Univers program Equipement-Troposphere-Concordia; Meteo-France; CNES; CNRS/INSU; NSF; NCAR; University of Wyoming; Purdue University; University of Colorado; Alfred Wegener Institute; Met Office; ECMWF; PNRA; USAP; BAS; BSRN measurements at Concordia; UCAR [20020793]</t>
  </si>
  <si>
    <t>IPEV; European Commission(European Union (EU)European Commission Joint Research Centre); French Institut National des Sciences de l'Univers program Equipement-Troposphere-Concordia; Meteo-France; CNES(Centre National D'etudes Spatiales); CNRS/INSU(Centre National de la Recherche Scientifique (CNRS)); NSF(National Science Foundation (NSF)); NCAR(National Science Foundation (NSF)NSF - Directorate for Geosciences (GEO)); University of Wyoming; Purdue University; University of Colorado; Alfred Wegener Institute; Met Office; ECMWF; PNRA; USAP; BAS; BSRN measurements at Concordia; UCAR</t>
  </si>
  <si>
    <t>This work is a contribution to the international Concordiasi project, currently supported by the following agencies: Meteo-France; CNES; CNRS/INSU; NSF; NCAR; University of Wyoming; Purdue University; University of Colorado; the Alfred Wegener Institute; the Met Office; and ECMWF. Concordiasi also benefits from logistic or financial support from the operational polar agencies IPEV, PNRA, USAP and BAS, and from BSRN measurements at Concordia. Concordiasi is part of the THORPEX IPY cluster within the International Polar Year effort.; This work was funded by IPEV, under the CALVA project, and by the European Commission's 7th Framework Programme, under grant agreement No. 226520, COMBINE project. Concordia station at Dome C is jointly operated by IPEV and PNRA. Meteorological instruments on the tower were funded by the French Institut National des Sciences de l'Univers program Equipement-Troposphere-Concordia. ISAC-CNR provided the BSRN radiation data.; We thank L. Moggio who achieved the radio soundings assimilated by ARPEGE, C. Lanconelli who provided the BSRN data, F. Domine and M. Town, who provided the IR thermometer, C. Lac who provided Meso-NH outputs, J. Nicolas who provided AMPS outputs and A. Pellegrini who provided some of the meteorological observations. The AMPS project is funded by UCAR subcontract 20020793.</t>
  </si>
  <si>
    <t>10.3189/002214311797409794</t>
  </si>
  <si>
    <t>WOS:000295019400013</t>
  </si>
  <si>
    <t>McGwire, KC; Taylor, KC; Banta, JR; McConnell, JR</t>
  </si>
  <si>
    <t>McGwire, Kenneth C.; Taylor, Kendrick C.; Banta, John R.; McConnell, Joseph R.</t>
  </si>
  <si>
    <t>Identifying annual peaks in dielectric profiles with a selection curve</t>
  </si>
  <si>
    <t>GREENLAND ICE CORE; ACCUMULATION; ACID</t>
  </si>
  <si>
    <t>A novel 'selection curve' method is developed to interpret annual layers in the West Antarctic ice sheet (WAIS) Divide ice core based on dielectric properties (DEP). Because dielectric measurements are non-contact and represent the integrated response of the ice volume, they are particularly useful for the brittle zone of the core. Seasonal differences in ice chemistry create an annual signal in DEP, though multiple peaks of varying strength within a year may complicate the interpretation of annual layers. The selection curve algorithm uses a spline curve whose shape selects successive annual peaks in plots of DEP. This spline curve was scaled to the average annual-layer thickness at a given depth, where the layer thickness was best estimated using the fast Fourier transform (FFT) power spectrum within a sliding 10 m window. To explore the accuracy and stability of the method, several spline curves were generated from varying lengths of calibration data taken from multiple depths in the WAIS core. Using 50 m of manually interpreted calibration data, the selection curve method matched a manual interpretation throughout the entire 1200m dataset to within 2% root-mean-square error (RMSE). This method is equally applicable to glaciochemical and other time/depth series measurements.</t>
  </si>
  <si>
    <t>[McGwire, Kenneth C.; Taylor, Kendrick C.; Banta, John R.; McConnell, Joseph R.] Desert Res Inst, Reno, NV 89512 USA</t>
  </si>
  <si>
    <t>Nevada System of Higher Education (NSHE); Desert Research Institute NSHE</t>
  </si>
  <si>
    <t>McGwire, KC (corresponding author), Desert Res Inst, 2215 Raggio Pkwy, Reno, NV 89512 USA.</t>
  </si>
  <si>
    <t>kenm@dri.edu</t>
  </si>
  <si>
    <t>Taylor, Kendrick/A-3469-2016</t>
  </si>
  <si>
    <t>Taylor, Kendrick/0000-0001-8535-1261</t>
  </si>
  <si>
    <t>US National Science Foundation (NSF) Office of Polar Programs [0440819, 0839093, 0739780]; Directorate For Geosciences; Division Of Polar Programs [0739780] Funding Source: National Science Foundation; Directorate For Geosciences; Office of Polar Programs (OPP) [0839093] Funding Source: National Science Foundation; Division Of Polar Programs; Directorate For Geosciences [0944191, 0440819] Funding Source: National Science Foundation</t>
  </si>
  <si>
    <t>US National Science Foundation (NSF) Office of Polar Programs(National Science Foundation (NSF)); Directorate For Geosciences; Division Of Polar Programs(National Science Foundation (NSF)NSF - Directorate for Geosciences (GEO)); Directorate For Geosciences; Office of Polar Programs (OPP)(National Science Foundation (NSF)NSF - Directorate for Geosciences (GEO)); Division Of Polar Programs; Directorate For Geosciences(National Science Foundation (NSF)NSF - Directorate for Geosciences (GEO))</t>
  </si>
  <si>
    <t>This work was funded by grants 0440819, 0839093 and 0739780 of the US National Science Foundation (NSF) Office of Polar Programs. We thank J. Vrugt for sharing his MATLAB version of the MOCOM code and T.J. Fudge for reviewing the manuscript.</t>
  </si>
  <si>
    <t>10.3189/002214311797409721</t>
  </si>
  <si>
    <t>WOS:000295019400016</t>
  </si>
  <si>
    <t>Bargu, S; Smith, E; Ozhan, K</t>
  </si>
  <si>
    <t>Seckbach, J; Kociolek, JP</t>
  </si>
  <si>
    <t>Bargu, Sibel; Smith, Emily; Ozhan, Koray</t>
  </si>
  <si>
    <t>TOXIC DIATOM PSEUDO-NITZSCHIA AND ITS PRIMARY CONSUMERS (VECTORS)</t>
  </si>
  <si>
    <t>DIATOM WORLD</t>
  </si>
  <si>
    <t>DOMOIC ACID ACCUMULATION; SCALLOP PECTEN-MAXIMUS; HARMFUL ALGAL BLOOMS; MONTEREY BAY; PARALYTIC SHELLFISH; FEEDING-BEHAVIOR; SEA LIONS; PSEUDONITZSCHIA-AUSTRALIS; POTENTIAL VECTOR; ANTARCTIC KRILL</t>
  </si>
  <si>
    <t>[Bargu, Sibel; Smith, Emily; Ozhan, Koray] Louisiana State Univ, Dept Oceanog &amp; Coastal Sci, Sch Coast &amp; Environm, Baton Rouge, LA 70803 USA</t>
  </si>
  <si>
    <t>Louisiana State University System; Louisiana State University</t>
  </si>
  <si>
    <t>Bargu, S (corresponding author), Louisiana State Univ, Dept Oceanog &amp; Coastal Sci, Sch Coast &amp; Environm, Baton Rouge, LA 70803 USA.</t>
  </si>
  <si>
    <t>sbargu@lsu.edu; esmi122@tigers.lsu.edu; kozhan1@tigers.lsu.edu</t>
  </si>
  <si>
    <t>Ozhan, Koray/J-3836-2015</t>
  </si>
  <si>
    <t>Ozhan, Koray/0000-0002-0189-3993</t>
  </si>
  <si>
    <t>978-94-007-1326-0</t>
  </si>
  <si>
    <t>10.1007/978-94-007-1327-7_22</t>
  </si>
  <si>
    <t>10.1007/978-94-007-1327-7</t>
  </si>
  <si>
    <t>Biology; Cell Biology; Ecology</t>
  </si>
  <si>
    <t>Life Sciences &amp; Biomedicine - Other Topics; Cell Biology; Environmental Sciences &amp; Ecology</t>
  </si>
  <si>
    <t>BWU60</t>
  </si>
  <si>
    <t>WOS:000294888400023</t>
  </si>
  <si>
    <t>Vlaev, S; Tonova, K; Pavlova, K; Elqotbi, M</t>
  </si>
  <si>
    <t>Pistikopoulos, EN; Georgiadis, MC; Kokossis, AC</t>
  </si>
  <si>
    <t>Vlaev, Serafim; Tonova, Konstantza; Pavlova, Kostantsa; Elqotbi, Mohammed</t>
  </si>
  <si>
    <t>Bioprocessing of exopolysaccharides (EPS): CFD optimization of bioreactor conditions</t>
  </si>
  <si>
    <t>21ST EUROPEAN SYMPOSIUM ON COMPUTER AIDED PROCESS ENGINEERING</t>
  </si>
  <si>
    <t>Computer-Aided Chemical Engineering</t>
  </si>
  <si>
    <t>21st European Symposium on Computer Aided Process Engineering (ESCAPE-21)</t>
  </si>
  <si>
    <t>MAY 29-JUN 01, 2010-2011</t>
  </si>
  <si>
    <t>Chalkidiki, GREECE</t>
  </si>
  <si>
    <t>CFD; simulation; bioreactor parameters; exopolysaccharide production</t>
  </si>
  <si>
    <t>AGITATION; AERATION</t>
  </si>
  <si>
    <t>Computational fluid dynamic (CFD) simulation based on standard k-epsilon RANS (Reynolds-averaged Navier-Stokes) model and Euler-Euler model of two-phase gas-liquid flow have been employed to aid experimentation in elucidating the performance conditions in a stirred bioreactor for exopolysaccharide (EPS) production. The study is focused on the effect of viscosity; the effect of 10(2)-fold consistency rise is studied. Psychrophilic yeast Sporobolomyces salmonicolor AL(1) supplied from Antarctic soil was the prototype biomass in the model media and glucomannan was the biopolymer produced. In order to be able to generalize, reference data for EPS bacterial strain producers were also used for extrapolation. Being important for cells' microenvironment, bioreactor local characteristics are considered: substrate distribution and oxygen mass transfer have been addressed, as related to velocity and kinetic energy dissipation specific for EPS production. In single impeller case, the substrate-depleted dead zones are found to exceed 30% by transfer area and mass transfer coefficient K(L)a is found to decrease twice compared to starting condition. Optimization is foreseen and demonstrated by variation of mixing intensity and retrofitting of impeller design.</t>
  </si>
  <si>
    <t>[Vlaev, Serafim; Tonova, Konstantza] Bulgarian Acad Sci, Inst Chem Engn, Sofia 1113, Bulgaria</t>
  </si>
  <si>
    <t>Bulgarian Academy of Sciences; University of Chemical Technology &amp; Metallurgy - Bulgaria</t>
  </si>
  <si>
    <t>Vlaev, S (corresponding author), Bulgarian Acad Sci, Inst Chem Engn, Acad G Bonchev Str,Bl 103 &amp; Bl 25, Sofia 1113, Bulgaria.</t>
  </si>
  <si>
    <t>Tonova, Konstantza/CAH-4898-2022</t>
  </si>
  <si>
    <t>Vlaev, Serafim/0000-0002-3026-1194; Tonova, Konstantza/0000-0002-0223-9440</t>
  </si>
  <si>
    <t>SARA BURGERHARTSTRAAT 25, PO BOX 211, 1000 AE AMSTERDAM, NETHERLANDS</t>
  </si>
  <si>
    <t>1570-7946</t>
  </si>
  <si>
    <t>978-0-444-53895-6</t>
  </si>
  <si>
    <t>COMPUT-AIDED CHEM EN</t>
  </si>
  <si>
    <t>Computer Science, Interdisciplinary Applications; Engineering, Chemical; Engineering, Industrial</t>
  </si>
  <si>
    <t>BWM08</t>
  </si>
  <si>
    <t>WOS:000294218900282</t>
  </si>
  <si>
    <t>Ohara, Y; Okino, K; Snow, JE</t>
  </si>
  <si>
    <t>Ogawa, Y; Anma, R; Dilek, Y</t>
  </si>
  <si>
    <t>Ohara, Yasuhiko; Okino, Kyoko; Snow, Jonathan E.</t>
  </si>
  <si>
    <t>Tectonics of Unusual Crustal Accretion in the Parece Vela Basin</t>
  </si>
  <si>
    <t>ACCRETIONARY PRISMS AND CONVERGENT MARGIN TECTONICS IN THE NORTHWEST PACIFIC BASIN</t>
  </si>
  <si>
    <t>Modern Approaches in Solid Earth Sciences</t>
  </si>
  <si>
    <t>Oceanic core complex; Intermediate-spreading ridge; Parece Vela Basin; Transform sandwich effect</t>
  </si>
  <si>
    <t>MID-ATLANTIC RIDGE; AUSTRALIAN-ANTARCTIC DISCORDANCE; GARRETT TRANSFORM-FAULT; SPREADING-RATE DEPENDENCE; OCEANIC CORE COMPLEXES; MIDOCEAN RIDGES; SOUTH-ATLANTIC; UPPER-MANTLE; ABYSSAL PERIDOTITES; THERMAL STRUCTURE</t>
  </si>
  <si>
    <t>Despite its rapid intermediate-spreading rate, the Parece Vela Basin (PVB) shows unusual characteristics that indicate a depressed magmatic budget, such as the occurrence of numerous oceanic core complexes (OCCs) and rugged terrain, exposing abundant peridotites and gabbros. Based on the geologic interpretations of crust with analogous features on global mid-ocean ridges, we propose three possible mechanisms that can account for these unusual characteristics: (1) presence of a cold and/or refractory mantle domain, (2) declining spreading rate during the later phase of the second-stage spreading of the PVB, and (3) a transform sandwich effect. Recent numerical modeling for formation of OCC suggests that there is a minimum as well as a maximum magmatic supply necessary to produce long-lived detachment fault. In the western PVB, a cold and/or refractory mantle domain inhibited a large amount of mantle melting within an intermediate-spreading ridge, attaining the limited window of the condition of magma supply demonstrated in the numerical model in an otherwise robust magmatic environment. In the central PVB, a transform sandwich effect and/or declining spreading rate inhibited a large amount of mantle melting within an intermediate-spreading ridge, also attaining the limited window of the condition of magma supply demonstrated in the numerical model in an otherwise robust magmatic environment.</t>
  </si>
  <si>
    <t>[Ohara, Yasuhiko] Hydrog &amp; Oceanog Dept Japan, Tokyo 1040045, Japan; [Ohara, Yasuhiko] Japan Agcy Marine Earth Sci &amp; Technol, Inst Res Earth Evolut, Yokosuka, Kanagawa 2370061, Japan; [Okino, Kyoko] Univ Tokyo, Atmosphere &amp; Ocean Res Inst, Div Ocean Earth Syst Sci, Kashiwa, Chiba 2778564, Japan; [Snow, Jonathan E.] Univ Houston, Dept Earth &amp; Atmospher Sci, Houston, TX 77204 USA</t>
  </si>
  <si>
    <t>Japan Agency for Marine-Earth Science &amp; Technology (JAMSTEC); University of Tokyo; University of Houston System; University of Houston</t>
  </si>
  <si>
    <t>Ohara, Y (corresponding author), Hydrog &amp; Oceanog Dept Japan, Tokyo 1040045, Japan.</t>
  </si>
  <si>
    <t>yasuhiko.ohara@gmail.com; okino@aori.u-tokyo.ac.jp; jesnow@uh.edu</t>
  </si>
  <si>
    <t>Okino, Kyoko/AFG-4223-2022; Snow, Jonathan/E-5591-2011</t>
  </si>
  <si>
    <t>Okino, Kyoko/0000-0001-7070-7982;</t>
  </si>
  <si>
    <t>Grants-in-Aid for Scientific Research [21540477] Funding Source: KAKEN</t>
  </si>
  <si>
    <t>Grants-in-Aid for Scientific Research(Ministry of Education, Culture, Sports, Science and Technology, Japan (MEXT)Japan Society for the Promotion of ScienceGrants-in-Aid for Scientific Research (KAKENHI))</t>
  </si>
  <si>
    <t>1876-1682</t>
  </si>
  <si>
    <t>978-90-481-8884-0</t>
  </si>
  <si>
    <t>MOD APPR SOL EARTH S</t>
  </si>
  <si>
    <t>10.1007/978-90-481-8885-7_7</t>
  </si>
  <si>
    <t>10.1007/978-90-481-8885-7</t>
  </si>
  <si>
    <t>Geochemistry &amp; Geophysics; Geology; Paleontology; Soil Science</t>
  </si>
  <si>
    <t>Geochemistry &amp; Geophysics; Geology; Paleontology; Agriculture</t>
  </si>
  <si>
    <t>BVN30</t>
  </si>
  <si>
    <t>WOS:000291956000007</t>
  </si>
  <si>
    <t>Juhl, AR; Krembs, C; Meiners, KM</t>
  </si>
  <si>
    <t>Juhl, Andrew R.; Krembs, Christopher; Meiners, Klaus M.</t>
  </si>
  <si>
    <t>Seasonal development and differential retention of ice algae and other organic fractions in first-year Arctic sea ice</t>
  </si>
  <si>
    <t>Sea-ice community; Biogeochemistry; Carbon flux; Cryobenthic and cryopelagic coupling; Polar regions; Exopolymer; Chukchi Sea</t>
  </si>
  <si>
    <t>TRANSPARENT EXOPOLYMER PARTICLES; SOUTHEASTERN HUDSON-BAY; PHYTOPLANKTON; SUBSTANCES; COMMUNITY; ABUNDANCE; COASTAL; MATTER; BLOOM; BIOTA</t>
  </si>
  <si>
    <t>The temporal evolution of ice algae biomass, particulate and dissolved organic carbon (POC and DOC), and particulate and dissolved carbohydrates (pCHO and dCHO) was followed in land-fast, Arctic sea ice near Barrow, Alaska, USA. POC, DOC, pCHO, and dCHO were found in young ice before algal growth occurred, indicating initial allochthonous sources. In sediment-free ice, particulate organic pools (POC and pCHO) were more strongly related to ice algae biomass than the larger dissolved organic pools (DOC and dCHO). Although algae biomass peaked near the ice bottom, integrating across ice depth showed that most organic matter was found above the bottom layer. Sediment-containing ice held high organic matter concentrations, although peak ice algae biomass was lower than in sediment-free ice. Sediments incorporated in sea ice can be a source of allochthonous organic matter that is comparable to autochthonous contributions by ice algae. In late spring, much of the algae biomass in sediment-free ice was lost, in as little as 5 d. Nevertheless, large POC, DOC, pCHO, and dCHO pools remained in the ice, both near the bottom and in upper layers. Observations of natural ice cores melting in laboratory experiments demonstrated a network of extracellular polymeric substances (EPS) remaining attached to the ice bottom, even as the ice structure melted away. This retained EPS may partly explain the POC and carbohydrate pools found in sea ice after the loss of algae. Differential retention of organic matter by seasonal sea ice suggests that the characteristics of material exported from the ice will change as the melt season progresses.</t>
  </si>
  <si>
    <t>[Juhl, Andrew R.] Columbia Univ, Lamont Doherty Earth Observ, Palisades, NY 10964 USA; [Krembs, Christopher] Univ Washington, Appl Phys Lab, Seattle, WA 98105 USA; [Meiners, Klaus M.] Antarctic Climate &amp; Ecosyst Cooperat Res Ctr, Hobart, Tas 7001, Australia; [Meiners, Klaus M.] Australian Antarctic Div, Dept Sustainabil Environm Water Populat &amp; Commun, Kingston, Tas 7050, Australia</t>
  </si>
  <si>
    <t>Columbia University; University of Washington; University of Washington Seattle; Antarctic Climate &amp; Ecosystems Cooperative Research Centre (ACE CRC); Australian Antarctic Division</t>
  </si>
  <si>
    <t>Juhl, AR (corresponding author), Columbia Univ, Lamont Doherty Earth Observ, 61 Route 9W, Palisades, NY 10964 USA.</t>
  </si>
  <si>
    <t>andyjuhl@ldeo.columbia.edu</t>
  </si>
  <si>
    <t>Juhl, Andrew/0000-0002-1575-3756</t>
  </si>
  <si>
    <t>National Science Foundation [ARC-0221055, ARC-0454955, ARC-0454726]; Yale Institute for Biospheric Studies/Department of Geology; Australian Government through the Antarctic Climate and Ecosystems Cooperative Research Centre</t>
  </si>
  <si>
    <t>National Science Foundation(National Science Foundation (NSF)); Yale Institute for Biospheric Studies/Department of Geology; Australian Government through the Antarctic Climate and Ecosystems Cooperative Research Centre(Australian GovernmentDepartment of Industry, Innovation and ScienceCooperative Research Centres (CRC) Programme)</t>
  </si>
  <si>
    <t>The authors thank the excellent support staff of BASC for their assistance with sampling and for keeping them safe. Comments from Prof. R. Gradinger and 4 anonymous reviewers were helpful in improving the manuscript. This research was supported by grants from the National Science Foundation, ARC-0221055 and ARC-0454955 to C. K., and ARC-0454726 to A.R.J. K. M. M. was supported through a Gaylord Donnelley Environmental Fellowship by the Yale Institute for Biospheric Studies/Department of Geology and by the Australian Government Cooperative Research Programme through the Antarctic Climate and Ecosystems Cooperative Research Centre. This is contribution no. 7489 of Lamont Doherty Earth Observatory.</t>
  </si>
  <si>
    <t>10.3354/meps09277</t>
  </si>
  <si>
    <t>816RM</t>
  </si>
  <si>
    <t>WOS:000294619800001</t>
  </si>
  <si>
    <t>Chapman, EW; Hofmann, EE; Patterson, DL; Ribic, CA; Fraser, WR</t>
  </si>
  <si>
    <t>Chapman, Erik W.; Hofmann, Eileen E.; Patterson, Donna L.; Ribic, Christine A.; Fraser, William R.</t>
  </si>
  <si>
    <t>Marine and terrestrial factors affecting Adelie penguin Pygoscelis adeliae chick growth and recruitment off the western Antarctic Peninsula</t>
  </si>
  <si>
    <t>Adelie penguin; Climate change; Chick growth; Antarctic Peninsula</t>
  </si>
  <si>
    <t>KRILL EUPHAUSIA-SUPERBA; LAST 50 YEARS; PLEURAGRAMMA-ANTARCTICUM; ANIMAL COATS; BREEDING SUCCESS; FORAGING EFFORT; DIFFERENT PREY; CLIMATE-CHANGE; ICE CONDITIONS; HEAT-LOSS</t>
  </si>
  <si>
    <t>An individual-based bioenergetics model that simulates the growth of an Adelie penguin Pygoscelis adeliae chick from hatching to fledging was used to assess marine and terrestrial factors that affect chick growth and fledging mass off the western Antarctic Peninsula. Simulations considered the effects on Adelie penguin fledging mass of (1) modification of chick diet through the addition of Antarctic silverfish Pleuragramma antarcticum to an all-Antarctic krill Euphausia superba diet, (2) reduction of provisioning rate which may occur as a result of an environmental stress such as reduced prey availability, and (3) increased thermoregulatory costs due to wetting of chicks which may result from increased precipitation or snow-melt in colonies. Addition of 17% Antarctic silverfish of Age-Class 3 yr (AC3) to a penguin chick diet composed of Antarctic krill increased chick fledging mass by 5%. Environmental stress that results in &gt; 4% reduction in provisioning rate or wetting of just 10% of the chick's surface area decreased fledging mass enough to reduce the chick's probability of successful recruitment. The negative effects of reduced provisioning and wetting on chick growth can be compensated for by inclusion of Antarctic silverfish of AC3 and older in the chick diet. Results provide insight into climate-driven processes that influence chick growth and highlight a need for field research designed to investigate factors that determine the availability of AC3 and older Antarctic silverfish to foraging Adelie penguins and the influence of snowfall on chick wetting, thermoregulation and adult provisioning rate.</t>
  </si>
  <si>
    <t>[Chapman, Erik W.; Hofmann, Eileen E.] Old Dominion Univ, Ctr Coastal Phys Oceanog, Norfolk, VA 23529 USA; [Patterson, Donna L.; Fraser, William R.] Polar Oceans Res Grp, Sheridan, MT 59749 USA; [Ribic, Christine A.] Univ Wisconsin, US Geol Survey, Wisconsin Cooperat Wildlife Res Unit, Dept Forest &amp; Wildlife Ecol, Madison, WI 53706 USA</t>
  </si>
  <si>
    <t>Old Dominion University; United States Department of the Interior; United States Geological Survey; University of Wisconsin System; University of Wisconsin Madison</t>
  </si>
  <si>
    <t>Chapman, EW (corresponding author), Univ New Hampshire Cooperat Extens, 131 Main St, Durham, NH 03824 USA.</t>
  </si>
  <si>
    <t>erik.chapman@unh.edu</t>
  </si>
  <si>
    <t>National Science Foundation [ANT-0323254, OPP-9011927, OPP-9605596, OPP-0130525, OPP-0217282, OPP-0224727, OPP-052361, ANT-0523254]; Office of Polar Programs (OPP); Directorate For Geosciences [0823101] Funding Source: National Science Foundation</t>
  </si>
  <si>
    <t>National Science Foundation(National Science Foundation (NSF)); Office of Polar Programs (OPP); Directorate For Geosciences(National Science Foundation (NSF)NSF - Directorate for Geosciences (GEO))</t>
  </si>
  <si>
    <t>We thank B. Salihoglu for providing the original framework for the chick growth model. We also thank the Palmer Station support staff for facilitating our long-term data collection efforts. Furthermore, we are grateful for the assistance provided by many field team members who have helped with data collection over the years. We thank David Ainley and 4 anonymous reviewers for their comments which greatly improved the present paper. This research was funded through National Science Foundation Grants ANT-0323254, OPP-9011927, OPP-9605596, OPP-0130525, OPP-0217282, OPP-0224727, and OPP-052361. The development of the penguin chick growth model was supported by National Science Foundation Grant ANT-0523254 and is part of the U.S. Southern Ocean Global Oceans Ecosystem Dynamics synthesis and integration phase.</t>
  </si>
  <si>
    <t>10.3354/meps09242</t>
  </si>
  <si>
    <t>WOS:000294619800020</t>
  </si>
  <si>
    <t>Wharton, DA</t>
  </si>
  <si>
    <t>Perry, RN; Wharton, DA</t>
  </si>
  <si>
    <t>Wharton, David A.</t>
  </si>
  <si>
    <t>Cold Tolerance</t>
  </si>
  <si>
    <t>MOLECULAR AND PHYSIOLOGICAL BASIS OF NEMATODE SURVIVAL</t>
  </si>
  <si>
    <t>HEAT-SHOCK-PROTEIN; FREE-LIVING STAGES; ANTARCTIC-NEMATODE; CRYOPROTECTIVE DEHYDRATION; PANAGROLAIMUS-DAVIDI; DESICCATION SURVIVAL; INFECTIVE JUVENILES; FREEZING TOLERANCE; MELOIDOGYNE-HAPLA; ENTOMOPATHOGENIC NEMATODES</t>
  </si>
  <si>
    <t>Univ Otago, Dept Zool, Dunedin 9054, New Zealand</t>
  </si>
  <si>
    <t>University of Otago</t>
  </si>
  <si>
    <t>Wharton, DA (corresponding author), Univ Otago, Dept Zool, POB 56, Dunedin 9054, New Zealand.</t>
  </si>
  <si>
    <t>david.wharton@stonebow.otago.ac.nz</t>
  </si>
  <si>
    <t>Wharton, David/0000-0001-6369-4984</t>
  </si>
  <si>
    <t>978-1-84593-687-7</t>
  </si>
  <si>
    <t>10.1079/9781845936877.0000</t>
  </si>
  <si>
    <t>Plant Sciences</t>
  </si>
  <si>
    <t>BVY81</t>
  </si>
  <si>
    <t>WOS:000293173700009</t>
  </si>
  <si>
    <t>Valsangkar, AB</t>
  </si>
  <si>
    <t>Valsangkar, Anil B.</t>
  </si>
  <si>
    <t>Spatial Distribution and Longitudinal Variation of Clay Minerals in the Central Indian Basin</t>
  </si>
  <si>
    <t>ACTA GEOLOGICA SINICA-ENGLISH EDITION</t>
  </si>
  <si>
    <t>clay minerals; polymetallic nodules; source; environment; central Indian basin</t>
  </si>
  <si>
    <t>OCEAN BASIN; GRAIN-SIZE; SHELF SEDIMENTS; BENGAL; PART; BAY</t>
  </si>
  <si>
    <t>Grain size and clay mineral distribution up to 45 cm depth in the silty clay sediments from 26 box cores from 10 degrees to 16 degrees S along four longitudes (73.5 degrees-76.5 degrees E) were studied for understanding spatial variability in the Central Indian Basin (CIB). It was observed that the average sand content in the basin is 3.8%, which decreases systematically and longitudinally to 0.3% towards south. The average illite and chlorite major clay mineral abundance also decrease southwards along the four longitudes from 10 degrees S, and show the limit of influence of the Ganges-Brahmaputra river's supply up to 10 degrees S. However, the average clay content increases from west to east in the basin, and southwards along 73.5 degrees E and either side of the 76.5 degrees E fracture zone (FZ), which strongly suggests the possibility of clay supply due to circulation of Antarctic Bottom Water (AABW) from the south through the FZ. The distribution of four clay minerals along 73 and 76.5 degrees E FZ in the CIB shows dissimilar trends of increase and decrease, and indicate a mix environment in the basin. This study indicates that the FZ in the CIB has an important role in controlling the distribution of clay minerals.</t>
  </si>
  <si>
    <t>Natl Inst Oceanog, Panaji 403004, Goa, India</t>
  </si>
  <si>
    <t>Council of Scientific &amp; Industrial Research (CSIR) - India; CSIR - National Institute of Oceanography (NIO)</t>
  </si>
  <si>
    <t>Valsangkar, AB (corresponding author), Natl Inst Oceanog, Panaji 403004, Goa, India.</t>
  </si>
  <si>
    <t>vals@nio.org</t>
  </si>
  <si>
    <t>D.O.D.; MoES, New Delhi</t>
  </si>
  <si>
    <t>D.O.D.(United States Department of Defense); MoES, New Delhi</t>
  </si>
  <si>
    <t>Financial support provided by the D.O.D. and MoES, New Delhi, under the project, 'Environmental Impact Assessment studies of nodule mining' is gratefully acknowledged. In house laboratory assistance by Ms Domnica Fernandes is highly appreciated. Mr Jai Sankar and R. Uchil are thanked for preparing the sample location map. Mr G. A. Prabhu is thanked for the XRD work. This is NIO (CSIR) contribution no. 4781.</t>
  </si>
  <si>
    <t>1000-9515</t>
  </si>
  <si>
    <t>ACTA GEOL SIN-ENGL</t>
  </si>
  <si>
    <t>Acta Geol. Sin.-Engl. Ed.</t>
  </si>
  <si>
    <t>10.1111/j.1755-6724.2011.00487.x</t>
  </si>
  <si>
    <t>815JE</t>
  </si>
  <si>
    <t>WOS:000294521100010</t>
  </si>
  <si>
    <t>Lukianova, R; Kozlovsky, A</t>
  </si>
  <si>
    <t>Lukianova, R.; Kozlovsky, A.</t>
  </si>
  <si>
    <t>IMF By effects in the plasma flow at the polar cap boundary</t>
  </si>
  <si>
    <t>ANNALES GEOPHYSICAE</t>
  </si>
  <si>
    <t>Ionosphere; Plasma convection</t>
  </si>
  <si>
    <t>INTERPLANETARY MAGNETIC-FIELD; ELECTRIC-FIELD; CONVECTION; CURRENTS; DIRECTION; MAGNETOSPHERE; COMPONENT; MOMENTUM; MODELS; LINES</t>
  </si>
  <si>
    <t>We used the dataset obtained from the EISCAT Svalbard Radar during 2000-2008 to study statistically the ionospheric convection in a vicinity of the polar cap boundary as related to IMF B-y conditions separately for northward and southward IMF. The effect of IMF B-y is manifested in the intensity and direction of the azimuthal component of ionospheric flow. The most significant effect is observed on the day and night sides whereas on dawn and dusk the effect is essentially less prominent. However, there is an asymmetry with respect to the noon-midnight meridian. On the day side the intensity of B-y-related azimuthal flow is maximal exactly at noon, whereas on the night side the maximum is shifted toward the post-midnight hours (similar to 03:00 MLT). On the dusk side the relative reduction of the azimuthal flow is much larger than that on the dawn side. Overall, the magnetospheric response to IMF B-y seems to be stronger in the 00:00-12:00 MLT sector compared to the 12:00-24:00 MLTs. Quantitative characteristics of the IMF B-y effect are presented and partly explained by the magnetospheric electric fields generated due to the solar wind and also by the position of open-closed boundary for different IMF orientation.</t>
  </si>
  <si>
    <t>[Lukianova, R.] Arctic &amp; Antarctic Res Inst, St Petersburg 199397, Russia; [Lukianova, R.] Space Res Inst, Moscow 199397, Russia; [Kozlovsky, A.] Univ Oulu, Sodankyla Geophys Observ, Oulu 90014, Finland</t>
  </si>
  <si>
    <t>Arctic &amp; Antarctic Research Institute; Russian Academy of Sciences; Space Research Institute of the Russian Academy of Sciences; University of Oulu</t>
  </si>
  <si>
    <t>Lukianova, R (corresponding author), Arctic &amp; Antarctic Res Inst, Bering Str 38, St Petersburg 199397, Russia.</t>
  </si>
  <si>
    <t>renata@aari.nw.ru</t>
  </si>
  <si>
    <t>Lukianova, Renata/K-3293-2012</t>
  </si>
  <si>
    <t>Lukianova, Renata/0000-0003-2343-9174; Kozlovsky, Alexander/0000-0003-1468-7600</t>
  </si>
  <si>
    <t>China (CRIRP); Finland (SA); France (CNRS); Germany (DFG); Japan (NIPR); Japan (STEL); Norway (NFR); Sweden (VR); United Kingdom (STFC); Academy of Finland [115920, 132441]; Academy of Finland (AKA) [132441, 115920] Funding Source: Academy of Finland (AKA)</t>
  </si>
  <si>
    <t>China (CRIRP); Finland (SA); France (CNRS)(Centre National de la Recherche Scientifique (CNRS)); Germany (DFG)(German Research Foundation (DFG)); Japan (NIPR); Japan (STEL); Norway (NFR)(Research Council of Norway); Sweden (VR)(Swedish Research Council); United Kingdom (STFC)(UK Research &amp; Innovation (UKRI)Science &amp; Technology Facilities Council (STFC)); Academy of Finland(Research Council of Finland); Academy of Finland (AKA)(Research Council of Finland)</t>
  </si>
  <si>
    <t>We are indebted to the Director and staff of EISCAT for operating the facility and supplying the data. EISCAT is an international association supported by research organisations in China (CRIRP), Finland (SA), France (CNRS, till end 2006), Germany (DFG), Japan (NIPR and STEL), Norway (NFR), Sweden (VR), and the United Kingdom (STFC). The OMNI data were obtained from CDAWeb. The study was supported by the Academy of Finland projects 115920 (AK) and 132441 (RL).</t>
  </si>
  <si>
    <t>0992-7689</t>
  </si>
  <si>
    <t>ANN GEOPHYS-GERMANY</t>
  </si>
  <si>
    <t>Ann. Geophys.</t>
  </si>
  <si>
    <t>10.5194/angeo-29-1305-2011</t>
  </si>
  <si>
    <t>Astronomy &amp; Astrophysics; Geosciences, Multidisciplinary; Meteorology &amp; Atmospheric Sciences</t>
  </si>
  <si>
    <t>Astronomy &amp; Astrophysics; Geology; Meteorology &amp; Atmospheric Sciences</t>
  </si>
  <si>
    <t>814LO</t>
  </si>
  <si>
    <t>WOS:000294455400011</t>
  </si>
  <si>
    <t>Fiorucci, I; Muscari, G; de Zafra, RL</t>
  </si>
  <si>
    <t>Fiorucci, I.; Muscari, G.; de Zafra, R. L.</t>
  </si>
  <si>
    <t>Revising the retrieval technique of a long-term stratospheric HNO3 data set: from a constrained matrix inversion to the optimal estimation algorithm</t>
  </si>
  <si>
    <t>Atmospheric composition and structure; Instruments and techniques</t>
  </si>
  <si>
    <t>WAVE SPECTROSCOPIC MEASUREMENTS; ANTARCTIC OZONE; SOUTH-POLE; MILLIMETER; DENITRIFICATION; TEMPERATURE; VALIDATION; SATELLITE; PROFILES</t>
  </si>
  <si>
    <t>The Ground-Based Millimeter-wave Spectrometer (GBMS) was designed and built at the State University of New York at Stony Brook in the early 1990s and since then has carried out many measurement campaigns of stratospheric O-3, HNO3, CO and N2O at polar and mid-latitudes. Its HNO3 data set shed light on HNO3 annual cycles over the Antarctic continent and contributed to the validation of both generations of the satellite-based JPL Microwave Limb Sounder (MLS). Following the increasing need for long-term data sets of stratospheric constituents, we resolved to establish a long-term GMBS observation site at the Arctic station of Thule (76.5 degrees N, 68.8 degrees W), Greenland, beginning in January 2009, in order to track the long-and short-term interactions between the changing climate and the seasonal processes tied to the ozone depletion phenomenon. Furthermore, we updated the retrieval algorithm adapting the Optimal Estimation (OE) method to GBMS spectral data in order to conform to the standard of the Network for the Detection of Atmospheric Composition Change (NDACC) microwave group, and to provide our retrievals with a set of averaging kernels that allow more straightforward comparisons with other data sets. The new OE algorithm was applied to GBMS HNO3 data sets from 1993 South Pole observations to date, in order to produce HNO3 version 2 (v2) profiles. A sample of results obtained at Antarctic latitudes in fall and winter and at mid-latitudes is shown here. In most conditions, v2 inversions show a sensitivity (i.e., sum of column elements of the averaging kernel matrix) of 100 +/- 20% from 20 to 45 km altitude, with somewhat worse (better) sensitivity in the Antarctic winter lower (upper) stratosphere. The 1 sigma uncertainty on HNO3 v2 mixing ratio vertical profiles depends on altitude and is estimated at similar to 15% or 0.3 ppbv, whichever is larger. Comparisons of v2 with former (v1) GBMS HNO3 vertical profiles, obtained employing the constrained matrix inversion method, show that v1 and v2 profiles are overall consistent. The main difference is at the HNO3 mixing ratio maximum in the 20-25 km altitude range, which is smaller in v2 than v1 profiles by up to 2 ppbv at mid-latitudes and during the Antarctic fall. This difference suggests a better agreement of GBMS HNO3 v2 profiles with both UARS/and EOS Aura/MLS HNO3 data than previous v1 profiles.</t>
  </si>
  <si>
    <t>[Fiorucci, I.; Muscari, G.] Ist Nazl Geofis &amp; Vulcanol, Rome, Italy; [de Zafra, R. L.] SUNY Stony Brook, Dept Phys &amp; Astron, Stony Brook, NY 11794 USA</t>
  </si>
  <si>
    <t>Istituto Nazionale Geofisica e Vulcanologia (INGV); State University of New York (SUNY) System; State University of New York (SUNY) Stony Brook</t>
  </si>
  <si>
    <t>Fiorucci, I (corresponding author), Ist Nazl Geofis &amp; Vulcanol, Rome, Italy.</t>
  </si>
  <si>
    <t>irene.fiorucci@ingv.it</t>
  </si>
  <si>
    <t>Muscari, Giovanni/0000-0001-6326-2612</t>
  </si>
  <si>
    <t>National Science Foundation [0936365]; Physics Department of the University of Rome Sapienza; Div Atmospheric &amp; Geospace Sciences; Directorate For Geosciences [0936365] Funding Source: National Science Foundation</t>
  </si>
  <si>
    <t>National Science Foundation(National Science Foundation (NSF)); Physics Department of the University of Rome Sapienza; Div Atmospheric &amp; Geospace Sciences; Directorate For Geosciences(National Science Foundation (NSF)NSF - Directorate for Geosciences (GEO))</t>
  </si>
  <si>
    <t>This material is based upon work supported by the National Science Foundation under Grant No. 0936365. The GBMS field campaigns at Testa Grigia have been conducted with the support of the Physics Department of the University of Rome Sapienza.</t>
  </si>
  <si>
    <t>10.5194/angeo-29-1317-2011</t>
  </si>
  <si>
    <t>WOS:000294455400012</t>
  </si>
  <si>
    <t>Janzhura, AS; Troshichev, OA</t>
  </si>
  <si>
    <t>Janzhura, A. S.; Troshichev, O. A.</t>
  </si>
  <si>
    <t>Identification of the IMF sector structure in near-real time by ground magnetic data</t>
  </si>
  <si>
    <t>Interplanetary physics; Interplanetary magnetic fields; Magnetospheric physics; Polar cap phenomena; Solar wind-magnetosphere interactions</t>
  </si>
  <si>
    <t>FIELD-ALIGNED CURRENTS; POLAR-CAP</t>
  </si>
  <si>
    <t>A method is proposed to determine in near-real time the interplanetary magnetic field (IMF) sector structure (SS) effect on geomagnetic data from polar cap stations. To separate the SS effect, whose polarity is invariant within an interval from some days to 2 weeks, from the disturbed solar wind effects with periodicity from minutes to hours, the daily median values of geomagnetic H (or D) component are estimated. Then the median values for 9 days preceding the current day are subjected to 3-days running averages and the interpolation procedure is applied to these smoothed averages. Comparisons of the sector structure reconstructed from the ground magnetic data with the actual variations of the GSM IMF By component measured onboard the ACE spacecraft in the summer months of 1990 and 2001 demonstrate their good agreement with coefficient of correlation R = 0.96-0.97 for the H-component and R = 0.93-0.95 for the D-component. The proposed simple method makes possible identification of the SS effect in the same near real-time regime as the derivation of the quiet daily curve and as level of reference for the polar cap magnetic disturbances in the calculation of the polar cap magnetic activity PC index.</t>
  </si>
  <si>
    <t>[Janzhura, A. S.; Troshichev, O. A.] Arctic &amp; Antarctic Res Inst, St Petersburg 199226, Russia</t>
  </si>
  <si>
    <t>Arctic &amp; Antarctic Research Institute</t>
  </si>
  <si>
    <t>Troshichev, OA (corresponding author), Arctic &amp; Antarctic Res Inst, St Petersburg 199226, Russia.</t>
  </si>
  <si>
    <t>olegtro@aari.nw.ru</t>
  </si>
  <si>
    <t>10.5194/angeo-29-1491-2011</t>
  </si>
  <si>
    <t>814LQ</t>
  </si>
  <si>
    <t>WOS:000294455800015</t>
  </si>
  <si>
    <t>Liao, J; Huey, LG; Tanner, DJ; Brough, N; Brooks, S; Dibb, JE; Stutz, J; Thomas, JL; Lefer, B; Haman, C; Gorham, K</t>
  </si>
  <si>
    <t>Liao, J.; Huey, L. G.; Tanner, D. J.; Brough, N.; Brooks, S.; Dibb, J. E.; Stutz, J.; Thomas, J. L.; Lefer, B.; Haman, C.; Gorham, K.</t>
  </si>
  <si>
    <t>Observations of hydroxyl and peroxy radicals and the impact of BrO at Summit, Greenland in 2007 and 2008</t>
  </si>
  <si>
    <t>ANTARCTIC BOUNDARY-LAYER; SOUTH-POLE; COASTAL ANTARCTICA; OZONE DESTRUCTION; HYDROGEN-PEROXIDE; PERNITRIC ACID; SNOW; CHEMISTRY; ISCAT; OH</t>
  </si>
  <si>
    <t>The Greenland Summit Halogen-HOx (GSHOX) Campaign was performed in spring 2007 and summer 2008 to investigate the impact of halogens on HOx (= OH+HO2) cycling above the Greenland Ice Sheet. Chemical species including hydroxyl and peroxy radicals (OH and HO2 + RO2), ozone (O-3), nitrogen oxide (NO), nitric acid (HNO3), nitrous acid (HONO), reactive gaseous mercury (RGM), and bromine oxide (BrO) were measured during the campaign. The median midday values of HO2 + RO2 and OH concentrations observed by chemical ionization mass spectrometry (CIMS) were 2.7x10(8) molec cm(-3) and 3.0x10(6) molec cm(-3) in spring 2007, and 4.2x10(8) molec cm(-3) and 4.1x10(6) molec cm(-3) in summer 2008. A basic photochemical 0-D box model highly constrained by observations of H2O, O-3, CO, CH4, NO, and J values predicted HO2 + RO2 (R = 0.90, slope = 0.87 in 2007; R = 0.79, slope = 0.96 in 2008) reasonably well and under predicted OH (R = 0.83, slope = 0.72 in 2007; R = 0.76, slope = 0.54 in 2008). Constraining the model to HONO observations did not significantly improve the ratio of OH to HO2 + RO2 and the correlation between predictions and observations. Including bromine chemistry in the model constrained by observations of BrO improved the correlation between observed and predicted HO2 + RO2 and OH, and brought the average hourly OH and HO2 + RO2 predictions closer to the observations. These model comparisons confirmed our understanding of the dominant HOx sources and sinks in this environment and indicated that BrO impacted the OH levels at Summit. Although, significant discrepancies between observed and predicted OH could not be explained by the measured BrO. Finally, observations of enhanced RGM were found to be coincident with under prediction of OH.</t>
  </si>
  <si>
    <t>[Liao, J.; Huey, L. G.; Tanner, D. J.] Georgia Inst Technol, Sch Earth &amp; Atmospher Sci, Atlanta, GA 30332 USA; [Brough, N.] NERC, British Antarctic Survey, Cambridge, England; [Brooks, S.] NOAA, Atmospher Turbulence &amp; Diffus Div, Oak Ridge, TN USA; [Dibb, J. E.] Univ New Hampshire, Inst Study Earth Oceans &amp; Space, Climate Change Res Ctr, Durham, NH 03824 USA; [Stutz, J.; Thomas, J. L.] Univ Calif Los Angeles, Dept Atmosphere Ocean Sci, Los Angeles, CA USA; [Lefer, B.; Haman, C.] Univ Houston, Dept Geosci, Houston, TX 77004 USA; [Gorham, K.] Univ Calif Irvine, Irvine, CA USA</t>
  </si>
  <si>
    <t>University System of Georgia; Georgia Institute of Technology; UK Research &amp; Innovation (UKRI); Natural Environment Research Council (NERC); NERC British Antarctic Survey; National Oceanic Atmospheric Admin (NOAA) - USA; University System Of New Hampshire; University of New Hampshire; University of California System; University of California Los Angeles; University of Houston System; University of Houston; University of California System; University of California Irvine</t>
  </si>
  <si>
    <t>Huey, LG (corresponding author), Georgia Inst Technol, Sch Earth &amp; Atmospher Sci, Atlanta, GA 30332 USA.</t>
  </si>
  <si>
    <t>greg.huey@eas.gatech.edu</t>
  </si>
  <si>
    <t>Stutz, Jochen/K-7159-2014; Liao, Jin/H-4865-2013; Lefer, Barry/X-9091-2019; brough, neil/AAG-8550-2019</t>
  </si>
  <si>
    <t>Lefer, Barry/0000-0001-9520-5495; brough, neil/0000-0002-2316-5292</t>
  </si>
  <si>
    <t>NSF [ATM-0612279:002]; NERC [bas0100024] Funding Source: UKRI; Natural Environment Research Council [bas0100024] Funding Source: researchfish</t>
  </si>
  <si>
    <t>NSF(National Science Foundation (NSF)); NERC(UK Research &amp; Innovation (UKRI)Natural Environment Research Council (NERC)); Natural Environment Research Council(UK Research &amp; Innovation (UKRI)Natural Environment Research Council (NERC))</t>
  </si>
  <si>
    <t>This work is financially supported by NSF GEO ATM Tropospheric Chemistry program (Grant ATM-0612279:002). We thank NSF OPP, CH2MHill Polar Services, and the 109th Air National Guard for logistical support. We also thank Greenland Home rule for permission to work at Summit.</t>
  </si>
  <si>
    <t>10.5194/acp-11-8577-2011</t>
  </si>
  <si>
    <t>813YL</t>
  </si>
  <si>
    <t>Green Accepted, Green Submitted, gold</t>
  </si>
  <si>
    <t>WOS:000294406300022</t>
  </si>
  <si>
    <t>Mathiot, P; Goosse, H; Fichefet, T; Barnier, B; Gallée, H</t>
  </si>
  <si>
    <t>Mathiot, P.; Goosse, H.; Fichefet, T.; Barnier, B.; Gallee, H.</t>
  </si>
  <si>
    <t>Modelling the seasonal variability of the Antarctic Slope Current</t>
  </si>
  <si>
    <t>OCEAN SCIENCE</t>
  </si>
  <si>
    <t>WATER MASSES; PHYSICAL OCEANOGRAPHY; CONTINENTAL-SLOPE; KATABATIC WINDS; AUSTRAL SUMMER; CIRCULATION; TRANSPORT; IMPACT; BAY; SENSITIVITY</t>
  </si>
  <si>
    <t>One of the main features of the oceanic circulation along Antarctica is the Antarctic Slope Current (ASC). This circumpolar current flows westwards and contributes to communication between the three major oceanic basins around Antarctica. The ASC is not very well known due to remote location and the presence of sea ice during several months, allowing in situ studies only during summertime. Moreover, only few modelling studies of this current have been carried out. Here, we investigate the sensitivity of this simulated current to four different resolutions in a coupled ocean-sea ice model and to two different atmospheric forcing sets. Two series of simulations are conducted. For the first series, global model configurations are run at coarse (2 degrees) to eddy-permitting (0.25 degrees) resolutions with the same atmospheric forcing. For the second series, simulations with two different atmospheric forcings are performed using a regional circumpolar configuration (south of 30 degrees S) at 0.5 degrees resolution. The first atmospheric forcing is based on a global atmospheric reanalysis and satellite data, while the second is based on a downscaling of the global atmospheric reanalysis by a regional atmospheric model calibrated to Antarctic meteorological conditions. Sensitivity experiments to resolution indicate that a minimum model resolution of 0.5 degrees is needed to capture the dynamics of the ASC in terms of water mass transport and re-circulation. Sensitivity experiments to atmospheric forcing fields shows that the wind speed along the Antarctic coast strongly controls the water mass transport and the seasonal cycle of the ASC. An increase in annual mean of easterlies by about 30% leads to an increase in the mean ASC transport by about 40%. Similar effects are obtained on the seasonal cycle: using a wind forcing field with a larger seasonal cycle (+30%) increases by more than 30% the amplitude of the seasonal cycle of the ASC. To confirm the importance of wind seasonal cycle, a simulation without wind speed seasonal cycle is carried out. This simulation shows a decrease by more than 50% of the amplitude of the ASC transport seasonal cycle without changing the mean value of ASC transport.</t>
  </si>
  <si>
    <t>[Mathiot, P.; Goosse, H.; Fichefet, T.] Georges Lemaitre Ctr Earth &amp; Climate Res, Earth &amp; Life Inst, Louvain, Belgium; [Barnier, B.] CNRS UJF Grenoble 1, LEGI, Grenoble, France; [Gallee, H.] CNRS UJF Grenoble 1, LGGE, Grenoble, France</t>
  </si>
  <si>
    <t>Communaute Universite Grenoble Alpes; Institut National Polytechnique de Grenoble; Universite Grenoble Alpes (UGA); Centre National de la Recherche Scientifique (CNRS); Communaute Universite Grenoble Alpes; Universite Grenoble Alpes (UGA); Centre National de la Recherche Scientifique (CNRS)</t>
  </si>
  <si>
    <t>Mathiot, P (corresponding author), Georges Lemaitre Ctr Earth &amp; Climate Res, Earth &amp; Life Inst, Louvain, Belgium.</t>
  </si>
  <si>
    <t>pierre.mathiot@uclouvain.be</t>
  </si>
  <si>
    <t>Barnier, Bernard/F-2400-2016</t>
  </si>
  <si>
    <t>Mathiot, Pierre/0000-0002-2001-0762</t>
  </si>
  <si>
    <t>Fonds National de la Recherche Scientifique (F.R.S.-FNRS-Belgium); Belgian Federal Science Policy Office; Research Program on Science for a Sustainable Development; Fonds Special de la Recherche of the Universite Catholique de Louvain; Ministere de l'Education Nationale et de la Recherche; Centre National de la Recherche Scientifique (CNRS-France); GENCI; European Commission [SIP3-CT-2003-502885]; DRAKKAR project; French national program GMMC; French national program LEFE; French national program PICS2475; Centre National d'Etudes Spatiales (CNES) through the OST/ST</t>
  </si>
  <si>
    <t>Fonds National de la Recherche Scientifique (F.R.S.-FNRS-Belgium)(Fonds de la Recherche Scientifique - FNRS); Belgian Federal Science Policy Office(Belgian Federal Science Policy Office); Research Program on Science for a Sustainable Development; Fonds Special de la Recherche of the Universite Catholique de Louvain; Ministere de l'Education Nationale et de la Recherche; Centre National de la Recherche Scientifique (CNRS-France)(Centre National de la Recherche Scientifique (CNRS)); GENCI; European Commission(European Union (EU)European Commission Joint Research Centre); DRAKKAR project; French national program GMMC; French national program LEFE; French national program PICS2475; Centre National d'Etudes Spatiales (CNES) through the OST/ST(Centre National D'etudes Spatiales)</t>
  </si>
  <si>
    <t>The authors acknowledge support from the Fonds National de la Recherche Scientifique (F.R.S.-FNRS-Belgium), the Belgian Federal Science Policy Office, Research Program on Science for a Sustainable Development, and the Fonds Special de la Recherche of the Universite Catholique de Louvain, from the Ministere de l'Education Nationale et de la Recherche and from the Centre National de la Recherche Scientifique (CNRS-France). Computations presented in this study were performed at Institut du Developpement et des Ressources en Informatique Scientifique (IDRIS, Palaiseau, France) with the support of GENCI. Partial support from the European Commission under Contract SIP3-CT-2003-502885 (MERSEA project) is gratefully acknowledged. This work is a contribution of the DRAKKAR project. Support to DRAKKAR comes from various grants and programs listed hereafter: French national programs GMMC, LEFE, and PICS2475. The contribution of the Institut National des Sciences de l'Univers (INSU-France) to these programs is particularly acknowledged. DRAKKAR acknowledges the support from the Centre National d'Etudes Spatiales (CNES) through the OST/ST. H. Goosse is Research Associate with the F.R.S.-FNRS. The authors acknowledge the very constructive and precise comments of R. Muench and two anonymous reviewers.</t>
  </si>
  <si>
    <t>1812-0784</t>
  </si>
  <si>
    <t>OCEAN SCI</t>
  </si>
  <si>
    <t>Ocean Sci.</t>
  </si>
  <si>
    <t>10.5194/os-7-455-2011</t>
  </si>
  <si>
    <t>Meteorology &amp; Atmospheric Sciences; Oceanography</t>
  </si>
  <si>
    <t>814LT</t>
  </si>
  <si>
    <t>WOS:000294456300002</t>
  </si>
  <si>
    <t>Newcombe, EM; Cárdenas, CA</t>
  </si>
  <si>
    <t>Newcombe, Emma M.; Cardenas, Cesar A.</t>
  </si>
  <si>
    <t>Rocky reef benthic assemblages in the Magellan Strait and the South Shetland Islands (Antarctica)</t>
  </si>
  <si>
    <t>REVISTA DE BIOLOGIA MARINA Y OCEANOGRAFIA</t>
  </si>
  <si>
    <t>Macroalgae; canopy; hard substrates; Magellan Region; Southern Ocean</t>
  </si>
  <si>
    <t>KELP MACROCYSTIS-PYRIFERA; COMMUNITY STRUCTURE; HIGH-LATITUDES; POTTER COVE; PATTERNS; BIOMASS; ECOLOGY; PRODUCTIVITY; HOLDFASTS; ABUNDANCE</t>
  </si>
  <si>
    <t>Subtidal reef communities from much of the world's coastline have been described in detail, but data from the world's most extensive subantarctic rocky reefs is scarce. The objective was to describe these southern coastal systems and measure the extent to which they vary in terms of fundamental measures of community structure. The Magellan Region constitutes an intermediate site between relatively well-studied temperate regions and Antarctica. Previous studies suggest that dominant canopy species may reflect different disturbance histories and associated communities may similarly be expected to vary structurally. We hypothesized that variation in subtidal sessile assemblages in the Magellan Strait, where Macrocystis pyrifera widely dominates, would be less than at Antarctic sites, where Desmarestia spp. or Himantothallus grandifolius may dominate depending on disturbance regimes. Our results showed that benthic assemblages in the Magellan Strait were similar where physical structure of the reef was similar, but differed strongly where reef form differed. At sites in South Shetland Islands, benthic assemblages differed in terms of dominant macroalgae and sessile community structure; however evidence that the Desmarestia -dominated site was more highly disturbed was equivocal. Shading produced by Macrocystis in Magellan Strait and ice effect in Antarctica are likely strong structuring factors in their respective communities, which would need to be considered when comparing community characteristics.</t>
  </si>
  <si>
    <t>[Newcombe, Emma M.; Cardenas, Cesar A.] Fdn Ctr Estudios Cuaternario Fuego Patagonia &amp; An, Punta Arenas, Chile; [Cardenas, Cesar A.] Victoria Univ Wellington, Sch Biol Sci, Wellington, New Zealand</t>
  </si>
  <si>
    <t>Victoria University Wellington</t>
  </si>
  <si>
    <t>Newcombe, EM (corresponding author), Fdn Ctr Estudios Cuaternario Fuego Patagonia &amp; An, Ave Bulnes 01890, Punta Arenas, Chile.</t>
  </si>
  <si>
    <t>emmanewcombe@gmail.com; cesar.cardenas@vuw.ac.nz</t>
  </si>
  <si>
    <t>Cardenas, Cesar/ABF-1664-2020</t>
  </si>
  <si>
    <t>Cardenas, Cesar/0000-0001-6662-6899</t>
  </si>
  <si>
    <t>Biodiversidad Marina Costera en Magallanes [FIC-R 2008]; Estructura de comunidades bentonicas en arrecifes rocosos Antarticos [INACH T12-08]</t>
  </si>
  <si>
    <t>Biodiversidad Marina Costera en Magallanes; Estructura de comunidades bentonicas en arrecifes rocosos Antarticos</t>
  </si>
  <si>
    <t>The authors would like to thank the following taxonomists: Dr. Juan Lopez Gappa, Museo Argentino de Ciencias Naturales 'Bernardino Rivadavia', Buenos Aires, Argentina (Bryozoa); Dr. Eduardo Hajdu, Museu Nacional, Universidade Federal do Rio de Janeiro, Brasil (Porifera); Dr. Marcos Tatian, Universidad Nacional de Cordoba, Argentina (Ascidiacea); Dr. Maria Eugenia Manjon-Cabeza, Universidad de Malaga, Spain (Asteroidea); MSc(c). Mauricio Palacios, Universidad de Magallanes, Chile (macroalgae). We are grateful to Carlos Olavarria for his suggestions at different stages of the project and review of the manuscript. This study was funded by projects FIC-R 2008 'Biodiversidad Marina Costera en Magallanes' and INACH T12-08 'Estructura de comunidades bentonicas en arrecifes rocosos Antarticos'. The Wanaka Terraces Trust provided funds for purchase of a compressor.</t>
  </si>
  <si>
    <t>UNIV VALPARAISO</t>
  </si>
  <si>
    <t>VINA DEL MAR</t>
  </si>
  <si>
    <t>FACULTAD CIENCIAS MAR RECURSOS NATURALES, CASILLA 5080 - RENACA, VINA DEL MAR, 00000, CHILE</t>
  </si>
  <si>
    <t>0717-3326</t>
  </si>
  <si>
    <t>0718-1957</t>
  </si>
  <si>
    <t>REV BIOL MAR OCEANOG</t>
  </si>
  <si>
    <t>Rev. Biol. Mar. Oceanogr.</t>
  </si>
  <si>
    <t>10.4067/S0718-19572011000200007</t>
  </si>
  <si>
    <t>Marine &amp; Freshwater Biology; Oceanography</t>
  </si>
  <si>
    <t>814BR</t>
  </si>
  <si>
    <t>WOS:000294420600007</t>
  </si>
  <si>
    <t>Marchant, DR; Jamieson, SSR; Sugden, DE</t>
  </si>
  <si>
    <t>Kennicutt, MC; Bindschadler, RA</t>
  </si>
  <si>
    <t>Siegert, MJ</t>
  </si>
  <si>
    <t>Marchant, David R.; Jamieson, Stewart S. R.; Sugden, David E.</t>
  </si>
  <si>
    <t>The Geomorphic Signature of Massive Subglacial Floods in Victoria Land, Antarctica</t>
  </si>
  <si>
    <t>ANTARTIC SUBGLACIAL AQUATIC ENVIRONMENTS</t>
  </si>
  <si>
    <t>SURFACE EXPOSURE AGES; ICE-SHEET; DRY VALLEYS; TRANSANTARCTIC MOUNTAINS; EAST ANTARCTICA; EROSION; LANDSCAPE; BENEATH; ORIGIN; EVOLUTION</t>
  </si>
  <si>
    <t>We describe a landscape in the Dry Valleys area consisting of channels, potholes, plunge pools, stripped bedrock, and scabland created by subglacial outburst floods on a scale similar to that of the massive outbursts of Lake Missoula in Washington, United States. The features are dated to the mid-Miocene and occurred when a thicker East Antarctic ice sheet overrode this part of the Transantarctic Mountains. Ice sheet modeling is used to reconstruct potential source areas for meltwater discharge. Results suggest that meltwater from Lake Vostok, or other interior basins, would have bypassed the Dry Valleys area and instead flowed out beneath the troughs of David and Byrd glaciers, north and south of the Dry Valleys, respectively. A more likely source might have been lakes on the inner flank of the Transantarctic Mountains, with periodic outbursts associated with local breaches in the cold-based rim of the ice sheet. The efficacy of erosion by such outbursts is remarkable. The most concentrated effects were in the labyrinth on the bed of the former Wright outlet glacier. Such outbursts are likely to contribute to the erosion of present-day outlet glacier troughs.</t>
  </si>
  <si>
    <t>[Marchant, David R.] Boston Univ, Dept Earth Sci, Boston, MA 02215 USA; [Jamieson, Stewart S. R.] Univ Durham, Dept Geog, Sci Labs, Durham DH1 3LE, England; [Sugden, David E.] Univ Edinburgh, Sch Geosci, Edinburgh EH8 9XP, Midlothian, Scotland</t>
  </si>
  <si>
    <t>Boston University; Durham University; University of Edinburgh</t>
  </si>
  <si>
    <t>Marchant, DR (corresponding author), Boston Univ, Dept Earth Sci, Boston, MA 02215 USA.</t>
  </si>
  <si>
    <t>marchant@bu.edu</t>
  </si>
  <si>
    <t>Jamieson, Stewart S.R./B-8330-2013</t>
  </si>
  <si>
    <t>Jamieson, Stewart S.R./0000-0002-9036-2317</t>
  </si>
  <si>
    <t>NERC [NE/E018254/1] Funding Source: UKRI</t>
  </si>
  <si>
    <t>NERC(UK Research &amp; Innovation (UKRI)Natural Environment Research Council (NERC))</t>
  </si>
  <si>
    <t>978-0-87590-482-5</t>
  </si>
  <si>
    <t>10.1029/2010GM000943</t>
  </si>
  <si>
    <t>10.1029/GM192</t>
  </si>
  <si>
    <t>Environmental Sciences; Geosciences, Multidisciplinary; Oceanography</t>
  </si>
  <si>
    <t>Environmental Sciences &amp; Ecology; Geology; Oceanography</t>
  </si>
  <si>
    <t>BUV01</t>
  </si>
  <si>
    <t>WOS:000290418300007</t>
  </si>
  <si>
    <t>Doran, PT; Vincent, WF</t>
  </si>
  <si>
    <t>Doran, Peter T.; Vincent, Warwick F.</t>
  </si>
  <si>
    <t>Environmental Protection and Stewardship of Subglacial Aquatic Environments</t>
  </si>
  <si>
    <t>Environmental stewardship is a guiding principle of the Antarctic Treaty System. Efforts began in the 1990s to generate specific guidelines for stewardship of many terrestrial environments, including surface lakes and rivers. The relatively recent documentation of widespread subglacial aquatic environments, and planning for acquiring samples from them, has generated a need for stewardship guidelines for these environments. In response to a request from the U.S. National Science Foundation, the National Research Council of the National Academies of Sciences (NAS) created the Committee on the Principles of Environmental and Scientific Stewardship for the Exploration and Study of Subglacial Environments. The committee made 13 recommendations and a decision tree as a framework and flow chart for environmental management decisions. The committee report was also largely the basis of a Code of Conduct (CoC) for the exploration of subglacial environments formulated by a Scientific Committee on Antarctic Research Action Group. Both the NAS report and CoC have been used as guidance, to varying degrees, by subglacial research currently in progress.</t>
  </si>
  <si>
    <t>[Doran, Peter T.] Univ Illinois, Chicago, IL 60607 USA; [Vincent, Warwick F.] Univ Laval, Ctr No Studies, Quebec City, PQ G1V 0A6, Canada; [Vincent, Warwick F.] Univ Laval, Dept Biol, Quebec City, PQ G1V 0A6, Canada; [Vincent, Warwick F.] Univ Laval, Ctr No Studies CEN, Quebec City, PQ G1V 0A6, Canada</t>
  </si>
  <si>
    <t>University of Illinois System; University of Illinois Chicago; University of Illinois Chicago Hospital; Laval University; Laval University; Laval University</t>
  </si>
  <si>
    <t>Doran, PT (corresponding author), Univ Illinois, 845 W Taylor St, Chicago, IL 60607 USA.</t>
  </si>
  <si>
    <t>pdoran@uic.edu; warwick.vincent@bio.ulaval.ca</t>
  </si>
  <si>
    <t>Vincent, Warwick/AAH-6152-2019</t>
  </si>
  <si>
    <t>Vincent, Warwick/0000-0001-9055-1938</t>
  </si>
  <si>
    <t>10.1029/2010GM000947</t>
  </si>
  <si>
    <t>WOS:000290418300009</t>
  </si>
  <si>
    <t>Samyn, D; Dierckx, M; Remy, JP; Goossens, T; Tison, JL</t>
  </si>
  <si>
    <t>Samyn, D.; Dierckx, M.; Remy, J. -P.; Goossens, T.; Tison, J. -L.</t>
  </si>
  <si>
    <t>A simple and updated pneumatic method for uniaxial ice compression in the laboratory: experimental settings and creep test results on glacier ice</t>
  </si>
  <si>
    <t>Creep tests provide invaluable data to better understand the physical properties of ice under various conditions. We describe here a simple, updated pneumatic apparatus for experimental studies of ice rheological properties. The apparatus is designed to perform two simultaneous compression creep tests either in a cold room or in atmospheric conditions when coupled to an external cooling circulator. We present results from calibration tests of the apparatus and provide new data from creep tests performed on temperate glacier ice samples. These calibration and creep results show that the apparatus is able to provide fast and reliable mechanical ice characterization. The secondary creep rates measured in this study range between 1.59 x 10(-8) s(-1) (at 0.21 MPa) and 4.38 x 10(-7) s(-1) (at 0.71 MPa) at -10 degrees C for quasi-isotropic ice, which is consistent with former standard published data. The corresponding mean parameter, A, is 5.20 x 10(-16) s(-1) kPa(-3), which also compares well with the range of reported other studies.</t>
  </si>
  <si>
    <t>[Samyn, D.; Dierckx, M.; Remy, J. -P.; Goossens, T.; Tison, J. -L.] Univ Libre Bruxelles, Lab Glaciol, B-1050 Brussels, Belgium</t>
  </si>
  <si>
    <t>Universite Libre de Bruxelles</t>
  </si>
  <si>
    <t>Samyn, D (corresponding author), Uppsala Univ, Dept Earth Sci, Villavagen 16, SE-75236 Uppsala, Sweden.</t>
  </si>
  <si>
    <t>denis.samyn@geo.uu.se</t>
  </si>
  <si>
    <t>Tison, Jean-Louis/F-4065-2015</t>
  </si>
  <si>
    <t>Tison, Jean-Louis/0000-0002-9758-3454</t>
  </si>
  <si>
    <t>Belgian Federal Science Policy Office [EA/11/3A]; Marie Curie Intra-European Fellowship; Communaute Francaise de Belgique (Belgium)</t>
  </si>
  <si>
    <t>Belgian Federal Science Policy Office(Belgian Federal Science Policy Office); Marie Curie Intra-European Fellowship(European Union (EU)); Communaute Francaise de Belgique (Belgium)</t>
  </si>
  <si>
    <t>This paper is a contribution to the Belgian Research Programme on the Antarctic (Belgian Federal Science Policy Office), project No. EA/11/3A 'Belgian Ice Sheet - Shelf Ice Measurements in Antarctica (BELISSIMA)'. D.S. is currently funded through a Marie Curie Intra-European Fellowship, and M.D. through the IceCubeDyn project (Academic Research Collaboration) by the Communaute Francaise de Belgique (Belgium). We thank the Chief Editor T.H. Jacka and two anonymous reviewers for their helpful comments.</t>
  </si>
  <si>
    <t>10.3189/002214311796405960</t>
  </si>
  <si>
    <t>809VB</t>
  </si>
  <si>
    <t>WOS:000294083700015</t>
  </si>
  <si>
    <t>Mosert, M; McKinnell, LA; Gende, M; Brunini, C; Araujo, J; Ezquer, RG; Cabrera, M</t>
  </si>
  <si>
    <t>Mosert, M.; McKinnell, L. A.; Gende, M.; Brunini, C.; Araujo, J.; Ezquer, R. G.; Cabrera, M.</t>
  </si>
  <si>
    <t>Variations of foF2 and GPS total electron content over the Antarctic sector</t>
  </si>
  <si>
    <t>EARTH PLANETS AND SPACE</t>
  </si>
  <si>
    <t>Workshop on International Reference Ionosphere (IRI)</t>
  </si>
  <si>
    <t>Kagoshima, JAPAN</t>
  </si>
  <si>
    <t>Ionosphere; high latitude; IRI; f(o)F(2); GPS TEC</t>
  </si>
  <si>
    <t>ANOMALOUS VARIATIONS; ARGENTINE ISLANDS; TEC; PREDICTIONS; SOUTHERN; DENSITY</t>
  </si>
  <si>
    <t>This paper presents a preliminary analysis of the variations of the critical frequency of the F-2 region (f(o)F(2)) and the total electron content (TEC) derived from Global Positioning System (GPS) data. Hourly f(o)F(2) values were scaled from ionograms recorded at San Martin (68.1 degrees S, 293.0 degrees E) and the TEC values were derived from GPS observations at O'Higgins (63.3 degrees S, 302.5 degrees E). The database includes measurements obtained under different seasonal and solar activity conditions. The study shows that the daily peak of f(o)F(2) occurs around local noon in winter and fall, and in spring a secondary peak is observed around midnight. In summer (January) f(o)F(2) reaches its minimum value around the noon sector while the maximum in the diurnal variation of f(o)F(2) is located in a time sector close to midnight. This behaviour is observed at low and high solar activity. The semiannual anomaly appears around noon at high and low solar activity and the winter anomaly is not observed. The effect of the solar activity is generally observed in every season. The analysis of the GPS TEC measurements in the same region indicates that the diurnal, seasonal and solar activity variations are similar to those observed in the f(o)F(2) values. An analysis of the performance of the IRI model to predict f(o)F(2) is also shown using the two IRI options (URSI and CCIR). The comparisons between the experimental values and the IRI predictions show some discrepancies.</t>
  </si>
  <si>
    <t>[Mosert, M.] ICATE CONICET, RA-5400 San Juan, Argentina; [McKinnell, L. A.] Hermanus Magnet Observ, ZA-7200 Hermanus, South Africa; [McKinnell, L. A.] Rhodes Univ, Dept Phys &amp; Elect, ZA-6140 Grahamstown, South Africa; [Gende, M.; Brunini, C.] UNLP, Astron Observ, FCAG, RA-1900 La Plata, Argentina; [Araujo, J.] Direcc Nacl Antartico, Inst Antartico Argentino, Buenos Aires, DF, Argentina; [Ezquer, R. G.] Univ Nacl Tucuman, FACET, Dpto Fis, Lab Ionosfera, RA-4000 San Miguel De Tucuman, Argentina; [Ezquer, R. G.] Consejo Nacl Invest Cient &amp; Tecn, RA-1033 Buenos Aires, DF, Argentina</t>
  </si>
  <si>
    <t>Consejo Nacional de Investigaciones Cientificas y Tecnicas (CONICET); Council for Scientific &amp; Industrial Research (CSIR) - South Africa; Rhodes University; National University of La Plata; Instituto Antartico Argentino; Universidad Nacional de Tucuman; Consejo Nacional de Investigaciones Cientificas y Tecnicas (CONICET)</t>
  </si>
  <si>
    <t>Mosert, M (corresponding author), ICATE CONICET, Av Espana 1512 Sur,CC 467, RA-5400 San Juan, Argentina.</t>
  </si>
  <si>
    <t>mmosert@icate-conicet.gob.ar</t>
  </si>
  <si>
    <t>Gende, Mauricio/G-3811-2013</t>
  </si>
  <si>
    <t>Gende, Mauricio/0000-0003-2600-4969</t>
  </si>
  <si>
    <t>1880-5981</t>
  </si>
  <si>
    <t>EARTH PLANETS SPACE</t>
  </si>
  <si>
    <t>Earth Planets Space</t>
  </si>
  <si>
    <t>10.5047/eps.2011.01.006</t>
  </si>
  <si>
    <t>801QF</t>
  </si>
  <si>
    <t>Green Published, hybrid</t>
  </si>
  <si>
    <t>WOS:000293454500002</t>
  </si>
  <si>
    <t>Woloszyn, M; Mazloff, M; Ito, T</t>
  </si>
  <si>
    <t>Woloszyn, M.; Mazloff, M.; Ito, T.</t>
  </si>
  <si>
    <t>Testing an eddy-permitting model of the Southern Ocean carbon cycle against observations</t>
  </si>
  <si>
    <t>OCEAN MODELLING</t>
  </si>
  <si>
    <t>Southern Ocean; Carbon cycle; Eddy-permitting modeling; Air-sea CO2 flux</t>
  </si>
  <si>
    <t>ANTARCTIC CIRCUMPOLAR CURRENT; STRATIFICATION; CIRCULATION; TRANSPORT; DRIVEN; EDDIES</t>
  </si>
  <si>
    <t>Mesoscale processes play fundamental roles in the dynamics and biogeochemistry of the Southern Ocean. Previous modeling studies with coarse resolution models show varying estimates of carbon uptake there due to the differences in the representation of physical circulation and mesoscale processes. We develop a new eddy-permitting carbon cycle model of the Southern Ocean with improved representation of eddies, jets, and frontal structures. The model employs physical circulation fields from a Southern Ocean State Estimate: a model solution that is constrained by a suite of remotely sensed and in situ measurements to ensure realistic hydrographic structures and transport fields. A simple biogeochemistry model is coupled to the physical model to simulate the cycling of alkalinity, carbon, and nutrients. In this paper we compare simulated biogeochemical tracers with observations, and diagnose mechanisms controlling the regional carbon cycle. Model-data comparisons in Drake Passage and CLIVAR repeat sections provide tests for the model performance in capturing observed biogeochemical properties. Temporal variability of air-sea CO2 flux is primarily controlled by surface pCO(2) on seasonal timescale, modulated by rapid fluctuations in surface wind speed on a shorter timescale. Analysis of simulated carbon transport indicates that the zonal mean circulation transports carbon southward, partly compensated by the northward stationary and transient eddy fluxes. Variability of zonal mean circulation, which is strongly correlated with Ekman transport, dominates the temporal variability of meridional carbon transport across the Polar Front. (C) 2010 Elsevier Ltd. All rights reserved.</t>
  </si>
  <si>
    <t>[Woloszyn, M.; Ito, T.] Colorado State Univ, Dept Atmospher Sci, Ft Collins, CO 80523 USA; [Mazloff, M.] Univ Calif San Diego, Scripps Inst Oceanog, La Jolla, CA 92093 USA</t>
  </si>
  <si>
    <t>Colorado State University; University of California System; University of California San Diego; Scripps Institution of Oceanography</t>
  </si>
  <si>
    <t>Ito, T (corresponding author), Colorado State Univ, Dept Atmospher Sci, 1371 Campus Delivery, Ft Collins, CO 80523 USA.</t>
  </si>
  <si>
    <t>ito@atmos.colostate.edu</t>
  </si>
  <si>
    <t>Woloszyn, Mary/T-2186-2019; Mazloff, Matthew/AAG-6463-2019; Ito, Takamitsu/F-3856-2010</t>
  </si>
  <si>
    <t>Mazloff, Matthew/0000-0002-1650-5850; Ito, Takamitsu/0000-0001-9873-099X; Woloszyn, Molly/0000-0001-7080-757X</t>
  </si>
  <si>
    <t>National Aeronautics and Space Administration (NASA) [NNX08AL72G]; National Oceanic and Atmospheric Administration (NOAA) [NA08OAR4320893]; NSF [OCE 0961218]; NSF through TeraGrid resources [MCA06N007]; National Oceanographic Partnership Program (NOPP); Office of Polar Programs (OPP); Directorate For Geosciences [0961218] Funding Source: National Science Foundation</t>
  </si>
  <si>
    <t>National Aeronautics and Space Administration (NASA)(National Aeronautics &amp; Space Administration (NASA)); National Oceanic and Atmospheric Administration (NOAA)(National Oceanic Atmospheric Admin (NOAA) - USA); NSF(National Science Foundation (NSF)); NSF through TeraGrid resources(National Science Foundation (NSF)); National Oceanographic Partnership Program (NOPP); Office of Polar Programs (OPP); Directorate For Geosciences(National Science Foundation (NSF)NSF - Directorate for Geosciences (GEO))</t>
  </si>
  <si>
    <t>Woloszyn and Ito are supported by the National Aeronautics and Space Administration (NASA) grant NNX08AL72G and the National Oceanic and Atmospheric Administration (NOAA) grant NA08OAR4320893. Mazloff is supported by NSF grant OCE 0961218. NASA Advanced Supercomputing division and San Diego Supercomputer Center provided computing and data storage resources. Additional computational resources are also provided by NSF through TeraGrid resources under grant number MCA06N007. The Southern Ocean State Estimate is supported by the NASA and the National Oceanographic Partnership Program (NOPP) contracts to Massachusetts Institute of Technology. Two anonymous reviewers provided very helpful comments on the manuscript.</t>
  </si>
  <si>
    <t>1463-5003</t>
  </si>
  <si>
    <t>1463-5011</t>
  </si>
  <si>
    <t>OCEAN MODEL</t>
  </si>
  <si>
    <t>Ocean Model.</t>
  </si>
  <si>
    <t>10.1016/j.ocemod.2010.12.004</t>
  </si>
  <si>
    <t>799YN</t>
  </si>
  <si>
    <t>WOS:000293323100014</t>
  </si>
  <si>
    <t>Chernouss, SA; Kalitenkov, NV</t>
  </si>
  <si>
    <t>Chernouss, S. A.; Kalitenkov, N. V.</t>
  </si>
  <si>
    <t>The dependence of GPS positioning deviation on auroral activity</t>
  </si>
  <si>
    <t>INTERNATIONAL JOURNAL OF REMOTE SENSING</t>
  </si>
  <si>
    <t>The possibility of remote sensing ionosphere irregularities induced by auroral activity and affecting the Global Positioning System (GPS) signal is under consideration. The study reveals the dependence of GPS positioning temporal deviations on the auroral oval position and aurora disturbances throughout the polar region. The GPS data sets include the Antarctic and the Arctic GPS network receiver data, as well as the Kola Peninsula GPS original measurements. Auroral activity data include the satellite images of the auroral oval and the low light ground-based camera network data from the Barents Region. The aurora-induced ionosphere disturbances are supposed to be one of the main sources of GPS deviations in the Arctic and the Antarctic. A new method to study the impact of auroral disturbances on GPS positioning has been developed. The main idea of the method is to block the GPS receiver field of view in order to model the situation, with the GPS receiver inside the oval. Comparison of the GPS temporal deviations and the auroral intensity spatial and temporal variations show a good correlation in case studies.</t>
  </si>
  <si>
    <t>[Chernouss, S. A.] Kola Sci Ctr RAS, Polar Geophys Inst, Apatity 184209, Russia; [Kalitenkov, N. V.] Murmansk State Tech Univ, Murmansk 183010, Russia</t>
  </si>
  <si>
    <t>Russian Academy of Sciences; Polar Geophysical Institute; Kola Science Centre of the Russian Academy of Sciences</t>
  </si>
  <si>
    <t>Chernouss, SA (corresponding author), Kola Sci Ctr RAS, Polar Geophys Inst, Apatity 184209, Russia.</t>
  </si>
  <si>
    <t>chernouss@pgia.ru</t>
  </si>
  <si>
    <t>Chernouss, Sergey/F-3422-2017</t>
  </si>
  <si>
    <t>Chernouss, Sergey/0000-0003-2112-411X</t>
  </si>
  <si>
    <t>4 PARK SQUARE, MILTON PARK, ABINGDON OX14 4RN, OXON, ENGLAND</t>
  </si>
  <si>
    <t>0143-1161</t>
  </si>
  <si>
    <t>INT J REMOTE SENS</t>
  </si>
  <si>
    <t>Int. J. Remote Sens.</t>
  </si>
  <si>
    <t>10.1080/01431161.2010.541512</t>
  </si>
  <si>
    <t>Remote Sensing; Imaging Science &amp; Photographic Technology</t>
  </si>
  <si>
    <t>798PS</t>
  </si>
  <si>
    <t>WOS:000293223900005</t>
  </si>
  <si>
    <t>Grytsai, A</t>
  </si>
  <si>
    <t>Grytsai, A.</t>
  </si>
  <si>
    <t>Planetary wave peculiarities in Antarctic ozone distribution during 1979-2008</t>
  </si>
  <si>
    <t>SOUTHERN-HEMISPHERE STRATOSPHERE; POLAR VORTEX; DEPLETION; HOLE; TEMPERATURE; INDICATORS; EVOLUTION; TOMS</t>
  </si>
  <si>
    <t>Satellite ozone data over the Antarctic region have been analysed for 1979-2008. Quasi-stationary wave (QSW) characteristics are obtained for the September-November period for the latitudinal range 50-80 degrees S. Two time intervals for the wave amplitude changes are discussed: 1979-early 1990s, when the amplitude was increasing, and mid-1990s-2000s, when long-term amplitude changes did not have sufficient statistical reliability. A systematic change of the minimum position in quasi-stationary ozone distribution is studied. It is shown that an eastward minimum shift lasted during 1979-2008. Characteristics of the Fourier harmonics in ozone distribution are considered. Tendencies in the amplitudes and phases of the main wave components with zonal numbers 1 and 2 are determined. Amplitude dependence on zonal number is studied for the 1979-2008 averaged data. It is shown that this dependence obeys the power law with factors 0.7-1.6 for daily amplitudes and 1.9-2.6 for QSW in zonal ozone distribution.</t>
  </si>
  <si>
    <t>Taras Shevchenko Natl Univ Kyiv, Astron &amp; Space Phys Dept, UA-03680 Kiev, Ukraine</t>
  </si>
  <si>
    <t>Ministry of Education &amp; Science of Ukraine; Taras Shevchenko National University of Kyiv</t>
  </si>
  <si>
    <t>Grytsai, A (corresponding author), Taras Shevchenko Natl Univ Kyiv, Astron &amp; Space Phys Dept, UA-03680 Kiev, Ukraine.</t>
  </si>
  <si>
    <t>a.grytsai@gmail.com</t>
  </si>
  <si>
    <t>Grytsai, Asen/AAS-7114-2020</t>
  </si>
  <si>
    <t>Grytsai, Asen/0000-0002-2545-9833</t>
  </si>
  <si>
    <t>10.1080/01431161.2010.541518</t>
  </si>
  <si>
    <t>WOS:000293223900015</t>
  </si>
  <si>
    <t>Evtushevsky, O; Klekociuk, A; Grytsai, A; Milinevsky, G; Lozitsky, V</t>
  </si>
  <si>
    <t>Evtushevsky, O.; Klekociuk, A.; Grytsai, A.; Milinevsky, G.; Lozitsky, V.</t>
  </si>
  <si>
    <t>Troposphere and stratosphere influence on tropopause in the polar regions during winter and spring</t>
  </si>
  <si>
    <t>ASYMMETRY; OZONE</t>
  </si>
  <si>
    <t>Arctic and Antarctic tropopause is formed under unique climate conditions, both in the troposphere and stratosphere. Individual patterns of polar tropopause anomalies are formed under dominance or competition of the tropospheric and stratospheric sources. We analyse the thermal tropopause climatology in the polar regions using National Centers for Environmental Prediction-National Center for Atmospheric Research (NCEP-NCAR) Reanalysis-1 data between 1979 and 2008. The role of the troposphere and stratosphere in tropopause anomaly distribution is examined using corresponding temperature and geopotential height fields. By location, the tropopause anomalies in the Arctic and Antarctic are closer to patterns of cold anomalies in the troposphere and stratosphere respectively. Results indicate that the 30-year climatological tropopause anomalies in polar winter and spring could have different relationships to troposphere and stratosphere influences, even in neighbouring parts of the polar atmosphere.</t>
  </si>
  <si>
    <t>[Evtushevsky, O.; Grytsai, A.; Milinevsky, G.; Lozitsky, V.] Taras Shevchenko Natl Univ Kyiv, Astron &amp; Space Phys Dept, UA-01601 Kiev, Ukraine; [Klekociuk, A.] Australian Antarctic Div, Kingston, Tas 7050, Australia</t>
  </si>
  <si>
    <t>Ministry of Education &amp; Science of Ukraine; Taras Shevchenko National University of Kyiv; Australian Antarctic Division</t>
  </si>
  <si>
    <t>Milinevsky, G (corresponding author), Taras Shevchenko Natl Univ Kyiv, Astron &amp; Space Phys Dept, UA-01601 Kiev, Ukraine.</t>
  </si>
  <si>
    <t>genmilinevsky@gmail.com</t>
  </si>
  <si>
    <t>Milinevsky, Gennadi/AAD-8801-2019; Lozitsky, Vsevolod/F-5388-2017; Grytsai, Asen/AAS-7114-2020; Evtushevsky, Oleksandr O.M./F-2065-2017; Klekociuk, Andrew/A-4498-2015</t>
  </si>
  <si>
    <t>Milinevsky, Gennadi/0000-0002-2342-2615; Evtushevsky, Oleksandr O.M./0000-0003-0582-559X; Klekociuk, Andrew/0000-0003-3335-0034; Grytsai, Asen/0000-0002-2545-9833; Lozitsky, Vsevolod/0000-0002-6895-5271</t>
  </si>
  <si>
    <t>1366-5901</t>
  </si>
  <si>
    <t>10.1080/01431161.2010.541515</t>
  </si>
  <si>
    <t>WOS:000293223900016</t>
  </si>
  <si>
    <t>Lozitsky, V; Grytsai, A; Klekociuk, A; Milinevsky, G</t>
  </si>
  <si>
    <t>Lozitsky, V.; Grytsai, A.; Klekociuk, A.; Milinevsky, G.</t>
  </si>
  <si>
    <t>Influence of planetary waves on total ozone column distribution in northern and southern high latitudes</t>
  </si>
  <si>
    <t>LONGITUDE</t>
  </si>
  <si>
    <t>Results of a comparative analysis of quasi-stationary planetary wave (QSW) influences on total ozone column (TOC) distribution at 60 degrees N and 60 degrees S latitudes are presented. Total Ozone Mapping Spectrometer (TOMS) version 8 total ozone satellite data for years 1979-2003 were used to examine the longitudinal variation of ozone distribution. Three-month averages for each year were used to obtain the spatial distribution and spectral components of the QSW patterns. Long-term changes of QSW characteristics are compared for the Arctic and Antarctic regions. Quasi-stationary wave 1 dominates in the Southern hemisphere (SH) during spring for all analysed years. The amplitude of wave 1 is also largest, although wave 2 reaches a close level in several years in the Northern hemisphere (NH). The maximal TOC disturbances by planetary waves are observed in the winter-spring period both in the NH (January-March) and SH (August-October). During the development of the Antarctic ozone hole (from mid-1980s to the present), the QSW phase at 60 degrees N does not show longitudinal motion observed at 60 degrees S. Both hemispheres show strong inter-annual variability in both position and amplitude of the QSW pattern.</t>
  </si>
  <si>
    <t>[Lozitsky, V.; Grytsai, A.; Milinevsky, G.] Taras Shevchenko Natl Univ Kyiv, Astron &amp; Space Phys Dept, UA-01601 Kiev, Ukraine; [Klekociuk, A.] Australian Antarctic Div, Kingston, Tas 7050, Australia</t>
  </si>
  <si>
    <t>Grytsai, Asen/AAS-7114-2020; Lozitsky, Vsevolod/F-5388-2017; Milinevsky, Gennadi/AAD-8801-2019; Klekociuk, Andrew/A-4498-2015</t>
  </si>
  <si>
    <t>Milinevsky, Gennadi/0000-0002-2342-2615; Klekociuk, Andrew/0000-0003-3335-0034; Grytsai, Asen/0000-0002-2545-9833; Lozitsky, Vsevolod/0000-0002-6895-5271</t>
  </si>
  <si>
    <t>10.1080/01431161.2010.541519</t>
  </si>
  <si>
    <t>WOS:000293223900018</t>
  </si>
  <si>
    <t>Zalizovski, AV</t>
  </si>
  <si>
    <t>Zalizovski, Andriy V.</t>
  </si>
  <si>
    <t>The role of the ozonosphere in the interaction between atmospheric layers as deduced from observations at the Antarctic Base 'Akademik Vernadsky'</t>
  </si>
  <si>
    <t>LOWER IONOSPHERE; GRAVITY-WAVES; OZONE</t>
  </si>
  <si>
    <t>Records of the weather conditions, total ozone content (TOC) and ionospheric parameters measured at the Antarctic Base 'Akademik Vernadsky' (Argentine Islands Archipelago) during 1995-2004 are analysed in this paper. The ionospheric region above the ozone hole is found to be characterized by an increased level of disturbance during atmospheric fronts, and the ozone hole geometry is shown to be dependent on cyclonic activity. The results are discussed with reference to a model of internal atmospheric wave propagation through a non-isothermal atmosphere.</t>
  </si>
  <si>
    <t>Natl Acad Sci Ukraine, Inst Radio Astron, Dept Radiophys Geospace, UA-61002 Kharkov, Ukraine</t>
  </si>
  <si>
    <t>National Academy of Sciences Ukraine; Institute of Radio Astronomy of the National Academy of Sciences of Ukraine</t>
  </si>
  <si>
    <t>Zalizovski, AV (corresponding author), Natl Acad Sci Ukraine, Inst Radio Astron, Dept Radiophys Geospace, Chervonopraporna Str 4, UA-61002 Kharkov, Ukraine.</t>
  </si>
  <si>
    <t>zaliz@rian.kharkov.ua</t>
  </si>
  <si>
    <t>Zalizovski, Andriy/HII-4602-2022; Zalizovski, Andriy/ABB-4475-2020</t>
  </si>
  <si>
    <t>Zalizovski, Andriy/0000-0002-6271-0126; Zalizovski, Andriy/0000-0002-6271-0126</t>
  </si>
  <si>
    <t>10.1080/01431161.2010.541511</t>
  </si>
  <si>
    <t>WOS:000293223900019</t>
  </si>
  <si>
    <t>Bostock, HC; Hayward, BW; Neil, HL; Currie, KI; Dunbar, GB</t>
  </si>
  <si>
    <t>Bostock, Helen C.; Hayward, Bruce W.; Neil, Helen L.; Currie, Kim I.; Dunbar, Gavin B.</t>
  </si>
  <si>
    <t>Deep-water carbonate concentrations in the southwest Pacific</t>
  </si>
  <si>
    <t>Southwest pacific; Circumpolar deep water (CPDW); Dissolved inorganic carbon; Calcite saturation horizon (CSH); Carbonate content (CaCO3%); Carbonate compensation depth (CCD); Foraminiferal fragmentation %</t>
  </si>
  <si>
    <t>LAST GLACIAL MAXIMUM; ANTARCTIC CIRCUMPOLAR CURRENT; WESTERN-BOUNDARY CURRENT; SEA-SURFACE TEMPERATURE; FOSSIL-FUEL CO2; CALCIUM-CARBONATE; SOUTHERN-OCEAN; BENTHIC FORAMINIFERA; PLANKTONIC-FORAMINIFERA; DISSOCIATION-CONSTANTS</t>
  </si>
  <si>
    <t>We have compiled carbonate chemistry and sedimentary CaCO3% data for the deep-waters (&gt; 1500 m water depth) of the southwest (SW) Pacific region. The complex topography in the SW Pacific influences the deep-water circulation and affects the carbonate ion concentration ([CO32-]), and the associated calcite saturation horizon (CSH, where Omega(calcite)=1). The Tasman Basin and the southeast (SE) New Zealand region have the deepest CSH at similar to 3100 m, primarily influenced by middle and lower Circumpolar Deep Waters (m or ICPDW), while to the northeast of New Zealand the CSH is similar to 2800 m, due to the corrosive influence of the old North Pacific deep waters (NPDW) on the upper CPDW (uCPDW). The carbonate compensation depth (CCD: defined by a sedimentary CaCO3 content of &lt;20%), also varies between the basins in the SW Pacific, The CCD is 4600 m to the SE New Zealand, but only similar to 4000 m to the NE New Zealand. The CaCO3 content of the sediment, however, can be influenced by a number of different factors other than dissolution; therefore, we suggest using the water chemistry to estimate the CCD. The depth difference between the CSH and CCD (Delta Z(CSH-CCD)), however, varies considerably in this region and globally. The global Delta Z(CSH)-(CCD) appears to expand with increase in age of the deep-water, resulting from a shoaling of the CSH. In contrast the depth of the chemical lysocline (Omega(calcite) = 0.8) is less variable globally and is relatively similar, or close, to the CCD determined from the sedimentary CaCO3%. Geochemical definitions of the CCD, however, cannot be used to determine changes in the paleo-CCD. For the given range of factors that influence the sedimentary CaCO3%, an independent dissolution proxy, such as the foraminifera fragmentation % (&gt; 40%=foraminiferal lysocline) is required to define a depth where significant CaCO3 dissolution has occurred back through time. The current foraminiferal lysocline for the SW Pacific region ranges from 3100-3500 m, which is predictably just slightly deeper than the CSH. This compilation of sediment and water chemistry data provides a CaCO3 dataset for the present SW Pacific for comparison with glacial/interglacial CaCO3 variations in deep-water sediment cores, and to monitor future changes in [CO32-] and dissolution of sedimentary CaCO3 resulting from increasing anthropogenic CO2. (C) 2010 Elsevier Ltd. All rights reserved.</t>
  </si>
  <si>
    <t>[Bostock, Helen C.; Neil, Helen L.] Natl Inst Water &amp; Atmospher Res, Wellington, New Zealand; [Hayward, Bruce W.] Geomarine Res, Auckland, New Zealand; [Currie, Kim I.] Univ Otago, Natl Inst Water &amp; Atmospher Res, Dunedin, New Zealand; [Dunbar, Gavin B.] Victoria Univ Wellington, Antarctic Res Ctr, Wellington, New Zealand</t>
  </si>
  <si>
    <t>National Institute of Water &amp; Atmospheric Research (NIWA) - New Zealand; University of Otago; National Institute of Water &amp; Atmospheric Research (NIWA) - New Zealand; Victoria University Wellington</t>
  </si>
  <si>
    <t>Bostock, HC (corresponding author), Natl Inst Water &amp; Atmospher Res, Wellington, New Zealand.</t>
  </si>
  <si>
    <t>h.bostock@niwa.co.nz</t>
  </si>
  <si>
    <t>Bostock, Helen/A-6834-2013; HAYWARD, BRUCE W/AAG-2597-2019</t>
  </si>
  <si>
    <t>Bostock, Helen/0000-0002-8903-8958; Hayward, Bruce W./0000-0003-1302-7686</t>
  </si>
  <si>
    <t>New Zealand Foundation for Research, Science and Technology [CO1X0702]</t>
  </si>
  <si>
    <t>New Zealand Foundation for Research, Science and Technology(New Zealand Foundation for Research, Science and Technology)</t>
  </si>
  <si>
    <t>The authors would like to thank all the crew, scientists and technicians that collected and analysed the water chemistry samples from the World Ocean Circulation Experiment (WOCE) Pacific Ocean voyages and the subsequent voyages that have contributed to the CARINA dataset (listed in Table 1), and the NIWA sediment samples over the last 50 years and CaCO3% analyses. We would also like to thank a number of other research institutions for supplying deep water sediment samples that were analysed for this study. We thank Ashwaq Sabaa (Geomarine Research) for assistance with processing and determining the foraminifera-based dissolution proxies on some of the extra samples. HB and RN were funded by the New Zealand Foundation for Research, Science and Technology grant CO1X0702. The authors would like to thank Scott Nodder, Lionel Carter and an anonymous reviewer for their constructive comments that helped to improve the manuscript.</t>
  </si>
  <si>
    <t>1879-0119</t>
  </si>
  <si>
    <t>JAN</t>
  </si>
  <si>
    <t>10.1016/j.dsr.2010.11.010</t>
  </si>
  <si>
    <t>724HE</t>
  </si>
  <si>
    <t>WOS:000287565900007</t>
  </si>
  <si>
    <t>Gao, XQ; Rao, TS</t>
  </si>
  <si>
    <t>Wells, MT; SenGupta, A</t>
  </si>
  <si>
    <t>Gao, Xiaoqi; Rao, T. Subba</t>
  </si>
  <si>
    <t>Regression Models with STARMA Errors: An Application to the Study of Temperature Variations in the Antarctic Peninsula</t>
  </si>
  <si>
    <t>ADVANCES IN DIRECTIONAL AND LINEAR STATISTICS: A FESTSCHRIFT FOR SREENIVASA ROA JAMMALAMADAKA</t>
  </si>
  <si>
    <t>Motivated by spatio-temporal problems that occur in many areas such as environment, geography etc., we propose multivariate regression models with space-time ARMA errors. The methods of model identification and estimation are studied. The asymptotic properties of the estimators have been derived and simulations are provided. The methodology is applied to the analysis of monthly mean surface temperatures at five locations in the Antarctic Peninsula. This area of Antarctic is of great concern to climatologists, as it is believed that there is higher rate of warming compared to the rest. During the period from January 1978 to December 1998, the temperatures at all the five locations in the Antarctic Peninsula have increased. Substantial warming were detected at Faraday/Vernadsky and Rothera stations with the warming rate of 1.07 degrees C/decade and 1.08 degrees C/decade respectively and both trends are significant at level 1%.</t>
  </si>
  <si>
    <t>[Gao, Xiaoqi; Rao, T. Subba] Univ Manchester, Dept Math, Manchester M13 9PL, Lancs, England; [Rao, T. Subba] Univ Hyderabad, CR Rao Adv Inst Math Stat &amp; Comp Sci, Hyderabad 500134, Andhra Pradesh, India</t>
  </si>
  <si>
    <t>University of Manchester; University of Hyderabad</t>
  </si>
  <si>
    <t>Gao, XQ (corresponding author), Univ Manchester, Dept Math, Alan Turing Bldg,Oxford Rd, Manchester M13 9PL, Lancs, England.</t>
  </si>
  <si>
    <t>Xiaoqi.Gao@postgrad.manchester.ac.uk; Tata.Subbarao@manchester.ac.uk</t>
  </si>
  <si>
    <t>PHYSICA-VERLAG GMBH &amp; CO</t>
  </si>
  <si>
    <t>TIERGARTENSTR 17, D-69121 HEIDELBERG, GERMANY</t>
  </si>
  <si>
    <t>978-3-7908-2627-2</t>
  </si>
  <si>
    <t>10.1007/978-3-7908-2628-9_3</t>
  </si>
  <si>
    <t>10.1007/978-3-7908-2628-9</t>
  </si>
  <si>
    <t>Statistics &amp; Probability</t>
  </si>
  <si>
    <t>Mathematics</t>
  </si>
  <si>
    <t>BSJ69</t>
  </si>
  <si>
    <t>WOS:000284726800003</t>
  </si>
  <si>
    <t>Cooper, RG; El Doumani, H; Duritis, I; Gnanaraj, T; Horbanczuk, J</t>
  </si>
  <si>
    <t>Cooper, Ross Gordon; El Doumani, Hytham; Duritis, Ilmars; Gnanaraj, Tensingh; Horbanczuk, Jaroslaw</t>
  </si>
  <si>
    <t>First record of Saemundssonia australis Timmermann, 1955 (Mallophaga: Phthiraptera) from Lesser Sheathbill, Chionis minor (Charadriiformes: Chionididae) in the Prince Edward Islands</t>
  </si>
  <si>
    <t>TURKISH JOURNAL OF ZOOLOGY</t>
  </si>
  <si>
    <t>Chionis minor; Mallophaga; Saemundssonia australis; Marion Island</t>
  </si>
  <si>
    <t>FEATHER LICE; BODY-SIZE; HOST; BIRDS</t>
  </si>
  <si>
    <t>The object of the study was to devise a quick and reliable method for the collection and study of lice present in birds without harm or stress being inflicted on the birds. Described is the feather ruffling collection of parasitic lice Saemundssonia australis from Chionis minor and microscopic observations thereof. A random selection of 10 free-flying Lesser Sheathbills were caught on Marion Island (46 degrees 54'S, 37 degrees 45'E) with the aid of a hand net. Approximately 10 lice from each bird were collected. Examination of microphotographs of male and female lice was made. The sex ratio of parasites was approximately equal. All collected lice were adult. All 10 birds were parasitised.</t>
  </si>
  <si>
    <t>[El Doumani, Hytham] Mansoura Univ, Fac Vet Med, Mansoura, Egypt; [Duritis, Ilmars] Latvia Univ Agr, Riga, Latvia; [Gnanaraj, Tensingh] Madras Vet Coll, Dept Livestock Prod &amp; Management, Madras 600007, Tamil Nadu, India; [Horbanczuk, Jaroslaw] Inst Genet &amp; Anim Breeding, Kosowoska, Poland</t>
  </si>
  <si>
    <t>Egyptian Knowledge Bank (EKB); Mansoura University; Latvia University of Life Sciences &amp; Technologies; Tamil Nadu Veterinary &amp; Animal Sciences University; Institute of Genetics &amp; Animal Biotechnology, Polish Academy of Sciences</t>
  </si>
  <si>
    <t>Cooper, RG (corresponding author), Eurohouse,Dogkennel Lane, Walsall WS1 2BU, W Midlands, England.</t>
  </si>
  <si>
    <t>rgcooperuk@yahoo.com</t>
  </si>
  <si>
    <t>Horbanczuk, Jaroslaw/ABD-8389-2021; Eldoumani, Haitham/M-4639-2018; Duritis, Ilmars/ABH-9152-2020</t>
  </si>
  <si>
    <t>Eldoumani, Haitham/0000-0002-3869-0276; Duritis, Ilmars/0000-0002-4192-7596; Horbanczuk, Jaroslaw Olav/0000-0002-7561-0941</t>
  </si>
  <si>
    <t>Department of Environmental Affairs Tourism</t>
  </si>
  <si>
    <t>Research at the Prince Edward Islands was undertaken with the approval and support of the South African National Antarctic Programme, Department of Environmental Affairs &amp; Tourism. R.M. Wanless, M.A. Elaraby, M. Tigljar, and M. Pierzchala provided assistance. R.L. Palma confirmed the species identity.</t>
  </si>
  <si>
    <t>Tubitak Scientific &amp; Technological Research Council Turkey</t>
  </si>
  <si>
    <t>ANKARA</t>
  </si>
  <si>
    <t>ATATURK BULVARI NO 221, KAVAKLIDERE, TR-06100 ANKARA, TURKIYE</t>
  </si>
  <si>
    <t>1300-0179</t>
  </si>
  <si>
    <t>1303-6114</t>
  </si>
  <si>
    <t>TURK J ZOOL</t>
  </si>
  <si>
    <t>Turk. J. Zool.</t>
  </si>
  <si>
    <t>10.3906/zoo-0911-118</t>
  </si>
  <si>
    <t>790ZR</t>
  </si>
  <si>
    <t>WOS:000292629800018</t>
  </si>
  <si>
    <t>Cuthbert, RJ; Visser, P; Louw, H; Ryan, PG</t>
  </si>
  <si>
    <t>Cuthbert, R. J.; Visser, P.; Louw, H.; Ryan, P. G.</t>
  </si>
  <si>
    <t>Palatability and efficacy of rodent baits for eradicating house mice (Mus musculus) from Gough Island, Tristan da Cunha</t>
  </si>
  <si>
    <t>WILDLIFE RESEARCH</t>
  </si>
  <si>
    <t>Context. Introduced house mice (Mus musculus) are a serious predator of seabird chicks at Gough Island, resulting in declining populations of several threatened species. This has prompted the preparation of plans to eradicate mice from Gough and other islands. However, relatively little is known about the palatability and efficacy of rodent baits for house mice, as most studies have focussed on rats (Rattus spp.). Aims. The study's aim was to test the palatability of non-toxic forms of two commercially available rodent pellet bait formulations (Pestoff (R) 20R and Final (R)) and a new pellet bait formulated specifically for mouse control (Pestoff (R) 20M) to house mice on Gough Island. We also tested the efficacy of toxic Pestoff 20R and Final pellets containing 20 and 25 ppm of the anticoagulant toxin brodifacoum. Methods. Five trials with 50 mice housed in individual cages and kept at ambient temperature and light cycles, were undertaken during the year. Palatability of bait pellets was measured over five days and compared with a non-toxic control food (standard 'rodent pellets' sourced from a pet food supplier). Toxic bait trials were run for 25 days with bait administered at 1, 2 and 10 g for a 24-h period and at 20 g per day for 72 h. Key results. All three baits were highly palatable; however, mice showed the greatest preference for Pestoff 20M and 20R, consuming a larger mass of bait. Estimated oral LD(50) values of brodifacoum for Gough mice were 0.44 mg kg(-1) and the average time to death following exposure was 5.5 days (range 0-16 days). Two mice (similar to 1% of those tested) survived after apparently ingesting doses of brodifacoum estimated to be 5 and 10 times the oral LD50 values, potentially indicating a lower susceptibility to brodifacoum in some individuals, although subsequent exposure at higher doses resulted in mortality. Conclusions. The results of this study confirmed that house mice on Gough Island find bait pellets highly palatable and that brodifacoum is an effective toxin with LD(50) values and time to death within the same range (0.4 to 0.52 mg kg(-1) and 5.2 days) as other studies, indicating no major difference in the susceptibility of Gough mice to this poison. Implications. We recommend that bait manufacturers produce formulations designed to be attractive to mice and consider the use of higher concentrations of brodifacoum to increase the likelihood of all mice obtaining a toxic dose when small quantities of bait are consumed, although higher toxin concentrations must be balanced against the increased risks to nontarget species. Eradication operations targeting mice should undertake more than one bait drop to ensure any individuals surviving the initial drop have access to sufficient toxic bait to cause mortality upon second or subsequent exposure.</t>
  </si>
  <si>
    <t>[Cuthbert, R. J.; Visser, P.; Louw, H.] Royal Soc Protect Birds, Sandy SG19 2DL, Beds, England; [Ryan, P. G.] Univ Cape Town, Percy FitzPatrick Inst, DST NRF Ctr Excellence, ZA-7701 Rondebosch, South Africa</t>
  </si>
  <si>
    <t>Royal Society for Protection of Birds; National Research Foundation - South Africa; University of Cape Town</t>
  </si>
  <si>
    <t>Cuthbert, RJ (corresponding author), Royal Soc Protect Birds, Sandy SG19 2DL, Beds, England.</t>
  </si>
  <si>
    <t>richard.cuthbert@rspb.org.uk</t>
  </si>
  <si>
    <t>Ryan, Peter/0000-0002-3356-2056</t>
  </si>
  <si>
    <t>Tristan Island Council; UK Government</t>
  </si>
  <si>
    <t>We thank Trevor Glass, conservation officer on Tristan da Cunha, David Morley, administrator, and the Tristan Island Council for their support and permission to undertake this work on Gough Island. We are grateful to Penny Fisher and John Parkes of Landcare New Zealand for helpful suggestions on the design of this study. Thanks to Bill Simmons (Animal Control Products, New Zealand) and to Peter Martin and Craig Reikena (Bell Laboratories, USA) for supplying toxic and non-toxic baits, to Noel Markgraaf at the University of Cape Town's Medical School for loan of mouse cages, and to the South African National Antarctic Programme (SANAP) for essential logistical support. Thanks to Penny Fisher, Keith Springer and Ian Wilkinson for comments that improved an earlier version of this manuscript. Funding was provided by the UK Government's Overseas Territories Environment Programme (OTEP) and managed by the RSPB.</t>
  </si>
  <si>
    <t>CSIRO PUBLISHING</t>
  </si>
  <si>
    <t>COLLINGWOOD</t>
  </si>
  <si>
    <t>150 OXFORD ST, PO BOX 1139, COLLINGWOOD, VICTORIA 3066, AUSTRALIA</t>
  </si>
  <si>
    <t>1035-3712</t>
  </si>
  <si>
    <t>WILDLIFE RES</t>
  </si>
  <si>
    <t>Wildl. Res.</t>
  </si>
  <si>
    <t>10.1071/WR11016</t>
  </si>
  <si>
    <t>Ecology; Zoology</t>
  </si>
  <si>
    <t>Environmental Sciences &amp; Ecology; Zoology</t>
  </si>
  <si>
    <t>791SW</t>
  </si>
  <si>
    <t>WOS:000292686300003</t>
  </si>
  <si>
    <t>Mitrovica, JX; Wahr, J</t>
  </si>
  <si>
    <t>Jeanloz, R; Freeman, KH</t>
  </si>
  <si>
    <t>Mitrovica, Jerry X.; Wahr, John</t>
  </si>
  <si>
    <t>Ice Age Earth Rotation</t>
  </si>
  <si>
    <t>ANNUAL REVIEW OF EARTH AND PLANETARY SCIENCES, VOL 39</t>
  </si>
  <si>
    <t>Annual Review of Earth and Planetary Sciences</t>
  </si>
  <si>
    <t>sea-level; Antarctic; Greenland; ice sheet; climate change</t>
  </si>
  <si>
    <t>GLACIAL-ISOSTATIC-ADJUSTMENT; GLOBAL SEA-LEVEL; POLAR WANDER; PLEISTOCENE DEGLACIATION; VISCOELASTIC EARTH; LOWER MANTLE; VISCOSITY; GRACE; AXIS; RELAXATION</t>
  </si>
  <si>
    <t>Modern predictions of the rotational stability of an ice age Earth reflect a convergence of two classic problems in geophysical analysis the modeling of the glacial isostatic adjustment (GIA) process and the rotational stability of terrestrial planets. Recent theoretical advances in this area have been motivated not by conventional applications, such as the inference of Earth's deep-mantle viscosity, but rather by efforts to address vexing problems in global climate change research. These advances have demonstrated that traditional calculations of the ongoing motion of the rotation pole relative to the surface geography, or true polar wander (TPW), driven by ice age loading have systematically overestimated this motion by up to a factor of 4 by underestimating by similar to 1% the background flattening of Earth's oblate form. The physics of this sensitivity is related to concepts that appear in canonical, mid-twentieth century discussions of Earth rotation, and avoiding the associated inaccuracy resolves numerous perplexing sensitivities evident in previous predictions of ice age TPW. Moreover, these updated predictions provide both an important step in reconciling a recently defined enigma of modern global sea-level rise and a robust framework for analyzing a suite of space-geodetic constraints on Earth's climate system.</t>
  </si>
  <si>
    <t>[Mitrovica, Jerry X.] Harvard Univ, Dept Earth &amp; Planetary Sci, Cambridge, MA 02138 USA; [Wahr, John] Univ Colorado, Dept Phys, Boulder, CO 80309 USA; [Wahr, John] Univ Colorado, Cooperat Inst Res Environm Sci, Boulder, CO 80309 USA</t>
  </si>
  <si>
    <t>Harvard University; University of Colorado System; University of Colorado Boulder; University of Colorado System; University of Colorado Boulder</t>
  </si>
  <si>
    <t>Mitrovica, JX (corresponding author), Harvard Univ, Dept Earth &amp; Planetary Sci, 20 Oxford St, Cambridge, MA 02138 USA.</t>
  </si>
  <si>
    <t>jxm@eps.harvard.edu</t>
  </si>
  <si>
    <t>ANNUAL REVIEWS</t>
  </si>
  <si>
    <t>PALO ALTO</t>
  </si>
  <si>
    <t>4139 EL CAMINO WAY, PO BOX 10139, PALO ALTO, CA 94303-0897 USA</t>
  </si>
  <si>
    <t>0084-6597</t>
  </si>
  <si>
    <t>1545-4495</t>
  </si>
  <si>
    <t>978-0-8243-2039-3</t>
  </si>
  <si>
    <t>ANNU REV EARTH PL SC</t>
  </si>
  <si>
    <t>Annu. Rev. Earth Planet. Sci.</t>
  </si>
  <si>
    <t>10.1146/annurev-earth-040610-133404</t>
  </si>
  <si>
    <t>Astronomy &amp; Astrophysics; Geosciences, Multidisciplinary</t>
  </si>
  <si>
    <t>Astronomy &amp; Astrophysics; Geology</t>
  </si>
  <si>
    <t>BVF28</t>
  </si>
  <si>
    <t>WOS:000291366800020</t>
  </si>
  <si>
    <t>Lowther, AD; Goldsworthy, SD</t>
  </si>
  <si>
    <t>Lowther, Andrew D.; Goldsworthy, Simon D.</t>
  </si>
  <si>
    <t>Maternal strategies of the Australian sea lion (Neophoca cinerea) at Dangerous Reef, South Australia</t>
  </si>
  <si>
    <t>AUSTRALIAN JOURNAL OF ZOOLOGY</t>
  </si>
  <si>
    <t>attendance; maternal experience; milk; otariid; pup ontogeny</t>
  </si>
  <si>
    <t>ANTARCTIC FUR SEALS; ARCTOCEPHALUS-PUSILLUS-DORIFERUS; MACQUARIE ISLAND; MILK-COMPOSITION; GROWTH-RATE; MAMMALIAN REPRODUCTION; AMSTERDAM ISLAND; ELEPHANT SEALS; WEANING MASS; GAZELLA</t>
  </si>
  <si>
    <t>Maternal strategies of otariid seals reflect the optimisation between resource exploitation and offspring provisioning driven across spatially separated foraging and nursing grounds. Intercolony variation in the expression of maternal strategies may represent temporal and spatial differences in resource availability, intraspecies competition or differences in life-history traits. The current study describes maternal strategies of the Australian sea lion at the largest breeding colony of the species (Dangerous Reef) and a comparative analysis was performed with data collected 16 years earlier at Seal Bay (Kangaroo Island). Significant differences in maternal strategies were characterised by lower milk lipid content (21.0 versus 28.9%), abbreviated periods onshore (0.93 versus 1.63 days) and slower pup growth rates (0.09-0.12 kg day(-1)) at Dangerous Reef. These data suggest flexibility in the expression of maternal investment between breeding sites and support the hypothesis of localised adaptation</t>
  </si>
  <si>
    <t>[Lowther, Andrew D.; Goldsworthy, Simon D.] S Australia Res &amp; Dev Inst, Henley Beach, SA 5024, Australia</t>
  </si>
  <si>
    <t>Lowther, AD (corresponding author), S Australia Res &amp; Dev Inst, POB 120, Henley Beach, SA 5024, Australia.</t>
  </si>
  <si>
    <t>andrew.lowther@sa.gov.au</t>
  </si>
  <si>
    <t>Lowther, Andrew/T-2511-2019</t>
  </si>
  <si>
    <t>Lowther, Andrew/0000-0003-4294-3157; Goldsworthy, Simon/0000-0003-4988-9085</t>
  </si>
  <si>
    <t>Wildlife Conservation Fund(South Australia)</t>
  </si>
  <si>
    <t>We thank Brad Page, Derek Hamer, Alistair Baylis and Kris Peters of SARDI Aquatic Sciences for their support of this project and their assistance in the field, and the Wildlife Conservation Fund(South Australia), which funded this study. All work was conducted under permits from La Trobe University Animal Ethics (AEC06/24(BG)/V1) and the South Australian Department of Environment and Heritage (Permit #A24684).</t>
  </si>
  <si>
    <t>CLAYTON</t>
  </si>
  <si>
    <t>UNIPARK, BLDG 1, LEVEL 1, 195 WELLINGTON RD, LOCKED BAG 10, CLAYTON, VIC 3168, AUSTRALIA</t>
  </si>
  <si>
    <t>0004-959X</t>
  </si>
  <si>
    <t>1446-5698</t>
  </si>
  <si>
    <t>AUST J ZOOL</t>
  </si>
  <si>
    <t>Aust. J. Zool.</t>
  </si>
  <si>
    <t>10.1071/ZO11025</t>
  </si>
  <si>
    <t>789KJ</t>
  </si>
  <si>
    <t>WOS:000292514100008</t>
  </si>
  <si>
    <t>Sokolik, IN; Curry, J; Radionov, V</t>
  </si>
  <si>
    <t>Gutman, G; Reissel, A</t>
  </si>
  <si>
    <t>Sokolik, Irina N.; Curry, Judith; Radionov, Vladimir</t>
  </si>
  <si>
    <t>Interactions of Arctic Aerosols with Land-Cover and Land-Use Changes in Northern Eurasia and their Role in the Arctic Climate System</t>
  </si>
  <si>
    <t>EURASIAN ARCTIC LAND COVER AND LAND USE IN A CHANGING CLIMATE</t>
  </si>
  <si>
    <t>CLOUD RESOLVING SIMULATIONS; BOREAL FOREST-FIRE; AIR-POLLUTION; AGRICULTURAL FIRES; OPTICAL DEPTH; ICE CRYSTALS; RADIATION; SURFACE; TRENDS; MICROPHYSICS</t>
  </si>
  <si>
    <t>Atmospheric aerosols have been hypothesized as playing an important role in significant climate and environmental changes that have been occurring in the Arctic. This Chapter concentrates on the role of Arctic aerosols in the energy balance and the hydrological cycle by considering several major aerosol types (sulfates, black carbon and dust) that originate in Northern Eurasia. Aerosols can affect the energy balance directly by scattering, absorbing, and emitting atmospheric radiation as well as by changing the surface albedo. Furthermore, aerosols perturb the radiative energy balance indirectly by affecting the properties, lifetime, and coverage of clouds. Aerosol-induced changes in clouds are also important in the hydrological cycle. An additional complexity arises from the potential connection of aerosols to feedbacks that involve the physical climate, ecological, and human components of the Arctic system. The abundances, chemical composition and spatiotemporal distributions of natural and anthropogenic aerosols, which are controlled by sources and ageing processes occurring during atmospheric transport, are the major factors governing the aerosol climate forcing. Over the past decades, the warming climate, socio-economic changes and changes in land cover and land use occurring in Northern Eurasia have been affecting sources and properties of atmospheric aerosols. These changes were likely to affect not only aerosol burden in the Russian Arctic but through the whole Arctic. Understanding how changes in land cover and land use have been affecting the abundances and distributions of natural and anthropogenic aerosols and how the aerosol-induced varying forcing has been affecting the Arctic climate system is of great importance to understand the overall response of the Arctic region to global warming associated with steadily increasing greenhouse gases.</t>
  </si>
  <si>
    <t>[Sokolik, Irina N.; Curry, Judith] Georgia Inst Technol, Sch Earth &amp; Atmospher Sci, Atlanta, GA 30332 USA; [Radionov, Vladimir] Arctic &amp; Antarctic Res Inst, St Petersburg 199397, Russia</t>
  </si>
  <si>
    <t>University System of Georgia; Georgia Institute of Technology; Arctic &amp; Antarctic Research Institute</t>
  </si>
  <si>
    <t>Sokolik, IN (corresponding author), Georgia Inst Technol, Sch Earth &amp; Atmospher Sci, Atlanta, GA 30332 USA.</t>
  </si>
  <si>
    <t>isokolik@eas.gatech.edu; curryja@eas.gatech.edu; vradion@aari.nw.ru</t>
  </si>
  <si>
    <t>Radionov, Vladimir F./O-3038-2017</t>
  </si>
  <si>
    <t>233 SPRING STREET, NEW YORK, NY 10013, UNITED STATES</t>
  </si>
  <si>
    <t>978-90-481-9117-8</t>
  </si>
  <si>
    <t>10.1007/978-90-481-9118-5_10</t>
  </si>
  <si>
    <t>10.1007/978-90-481-9118-5</t>
  </si>
  <si>
    <t>BSD75</t>
  </si>
  <si>
    <t>WOS:000284236100010</t>
  </si>
  <si>
    <t>Carvalho, I; Brito, C; dos Santos, ME; Rosenbaum, HC</t>
  </si>
  <si>
    <t>Carvalho, I.; Brito, C.; dos Santos, M. E.; Rosenbaum, H. C.</t>
  </si>
  <si>
    <t>The waters of Sao Tome: a calving ground for West African humpback whales?</t>
  </si>
  <si>
    <t>AFRICAN JOURNAL OF MARINE SCIENCE</t>
  </si>
  <si>
    <t>behaviour; breeding grounds; group composition; South Atlantic</t>
  </si>
  <si>
    <t>MEGAPTERA-NOVAEANGLIAE; POPULATION-STRUCTURE; BREEDING GROUNDS; ORCINUS-ORCA; ATLANTIC; MOVEMENTS; SEGREGATION; ARCHIPELAGO; CONNECTIONS; MIGRATION</t>
  </si>
  <si>
    <t>In the Southern Hemisphere, humpback whales Megaptera novaeangliae feed in Antarctic waters during the austral summer and migrate to their breeding grounds in subtropical and tropical waters during the winter. Historical whaling records suggest that the Archipelago of Sao Tome and Principe, located in the Gulf of Guinea, serves as a possible breeding ground. In order to investigate the temporal occurrence and group composition of humpback whales around Sao Tome Island, annual surveys were conducted during the breeding season between 2002 and 2006. A total of 186 boat-based surveys took place during this period. Data collected during each sighting included geographical positions, group size, group composition and behavioural classifications. Of the 66 groups encountered, mother/calf pairs made up a large proportion (65.15%), followed by solitary individuals (15.15%). Mother/calf pairs were seen in the region into November and resightings of identified animals indicate periods of occupancy that extended over three weeks. Few behaviours typically associated with mating activity were observed. Given the high percentage of mother/calf pairs, sometimes with very young calves, and the low frequency of mating activity, the waters of Sao Tome may primarily serve as a calving and nursing or resting area for humpback whales.</t>
  </si>
  <si>
    <t>[Carvalho, I.] Univ Algarve, Fac Ciencias Mar &amp; Ambiente, P-8000139 Faro, Portugal; [Carvalho, I.; Rosenbaum, H. C.] Amer Museum Nat Hist, Sackler Inst Comparat Genom, New York, NY 10024 USA; [Carvalho, I.; Rosenbaum, H. C.] Wildlife Conservat Soc, Cetacean Conservat &amp; Res &amp; Ocean Giants Program, Bronx, NY 10460 USA; [Brito, C.] Univ Nova Lisboa, Fac Ciencias Sociais &amp; Humanas, Ctr Hist Alem Mar, P-1069061 Lisbon, Portugal; [Brito, C.] Escola Mar, P-1749016 Lisbon, Portugal; [dos Santos, M. E.] ISPA Inst Univ, Ecoethol Res Unit, P-1149041 Lisbon, Portugal</t>
  </si>
  <si>
    <t>Universidade do Algarve; American Museum of Natural History (AMNH); Wildlife Conservation Society; Universidade Nova de Lisboa; Instituto Superior Psicologia Aplicada (ISPA)</t>
  </si>
  <si>
    <t>Carvalho, I (corresponding author), Univ Algarve, Fac Ciencias Mar &amp; Ambiente, Campus Gambelas, P-8000139 Faro, Portugal.</t>
  </si>
  <si>
    <t>carvalho.inesc@gmail.com</t>
  </si>
  <si>
    <t>dos Santos, Manuel E./H-5571-2019; Brito, Cristina/P-1071-2016; Brito, Cristina/HKN-7612-2023; Brito, Cristina/B-2638-2010; Carvalho, Ines/E-9270-2012</t>
  </si>
  <si>
    <t>dos Santos, Manuel E./0000-0001-8225-9398; Brito, Cristina/0000-0001-7895-0784; Carvalho, Ines/0000-0002-4641-8037</t>
  </si>
  <si>
    <t>Projecto Delfim; Rolas Island Resort; ECOFAC (Conservation et utilisation rationnelle des Ecosystemes Forestiers en Afrique Centrale); Wildlife Conservation Society; Portuguese Foundation for Science and Technology (Fundacao para a Ciencia e Tecnologia) [SFRH/BD/18049/2004]; Fundação para a Ciência e a Tecnologia [SFRH/BD/18049/2004] Funding Source: FCT</t>
  </si>
  <si>
    <t>Projecto Delfim; Rolas Island Resort; ECOFAC (Conservation et utilisation rationnelle des Ecosystemes Forestiers en Afrique Centrale); Wildlife Conservation Society; Portuguese Foundation for Science and Technology (Fundacao para a Ciencia e Tecnologia)(Fundacao para a Ciencia e a Tecnologia (FCT)); Fundação para a Ciência e a Tecnologia(Fundacao para a Ciencia e a Tecnologia (FCT))</t>
  </si>
  <si>
    <t>We thank Francisco Reiner for initiating of this study. We also thank the following people and institutions: the President Fradique de Menezes and the Government of Sao Tome and Principe, especially the environmental director, Dr Arlindo Carvalho, for permission to conduct this study, the Portuguese Embassy in Sao Tome and Principe for logistical support, Tim Collins from Wildlife Conservation Society, and Jan Hartman and Henrique Costa from Eco Sao Tome for all the help and contacts, Peter Ersts for helping with the maps, Herbert Maia, Cristina Picanco, Maria Pimentel, Carlos Carvalho, Joao Mendes and Edmilson for their valuable help in the field, Norberto Vidal and Jean Louis Testorini for information regarding the humpback sightings, to Projecto Delfim and Rolas Island Resort for logistical and financial support in 2002 and 2003. The 2004 and 2005 field seasons were funded by the ECOFAC (Conservation et utilisation rationnelle des Ecosystemes Forestiers en Afrique Centrale), project Especes Phares and Paulo Pimentel, the 2006 field season was funded by Wildlife Conservation Society. IC's doctoral grant was funded by the Portuguese Foundation for Science and Technology (Fundacao para a Ciencia e Tecnologia; SFRH/BD/18049/2004).</t>
  </si>
  <si>
    <t>NATL INQUIRY SERVICES CENTRE PTY LTD</t>
  </si>
  <si>
    <t>GRAHAMSTOWN</t>
  </si>
  <si>
    <t>19 WORCESTER STREET, PO BOX 377, GRAHAMSTOWN 6140, SOUTH AFRICA</t>
  </si>
  <si>
    <t>1814-232X</t>
  </si>
  <si>
    <t>1814-2338</t>
  </si>
  <si>
    <t>AFR J MAR SCI</t>
  </si>
  <si>
    <t>Afr. J. Mar. Sci.</t>
  </si>
  <si>
    <t>10.2989/1814232X.2011.572353</t>
  </si>
  <si>
    <t>775YF</t>
  </si>
  <si>
    <t>WOS:000291498700008</t>
  </si>
  <si>
    <t>Li, SC; Li, W</t>
  </si>
  <si>
    <t>Li, Shouchun; Li, Wei</t>
  </si>
  <si>
    <t>PHYSIOLOGICAL AND BIOCHEMICAL RESPONSES OF ANTARCTIC MICROALGA CHLORELLA SP NJ-18 TO SALINITY STRESS</t>
  </si>
  <si>
    <t>FRESENIUS ENVIRONMENTAL BULLETIN</t>
  </si>
  <si>
    <t>Antarctic Chlorella; salinity stress; soluble sugars; free proline; S-containing amino acid residues</t>
  </si>
  <si>
    <t>ALGA PRASIOLA-CRISPA; DESICCATION; CHLOROPHYTA; TOLERANCE; COLD</t>
  </si>
  <si>
    <t>Cold or drought tolerant plants may also show salinity tolerance due to cross adaptation. Chlorella strain NJ-18, a freshwater unicellular green alga from the Antarctica, showed increased salinity tolerance relative to C. vulgaris UETX259, a temperate strain of the same genus. As shown with growth rate, membrane permeability and photosynthetic activity, the Antarctic strain was more tolerant to salinity stress than the temperate one. There were significantly higher levels of soluble sugars and free proline accumulated in NJ-18 than in UTEX259. Under salinity stress, total amino acid contents decreased in UTEX259 but increased in NJ-18. Especially, in NJ-18 exposed to salinity stress, cystine and methionine contents increased about 4- and 1.5-fold compared to cells without the stress. Our results suggest that salinity tolerance may be developed in parallel to cold tolerance in green algae in permanently cold environments.</t>
  </si>
  <si>
    <t>[Li, Shouchun] Jiangxi Normal Univ, Coll Life Sci, Nanchang 330022, Peoples R China; [Li, Shouchun; Li, Wei] Chinese Acad Sci, Wuhan Bot Garden, Wuhan 430074, Peoples R China; [Li, Shouchun] Chinese Acad Sci, Grad Sch, Beijing 100039, Peoples R China</t>
  </si>
  <si>
    <t>Jiangxi Normal University; Chinese Academy of Sciences; Wuhan Botanical Garden, CAS; Chinese Academy of Sciences; University of Chinese Academy of Sciences, CAS</t>
  </si>
  <si>
    <t>Li, SC (corresponding author), Jiangxi Normal Univ, Coll Life Sci, Nanchang 330022, Peoples R China.</t>
  </si>
  <si>
    <t>lsc_982@126.com</t>
  </si>
  <si>
    <t>li, qing/JEF-9044-2023</t>
  </si>
  <si>
    <t>Chinese Academy of Science [KSCX2-SW-332]; Natural Science Foundation of Jiangxi Province [2010GZN0117]; Natural Science Foundation of Education Department of Jiangxi Province [125 (2006)]</t>
  </si>
  <si>
    <t>Chinese Academy of Science(Chinese Academy of Sciences); Natural Science Foundation of Jiangxi Province(Natural Science Foundation of Jiangxi Province); Natural Science Foundation of Education Department of Jiangxi Province</t>
  </si>
  <si>
    <t>This work was supported by the Key Project (KSCX2-SW-332) of Knowledge Innovation Program of Chinese Academy of Science and Natural Science Foundation of Jiangxi Province (2010GZN0117) and the project No. [Natural Science Foundation of Education Department of Jiangxi Province No.125 (2006)]</t>
  </si>
  <si>
    <t>PARLAR SCIENTIFIC PUBLICATIONS (P S P)</t>
  </si>
  <si>
    <t>FREISING</t>
  </si>
  <si>
    <t>ANGERSTR. 12, 85354 FREISING, GERMANY</t>
  </si>
  <si>
    <t>1018-4619</t>
  </si>
  <si>
    <t>1610-2304</t>
  </si>
  <si>
    <t>FRESEN ENVIRON BULL</t>
  </si>
  <si>
    <t>Fresenius Environ. Bull.</t>
  </si>
  <si>
    <t>Environmental Sciences</t>
  </si>
  <si>
    <t>780FP</t>
  </si>
  <si>
    <t>WOS:000291840200002</t>
  </si>
  <si>
    <t>Gädke, A; Dykstra, R</t>
  </si>
  <si>
    <t>Fantazzini, P; Bortolotti, V; Karger, J; Galvosas, P</t>
  </si>
  <si>
    <t>Gaedke, Achim; Dykstra, Robin</t>
  </si>
  <si>
    <t>Mobile Permanent Magnet NMR Systems for Field Studies on Antarctic Sea Ice</t>
  </si>
  <si>
    <t>MAGNETIC RESONANCE IN POROUS MEDIA</t>
  </si>
  <si>
    <t>AIP Conference Proceedings</t>
  </si>
  <si>
    <t>10th International Bologna Conference on Magnetic Resonance in Porous Media</t>
  </si>
  <si>
    <t>SEP 12-16, 2010</t>
  </si>
  <si>
    <t>Univ Leipzig, Phys Dept, Leipzig, GERMANY</t>
  </si>
  <si>
    <t>Univ Leipzig, Phys Dept</t>
  </si>
  <si>
    <t>sea ice; Antarctica; Halbach magnet; NMR; porous media</t>
  </si>
  <si>
    <t>DIFFUSION MEASUREMENTS; SELF-DIFFUSION; RESONANCE</t>
  </si>
  <si>
    <t>A permanent magnet based Nuclear Magnetic Resonance (NMR) system has been developed to measure various properties of the brine in sea ice. In contrast to systems utilizing the Earth's field in previous expeditions, the comparatively high field of 0.28 T provided by permanent magnets allows for shorter measurement times and advanced NMR protocols. In November 2009 the instrument was deployed to Antarctica to investigate sea ice grown under natural conditions. In this paper the instrument is described, preliminary results are reported and future options for mobile NMR applications in Antarctica discussed.</t>
  </si>
  <si>
    <t>[Gaedke, Achim; Dykstra, Robin] Victoria Univ Wellington, Sch Engn &amp; Comp Sci, Wellington, New Zealand</t>
  </si>
  <si>
    <t>Gädke, A (corresponding author), Victoria Univ Wellington, Sch Engn &amp; Comp Sci, Wellington, New Zealand.</t>
  </si>
  <si>
    <t>AMER INST PHYSICS</t>
  </si>
  <si>
    <t>MELVILLE</t>
  </si>
  <si>
    <t>2 HUNTINGTON QUADRANGLE, STE 1NO1, MELVILLE, NY 11747-4501 USA</t>
  </si>
  <si>
    <t>0094-243X</t>
  </si>
  <si>
    <t>978-0-7354-0885-2</t>
  </si>
  <si>
    <t>AIP CONF PROC</t>
  </si>
  <si>
    <t>10.1063/1.3562246</t>
  </si>
  <si>
    <t>Physics, Applied; Radiology, Nuclear Medicine &amp; Medical Imaging; Spectroscopy</t>
  </si>
  <si>
    <t>Physics; Radiology, Nuclear Medicine &amp; Medical Imaging; Spectroscopy</t>
  </si>
  <si>
    <t>BVJ08</t>
  </si>
  <si>
    <t>WOS:000291632100026</t>
  </si>
  <si>
    <t>Maurette, M</t>
  </si>
  <si>
    <t>Joblin, C; Tielens, AGGM</t>
  </si>
  <si>
    <t>Maurette, M.</t>
  </si>
  <si>
    <t>SOLID STATE MOLECULAR REACTORS IN SPACE</t>
  </si>
  <si>
    <t>PAHS AND THE UNIVERSE: A SYMPOSIUM TO CELEBRATE THE 25TH ANNIVERSARY OF THE PAH HYPOTHESIS</t>
  </si>
  <si>
    <t>EAS Publications Series</t>
  </si>
  <si>
    <t>Symposium to Celebrate the 25th Anniversary of the PAH Hypothesis</t>
  </si>
  <si>
    <t>MAY 31-JUN 04, 2010</t>
  </si>
  <si>
    <t>Univ Toulouse, Toulouse, FRANCE</t>
  </si>
  <si>
    <t>Univ Toulouse</t>
  </si>
  <si>
    <t>DUST</t>
  </si>
  <si>
    <t>Lunar minerals and impact glasses, convert the polyatomic beam of solar wind (SW) ions into a flux of small molecules (e.g., H-2, N-2, H2O, CO, CO2, CH4, C2H4, C2H6, HCN, metal carbides and deuterides, etc.). They thus behave as Solid State Molecular Reactors. Moreover, similar to 100-200 mu m size micrometeoroids (mu Ms) have also been exposed to the SW in the zodiacal cloud, before being captured by the Earth and recovered as Antarctic micrometeorites. They are mostly composed of a PAH-rich hydrous-carbonaceous material, which amplifies their power as molecular reactors. In particular, during the first similar to 200 Myr of the post-lunar period, about 75% of the mu Ms have been melted and/or volatilized upon atmospheric entry. The release of their volatile species triggered a cosmic volcanism around the mesopause that ruled the formation of the early Earth's atmosphere and climate. Furthermore, a fraction of the mu Ms that survive unmelted upon atmospheric entry did settle on the proto-oceans floors. Upon further burial in sediments their constituent PAH-rich kerogen was cracked into abiotic oil, which generated giant oil slicks that fed prebiotic chemistry. Many stars, of all ages and types, are embedded into a secondary debris-disk loaded with ion implanted mu Ms. Some of them are expelled to the interstellar medium (ISM) where they behave first as dormant-invisible molecular reactors, until they became reactivated by various processes to synthesize interstellar molecules. This short paper only focus on some highlights of this research dealing with the synthesis of important interstellar molecules, including the most abundant ones (H-2 and CO) and H2O, HCN and PAHs, all involved in prebiotic chemistry.</t>
  </si>
  <si>
    <t>Univ Paris 11, CSNSM, F-91405 Orsay, France</t>
  </si>
  <si>
    <t>Universite Paris Saclay</t>
  </si>
  <si>
    <t>Maurette, M (corresponding author), Univ Paris 11, CSNSM, Batiment 104, F-91405 Orsay, France.</t>
  </si>
  <si>
    <t>E D P SCIENCES</t>
  </si>
  <si>
    <t>CEDEX A</t>
  </si>
  <si>
    <t>17 AVE DU HOGGAR PARC D ACTIVITES COUTABOEUF BP 112, F-91944 CEDEX A, FRANCE</t>
  </si>
  <si>
    <t>1633-4760</t>
  </si>
  <si>
    <t>978-2-7598-0624-9</t>
  </si>
  <si>
    <t>EAS PUBLICATIONS</t>
  </si>
  <si>
    <t>10.1051/eas/1146033</t>
  </si>
  <si>
    <t>BVJ75</t>
  </si>
  <si>
    <t>WOS:000291672700033</t>
  </si>
  <si>
    <t>Maschek, JA; Bucher, CJ; van Olphen, A; Amsler, CD; McClintock, JB; Baker, BJ</t>
  </si>
  <si>
    <t>Gang, DR</t>
  </si>
  <si>
    <t>Maschek, J. Alan; Bucher, Cynthia J.; van Olphen, Alberto; Amsler, Charles D.; McClintock, James B.; Baker, Bill J.</t>
  </si>
  <si>
    <t>The Pursuit of Potent Anti-influenza Activity from the Antarctic Red Marine Alga Gigartina skottsbergii</t>
  </si>
  <si>
    <t>BIOLOGICAL ACTIVITY OF PHYTOCHEMICALS</t>
  </si>
  <si>
    <t>Recent Advances in Phytochemistry</t>
  </si>
  <si>
    <t>49th Annual PSNA Meeting</t>
  </si>
  <si>
    <t>AUG 08-12, 2009</t>
  </si>
  <si>
    <t>Towson Univ, Baltimore, MD</t>
  </si>
  <si>
    <t>Towson Univ</t>
  </si>
  <si>
    <t>INFLUENZA-A; ADAMANTANE RESISTANCE; NATURAL-PRODUCTS; AMANTADINE; VIRUSES; PROPHYLAXIS; HOME</t>
  </si>
  <si>
    <t>[Maschek, J. Alan; Bucher, Cynthia J.; van Olphen, Alberto; Amsler, Charles D.; McClintock, James B.; Baker, Bill J.] Univ S Florida, Dept Chem, Ctr Mol Divers Drug Design Discovery &amp; Delivery, Tampa, FL 33620 USA</t>
  </si>
  <si>
    <t>Baker, BJ (corresponding author), Univ S Florida, Dept Chem, Ctr Mol Divers Drug Design Discovery &amp; Delivery, Tampa, FL 33620 USA.</t>
  </si>
  <si>
    <t>jmaschek@mail.usf.edu; cbucher@health.usf.edu; avanolph@health.usf.edu; amsler@uab.edu; mcclinto@uab.edu; bjbaker@usf.edu</t>
  </si>
  <si>
    <t>FCOE-BITT [GALS-006]; Office of Polar Programs of the National Science Foundation [OPP-0442769, OPP-0442857]</t>
  </si>
  <si>
    <t>FCOE-BITT; Office of Polar Programs of the National Science Foundation</t>
  </si>
  <si>
    <t>The assistance of Rachelle Price, who conducted the hemagglutination assays reported here, is gratefully acknowledged. Funding in support of this work was received from FCOE-BITT (GALS-006 to AvO and BJB) and the Office of Polar Programs of the National Science Foundation (OPP-0442769 to CDA and JBM, OPP-0442857 to BJB). Field work was facilitated by the staff of the Antarctic Support Services of the Office of Polar Programs and Raytheon Polar Services.</t>
  </si>
  <si>
    <t>0079-9920</t>
  </si>
  <si>
    <t>978-1-4419-6961-3</t>
  </si>
  <si>
    <t>RECENT ADV PHYTOCHEM</t>
  </si>
  <si>
    <t>Recent Adv. Phytochem.</t>
  </si>
  <si>
    <t>10.1007/978-1-4419-7299-6_1</t>
  </si>
  <si>
    <t>Biochemistry &amp; Molecular Biology; Plant Sciences</t>
  </si>
  <si>
    <t>BVF47</t>
  </si>
  <si>
    <t>WOS:000291369200001</t>
  </si>
  <si>
    <t>Cadena, A</t>
  </si>
  <si>
    <t>Hou, WW; Arnone, R</t>
  </si>
  <si>
    <t>Cadena, A.</t>
  </si>
  <si>
    <t>Design and implementation of cooperative Autonomous Underwater Vehicles for Antarctic exploration</t>
  </si>
  <si>
    <t>OCEAN SENSING AND MONITORING III</t>
  </si>
  <si>
    <t>Proceedings of SPIE</t>
  </si>
  <si>
    <t>Conference on the Ocean Sensing and Monitoring III</t>
  </si>
  <si>
    <t>APR 26-27, 2011</t>
  </si>
  <si>
    <t>Orlando, FL</t>
  </si>
  <si>
    <t>Autonomous Underwater Vehicle (AUV); Antarctica; Guidance; Navigation and Control (GNC); Inertial Navigation System (INS); Unmanned Ground Vehicle (UGV); Field Programmable Gate Array (FPGA)</t>
  </si>
  <si>
    <t>The present work describes the development of two collaborative Autonomous Underwater Vehicles (AUV) for Antarctic exploration to use them in the Ecuadorian Expeditions to the Scientific Base Pedro Vicente Maldonado in Antarctica. One vehicle is an AUV, called TAUV, with classical torpedo architecture, can work as a platform to transport scientific payload in a determined path in open waters. The TAUV length is 2m and diameter of 0.16m and has got three degree of freedom: pitch, yaw and surge. The vehicle achieves stable control with a set of three pairs of control planes. The other vehicle is an AUV, called HAUV, with Hybrid architecture that combines the best characteristics of the ROV and AUV, high stability in the water column, high maneuverability at low velocity without control planes and efficient hydrodynamics. The HAUV length is less than 1.50 m. The propulsion module is formed by four thrusters, three axial and one oriented vertically, this configuration gives to the HAUV three degrees of freedom: heave, surge and yaw. This vehicle can works as a ROV or an AUV. The hybrid configuration features the vehicle to explore dangerous areas near to the glacier wall. Three collaborative behaviors are discussed: formation flying, point inspection near to the glacier wall, replacement of a missing vehicle. Results of some systems of the TAUV and HAUV from laboratory, sea trials in tropical waters and Antarctic environment are show.</t>
  </si>
  <si>
    <t>Escuela Super Politecn Litoral, Guayaquil 09015863, Ecuador</t>
  </si>
  <si>
    <t>Escuela Superior Politecnica del Litoral</t>
  </si>
  <si>
    <t>Cadena, A (corresponding author), Escuela Super Politecn Litoral, Av Perimentral Km 30-5, Guayaquil 09015863, Ecuador.</t>
  </si>
  <si>
    <t>arturocad@hotmail.com</t>
  </si>
  <si>
    <t>SPIE-INT SOC OPTICAL ENGINEERING</t>
  </si>
  <si>
    <t>BELLINGHAM</t>
  </si>
  <si>
    <t>1000 20TH ST, PO BOX 10, BELLINGHAM, WA 98227-0010 USA</t>
  </si>
  <si>
    <t>0277-786X</t>
  </si>
  <si>
    <t>978-0-81948-604-2</t>
  </si>
  <si>
    <t>PROC SPIE</t>
  </si>
  <si>
    <t>80300F</t>
  </si>
  <si>
    <t>10.1117/12.887623</t>
  </si>
  <si>
    <t>Engineering, Ocean; Geosciences, Multidisciplinary; Remote Sensing; Optics</t>
  </si>
  <si>
    <t>Engineering; Geology; Remote Sensing; Optics</t>
  </si>
  <si>
    <t>BVG11</t>
  </si>
  <si>
    <t>WOS:000291442200014</t>
  </si>
  <si>
    <t>Maher, PT; Johnston, ME; Dawson, JP; Noakes, J</t>
  </si>
  <si>
    <t>Maher, Patrick T.; Johnston, Margaret E.; Dawson, Jackie P.; Noakes, Jamie</t>
  </si>
  <si>
    <t>Risk and a changing environment for Antarctic tourism</t>
  </si>
  <si>
    <t>CURRENT ISSUES IN TOURISM</t>
  </si>
  <si>
    <t>Antarctic tourism; environmental change; risk</t>
  </si>
  <si>
    <t>CLIMATE-CHANGE; ADVENTURE; CANADA; ANALOG; ICE</t>
  </si>
  <si>
    <t>This research note explores the issues of perceptions of risk and a changing environment for Antarctic tourism. A pilot study was undertaken aboard an Antarctic cruise ship in February 2008 with the purpose of examining the views of passengers about risk and environmental change in light of the recent sinking of the Explorer and the growing awareness of climate change effects in polar regions.</t>
  </si>
  <si>
    <t>[Maher, Patrick T.] UNBC, Outdoor Recreat &amp; Tourism Management Program, Prince George, BC V2N 4Z9, Canada; [Johnston, Margaret E.] Lakehead Univ, Sch Outdoor Recreat Parks &amp; Tourism, Thunder Bay, ON P7B 5E1, Canada; [Dawson, Jackie P.] Univ Guelph, Global Environm Change Grp, Dept Geog, Guelph, ON N1G 2W1, Canada; [Noakes, Jamie] Univ Fraser Valley, Dept Geog, Abbotsford, BC, Canada</t>
  </si>
  <si>
    <t>University of British Columbia; University of Northern British Columbia; Lakehead University; University of Guelph; University of Fraser Valley</t>
  </si>
  <si>
    <t>Maher, PT (corresponding author), UNBC, Outdoor Recreat &amp; Tourism Management Program, 3333 Univ Way, Prince George, BC V2N 4Z9, Canada.</t>
  </si>
  <si>
    <t>maherp@unbc.ca</t>
  </si>
  <si>
    <t>Maher, Patrick/AAU-4377-2020</t>
  </si>
  <si>
    <t>Dawson, Jackie/0000-0002-3532-2742; Maher, Patrick Timothy/0000-0001-5059-1062</t>
  </si>
  <si>
    <t>ROUTLEDGE JOURNALS, TAYLOR &amp; FRANCIS LTD</t>
  </si>
  <si>
    <t>2-4 PARK SQUARE, MILTON PARK, ABINGDON OX14 4RN, OXON, ENGLAND</t>
  </si>
  <si>
    <t>1368-3500</t>
  </si>
  <si>
    <t>1747-7603</t>
  </si>
  <si>
    <t>CURR ISSUES TOUR</t>
  </si>
  <si>
    <t>Curr. Issues Tour.</t>
  </si>
  <si>
    <t>PII 924640615</t>
  </si>
  <si>
    <t>10.1080/13683500.2010.491896</t>
  </si>
  <si>
    <t>756WE</t>
  </si>
  <si>
    <t>WOS:000290044600007</t>
  </si>
  <si>
    <t>Torres, LG; Thompson, DR; Bearhop, S; Votier, S; Taylor, GA; Sagar, PM; Robertson, BC</t>
  </si>
  <si>
    <t>Torres, Leigh G.; Thompson, David R.; Bearhop, Stuart; Votier, Stephen; Taylor, Graeme A.; Sagar, Paul M.; Robertson, Bruce C.</t>
  </si>
  <si>
    <t>White-capped albatrosses alter fine-scale foraging behavior patterns when associated with fishing vessels</t>
  </si>
  <si>
    <t>Fisheries interaction; Foraging behavior; GPS tagging; Seabirds; Spatio-temporal scale; Telemetry; New Zealand; Squid trawl fishery</t>
  </si>
  <si>
    <t>AREA-RESTRICTED SEARCH; GPS TRACKING; FISHERIES; SEABIRDS; MORTALITY; BYCATCH; TRAWLERS; PREDATOR; BIRDS</t>
  </si>
  <si>
    <t>Incidental bycatch of seabirds in commercial fishing activities is known to cause declines in seabird populations. However, the full impacts on the ecology of seabirds, including effects on seabird distribution and behavior, through the association with fisheries are not fully understood. We developed a novel method to integrate fine-scale GPS tracking data from the foraging trips of 25 white-capped albatross Thalassarche steadi within sub-Antarctic New Zealand with fishing effort distribution data to (1) quantify fine-scale overlap between individual albatrosses and individual vessels and (2) characterize behavioral changes in albatrosses when they are associated with fishing vessels. Overlap between vessels and albatrosses occurred in 68% of tracks. However, albatrosses demonstrated high variability in foraging trip destinations and association rates with fishing activity, both between and within individuals. Eight tracks never overlapped a fishing vessel. Of the 17 tracks that did overlap, a range of 2 to 73% of foraging effort on each trip occurred while overlapping a fishing vessel. Albatross foraging behavior was characterized by a significantly slower and straighter path when overlapping vessels. This study highlights the utility of GPS tags to examine the fine-scale distribution of seabirds in relation to fishing activity, revealing how effects of fisheries on marine megafauna may extend beyond mortality and injury as well as population numbers. However, results are currently constrained, not only by limited tracking data sets, but also by the quality (spatio-temporal resolution) and availability of fishing effort data. Critical conservation issues related to the effects of fisheries on threatened marine megafauna cannot be fully addressed without comparative data sets with resolution equal to GPS tags.</t>
  </si>
  <si>
    <t>[Torres, Leigh G.; Thompson, David R.] Natl Inst Water &amp; Atmospher Res Ltd, Wellington 6021, New Zealand; [Bearhop, Stuart] Univ Exeter, Sch Biosci, Penryn TR10 9EZ, Cornwall, England; [Votier, Stephen] Univ Plymouth, Marine Biol &amp; Ecol Res Ctr, Plymouth PL4 8AA, Devon, England; [Taylor, Graeme A.] Dept Conservat, Wellington 6143, New Zealand; [Sagar, Paul M.] Natl Inst Water &amp; Atmospher Res Ltd, Christchurch 8011, New Zealand; [Robertson, Bruce C.] Univ Otago, Dept Zool, Dunedin 9016, New Zealand</t>
  </si>
  <si>
    <t>National Institute of Water &amp; Atmospheric Research (NIWA) - New Zealand; University of Exeter; University of Plymouth; National Institute of Water &amp; Atmospheric Research (NIWA) - New Zealand; University of Otago</t>
  </si>
  <si>
    <t>Torres, LG (corresponding author), Natl Inst Water &amp; Atmospher Res Ltd, Wellington 6021, New Zealand.</t>
  </si>
  <si>
    <t>l.torres@niwa.co.nz</t>
  </si>
  <si>
    <t>Votier, Stephen/IUO-0154-2023; Bearhop, Stuart/G-3105-2012</t>
  </si>
  <si>
    <t>Votier, Stephen/0000-0002-0976-0167; Bearhop, Stuart/0000-0002-5864-0129</t>
  </si>
  <si>
    <t>New Zealand Department of Conservation [POP2005/02]</t>
  </si>
  <si>
    <t>New Zealand Department of Conservation</t>
  </si>
  <si>
    <t>Funding for this study was provided by the Conservation Services Programme of the New Zealand Department of Conservation (Project POP2005/02). We are grateful to The New Zealand Ministry of Fisheries for supplying fishing vessel and catch effort data. We thank M. Williams (NIWA, Wellington) for assistance with Matlab, P. Jameson and N. Gemmell for laboratory facilities at the University of Canterbury, and the crew of RV 'Tiama' for safely transporting our field crew to the sub-Antarctic and back again.</t>
  </si>
  <si>
    <t>10.3354/meps09068</t>
  </si>
  <si>
    <t>759ME</t>
  </si>
  <si>
    <t>WOS:000290248800021</t>
  </si>
  <si>
    <t>Marchant, R; Kefford, BJ; Wasley, J; King, CK; Doube, J; Nugegoda, D</t>
  </si>
  <si>
    <t>Marchant, R.; Kefford, B. J.; Wasley, J.; King, C. K.; Doube, J.; Nugegoda, D.</t>
  </si>
  <si>
    <t>Response of stream invertebrate communities to vegetation damage from overgrazing by exotic rabbits on subantarctic Macquarie Island</t>
  </si>
  <si>
    <t>MARINE AND FRESHWATER RESEARCH</t>
  </si>
  <si>
    <t>catchment disturbance; island streams</t>
  </si>
  <si>
    <t>ACHERON RIVER; MACROINVERTEBRATES; COLONIZATION</t>
  </si>
  <si>
    <t>Widespread damage to vegetation on an isolated oceanic island (Macquarie Island), due to overgrazing (since 2002) by an expanding exotic rabbit population, could affect the nature of catchment runoff and result in changes to stream habitats and the composition of their invertebrate communities. To test this hypothesis, stream invertebrate communities that had been sampled originally in 1992 (at 15 sites when rabbit numbers were historically low), were re-sampled in 2008 (17 sites) and in 2010 (12 sites). The number of taxa recorded at each site was 25-36% lower in 2008 (7.4 taxa per site) and in 2010 (8.7 taxa) than in 1992 (11.6 taxa) and an abundance index showed a substantial decline across most taxa. Ordination indicated that composition at all sites changed markedly between years. The greatest compositional changes occurred at sites exposed to moderate or severe levels of vegetation damage, suggesting that stream invertebrates responded to habitat changes associated with increased grazing. An altered input of organic material into the streams as a result of vegetation damage may have been responsible. If communities of stream invertebrates on isolated islands are degraded, then composition may be altered permanently, unless refuges are available.</t>
  </si>
  <si>
    <t>[Marchant, R.] Museum Victoria, Dept Entomol, Melbourne, Vic 3001, Australia; [Kefford, B. J.] Univ Technol Sydney, Dept Environm Sci, Broadway, NSW 2007, Australia; [Wasley, J.; King, C. K.; Doube, J.] Australian Antarctic Div, Kingston, Tas 7050, Australia; [Nugegoda, D.] RMIT Univ, Bundoora, Vic 3083, Australia</t>
  </si>
  <si>
    <t>Museum Victoria; University of Technology Sydney; Australian Antarctic Division; Royal Melbourne Institute of Technology (RMIT)</t>
  </si>
  <si>
    <t>Marchant, R (corresponding author), Museum Victoria, Dept Entomol, GPO Box 666, Melbourne, Vic 3001, Australia.</t>
  </si>
  <si>
    <t>rmarch@museum.vic.gov.au</t>
  </si>
  <si>
    <t>Nugegoda, Dayanthi/R-9770-2019; Wasley, Jane/KHX-4880-2024; King, Catherine K/G-7059-2017</t>
  </si>
  <si>
    <t>King, Catherine K/0000-0003-3356-0381; Nugegoda, Dayanthi/0000-0002-6327-4581; Kefford, Ben/0000-0001-6789-4254; Marchant, Richard/0000-0001-7387-2609; Wasley, Jane/0000-0001-9379-664X</t>
  </si>
  <si>
    <t>Australian Antarctic Division (AAD) [2918, 3261]; ARC [LP0669113]; Australian Research Council [LP0669113] Funding Source: Australian Research Council</t>
  </si>
  <si>
    <t>Australian Antarctic Division (AAD); ARC(Australian Research Council); Australian Research Council(Australian Research Council)</t>
  </si>
  <si>
    <t>The Australian Antarctic Division (AAD) funded this study (ASAC Projects 2918 and 3261) and provided all logistical support. Collection and access permits were issued by the Tasmanian Department of Primary Industries and Water (Nos. TFA 07274 and FA 09258), the Tasmanian Parks and Wildlife Service (PWS Access Authority Nos. 07-08 9 and 07-08 29) and Tasmanian Inland Fisheries (Nos. 2007-48 and 2010-01). BJK was supported by an ARC fellowship (LP0669113). S. Ferguson (AAD) carried out the chemical analysis of the water samples; D. Smith (AAD) calculated catchment areas and other geographic variables. E. Heiden, D. McVeigh, M. Austin, and S. Way assisted in the field in 2008; and A. McGifford and K. McLoughney in 2010. The enthusiastic support of the station leader M. Dahlberg was important for the success of the field work in 2008. A. Skinn and T. Price checked and retrieved the temperature dataloggers. This paper was much improved by comments from A. Boulton and two referees. We are very grateful to them all.</t>
  </si>
  <si>
    <t>1323-1650</t>
  </si>
  <si>
    <t>MAR FRESHWATER RES</t>
  </si>
  <si>
    <t>Mar. Freshw. Res.</t>
  </si>
  <si>
    <t>10.1071/MF10317</t>
  </si>
  <si>
    <t>Fisheries; Limnology; Marine &amp; Freshwater Biology; Oceanography</t>
  </si>
  <si>
    <t>Fisheries; Marine &amp; Freshwater Biology; Oceanography</t>
  </si>
  <si>
    <t>755QG</t>
  </si>
  <si>
    <t>WOS:000289950200009</t>
  </si>
  <si>
    <t>Scambos, T</t>
  </si>
  <si>
    <t>Scambos, Ted</t>
  </si>
  <si>
    <t>Earth's ice: Sea level, climate, and our future commitment</t>
  </si>
  <si>
    <t>BULLETIN OF THE ATOMIC SCIENTISTS</t>
  </si>
  <si>
    <t>Antarctica; Arctic; climate change; cryosphere; global warming; greenhouse gases; Greenland; sea ice; sea level rise</t>
  </si>
  <si>
    <t>PINE ISLAND GLACIER; ANTARCTIC PENINSULA; CARBON-DIOXIDE; MASS-LOSS; BENEATH; CORE; RISE</t>
  </si>
  <si>
    <t>The world's icy and snowy regions-the cryosphere-are where the most profound changes will occur as the globe continues warming. In many areas, the levels of cryospheric change today are surpassing any seen in the past hundreds to thousands of years. This amplified response has a simple explanation: Most of the cryosphere is, on average, near the freezing point. Small shifts in temperature push large regions to a different physical state. However, while the processes leading to the loss of ice are quickly started, they do not quickly stop. We are on the verge of committing ourselves to sizable increases in sea level. The 2007 Intergovernmental Panel on Climate Change (IPCC) report estimated sea level rise in this century at just 20 to 60 centimeters, but that total did not include contributions from the break-up and flow of ice sheets. The melting of mountain glaciers and ice in Greenland and Antarctica could add an additional meter of sea level rise. An equally important effect may be the feedback that changes in ice-especially the ice-covered ocean-have on climate in both the polar and the temperate regions of the world. The author describes the processes that are rapidly eroding polar ice.</t>
  </si>
  <si>
    <t>Natl Snow &amp; Ice Data Ctr, Boulder, CO USA</t>
  </si>
  <si>
    <t>Scambos, T (corresponding author), Natl Snow &amp; Ice Data Ctr, Boulder, CO USA.</t>
  </si>
  <si>
    <t>SCAMBOS, Ted A./0000-0003-4268-6322</t>
  </si>
  <si>
    <t>0096-3402</t>
  </si>
  <si>
    <t>1938-3282</t>
  </si>
  <si>
    <t>B ATOM SCI</t>
  </si>
  <si>
    <t>Bull. Atom. Scient.</t>
  </si>
  <si>
    <t>JAN-FEB</t>
  </si>
  <si>
    <t>10.1177/0096340210392965</t>
  </si>
  <si>
    <t>International Relations; Social Issues</t>
  </si>
  <si>
    <t>749SP</t>
  </si>
  <si>
    <t>WOS:000289490100004</t>
  </si>
  <si>
    <t>Buiron, D; Chappellaz, J; Stenni, B; Frezzotti, M; Baumgartner, M; Capron, E; Landais, A; Lemieux-Dudon, B; Masson-Delmotte, V; Montagnat, M; Parrenin, F; Schilt, A</t>
  </si>
  <si>
    <t>Buiron, D.; Chappellaz, J.; Stenni, B.; Frezzotti, M.; Baumgartner, M.; Capron, E.; Landais, A.; Lemieux-Dudon, B.; Masson-Delmotte, V.; Montagnat, M.; Parrenin, F.; Schilt, A.</t>
  </si>
  <si>
    <t>TALDICE-1 age scale of the Talos Dome deep ice core, East Antarctica</t>
  </si>
  <si>
    <t>CLIMATE OF THE PAST</t>
  </si>
  <si>
    <t>GREENLAND ICE; CLIMATE-CHANGE; ATMOSPHERIC METHANE; COLD REVERSAL; VICTORIA LAND; TAYLOR DOME; FLOW; SHEET; RECORDS; CH4</t>
  </si>
  <si>
    <t>A new deep ice core drilling program, TALDICE, has been successfully handled by a European team at Talos Dome, in the Ross Sea sector of East Antarctica, down to 1620m depth. Using stratigraphic markers and a new inverse method, we produce the first official chronology of the ice core, called TALDICE-1. We show that it notably improves an a priori chronology resulting from a one-dimensional ice flow model. It is in agreement with a posteriori controls of the resulting accumulation rate and thinning function along the core. An absolute uncertainty of only 300 yr is obtained over the course of the last deglaciation. This uncertainty remains lower than 600 yr over Marine Isotope Stage 3, back to 50 kyr BP. The phasing of the TALDICE ice core climate record with respect to the central East Antarctic plateau and Greenland records can thus be determined with a precision allowing for a discussion of the mechanisms at work at sub-millennial time scales.</t>
  </si>
  <si>
    <t>[Buiron, D.; Chappellaz, J.; Montagnat, M.; Parrenin, F.] Univ Grenoble 1, CNRS, Lab Glaciol &amp; Geophys Environm, UMR 5183, F-38402 St Martin Dheres, France; [Stenni, B.] Univ Trieste, Dept Geosci, I-34127 Trieste, Italy; [Frezzotti, M.] CR Casaccia, ENEA, I-00123 Rome, Italy; [Baumgartner, M.] Univ Bern, Inst Phys, CH-3012 Bern, Switzerland; [Capron, E.; Landais, A.; Masson-Delmotte, V.] CEA Saclay, Lab Sci Climat &amp; Environm, IPSL CEA CNRS UVSQ UMR 1572, F-91191 Gif Sur Yvette, France; [Lemieux-Dudon, B.] INRIA Lab Jean Kuntzmann, F-38041 Grenoble 9, France; [Schilt, A.] Univ Bern, Oeschger Ctr Climate Change Res, CH-3012 Bern, Switzerland</t>
  </si>
  <si>
    <t>Communaute Universite Grenoble Alpes; Universite Grenoble Alpes (UGA); Centre National de la Recherche Scientifique (CNRS); University of Trieste; Italian National Agency New Technical Energy &amp; Sustainable Economics Development; University of Bern; CEA; Centre National de la Recherche Scientifique (CNRS); Universite Paris Saclay; University of Bern</t>
  </si>
  <si>
    <t>Chappellaz, J (corresponding author), Univ Grenoble 1, CNRS, Lab Glaciol &amp; Geophys Environm, UMR 5183, F-38402 St Martin Dheres, France.</t>
  </si>
  <si>
    <t>chappellaz@lgge.obs.ujf-grenoble.fr</t>
  </si>
  <si>
    <t>Parrenin, Frédéric/H-3054-2014; Montagnat, Maurine/N-6431-2014; Masson-Delmotte, Valerie L/G-1995-2011; FREZZOTTI, Massimo/AAK-7275-2020; Chappellaz, Jérôme A./A-4872-2011</t>
  </si>
  <si>
    <t>Parrenin, Frédéric/0000-0002-9489-3991; Masson-Delmotte, Valerie L/0000-0001-8296-381X; FREZZOTTI, Massimo/0000-0002-2461-2883; LANDAIS, Amaelle/0000-0002-5620-5465; Stenni, Barbara/0000-0003-4950-3664; Schilt, Adrian/0000-0001-6312-7947; Lemieux-Dudon, Benedicte/0000-0002-0718-2420</t>
  </si>
  <si>
    <t>Institut National des Sciences de l'Univers (INSU); Grants-in-Aid for Scientific Research [21221002] Funding Source: KAKEN</t>
  </si>
  <si>
    <t>Institut National des Sciences de l'Univers (INSU); Grants-in-Aid for Scientific Research(Ministry of Education, Culture, Sports, Science and Technology, Japan (MEXT)Japan Society for the Promotion of ScienceGrants-in-Aid for Scientific Research (KAKENHI))</t>
  </si>
  <si>
    <t>Talos Dome Ice core Project (TALDICE), a joint European program led by Italy, is funded by national contributions from Italy, France, Germany, Switzerland and the United Kingdom. The main logistical support was provided by PNRA at Talos Dome. We thank the logistic and drilling TALDICE team for their efficiency over each drilling season. Funding support for the dating work was provided by the Institut National des Sciences de l'Univers (INSU) through its program LEFE. We thank Melanie Baroni from CEREGE for providing data and interpretation of 10Be, Mirko Severi for providing sulfate data and Barbara Delmonte for providing dust data. Thanks also to Frederic Prie and Benedicte Minster for their help during isotopic measurements at LSCE, Saclay. We are deeply indebted to our late colleague Jean-Marc Barnola for his help concerning the use of the firn densification model. We thank the two anonymous reviewers for their very useful comments and suggestions on the first draft. This is TALDICE publication no 11.</t>
  </si>
  <si>
    <t>1814-9324</t>
  </si>
  <si>
    <t>1814-9332</t>
  </si>
  <si>
    <t>CLIM PAST</t>
  </si>
  <si>
    <t>Clim. Past.</t>
  </si>
  <si>
    <t>10.5194/cp-7-1-2011</t>
  </si>
  <si>
    <t>Geosciences, Multidisciplinary; Meteorology &amp; Atmospheric Sciences</t>
  </si>
  <si>
    <t>Geology; Meteorology &amp; Atmospheric Sciences</t>
  </si>
  <si>
    <t>743CC</t>
  </si>
  <si>
    <t>Green Published, gold, Green Submitted</t>
  </si>
  <si>
    <t>WOS:000288992700001</t>
  </si>
  <si>
    <t>Tigchelaar, M; von der Heydt, AS; Dijkstra, HA</t>
  </si>
  <si>
    <t>Tigchelaar, M.; von der Heydt, A. S.; Dijkstra, H. A.</t>
  </si>
  <si>
    <t>A new mechanism for the two-step δ18O signal at the Eocene-Oligocene boundary</t>
  </si>
  <si>
    <t>DEEP-WATER PRODUCTION; ANTARCTIC GLACIATION; DRAKE PASSAGE; SEA-ICE; THERMOHALINE CIRCULATION; CALCITE COMPENSATION; SWITCH MECHANISM; CLIMATE SWITCH; CARBON-CYCLE; OCEAN</t>
  </si>
  <si>
    <t>The most marked step in the global climate transition from Greenhouse to Icehouse Earth occurred at the Eocene-Oligocene (E-O) boundary, 33.7 Ma. Evidence for climatic changes comes from many sources, including the marine benthic delta O-18 record, showing an increase by 1.2-1.5 parts per thousand at this time. This positive excursion is characterised by two steps, separated by a plateau. The increase in delta O-18 values has been attributed to rapid glaciation of the Antarctic continent, previously ice-free. Simultaneous changes in the delta C-13 record are suggestive of a greenhouse gas control on climate. Previous modelling studies show that a decline in pCO(2) beyond a certain threshold value may have initiated the growth of a Southern Hemispheric ice sheet. These studies were not able to conclusively explain the remarkable two-step profile in delta O-18. Furthermore, they considered changes in the ocean circulation only regionally, or indirectly through the oceanic heat transport. The potential role of global changes in ocean circulation in the E-O transition has not been addressed yet. Here a new interpretation of the delta O-18 signal is presented, based on model simulations using a simple coupled 8-box-ocean, 4-box-atmosphere model with an added land ice component. The model was forced with a slowly decreasing atmospheric carbon dioxide concentration. It is argued that the first step in the delta O-18 record reflects a shift in meridional overturning circulation from a Southern Ocean to a bipolar source of deep-water formation, which is associated with a cooling of the deep sea. The second step in the delta O-18 profile occurs due to a rapid glaciation of the Antarctic continent. This new mechanism is a robust outcome of our model and is qualitatively in close agreement with proxy data.</t>
  </si>
  <si>
    <t>[Tigchelaar, M.; von der Heydt, A. S.; Dijkstra, H. A.] Univ Utrecht, Inst Marine &amp; Atmospher Res Utrecht, Utrecht, Netherlands</t>
  </si>
  <si>
    <t>Utrecht University</t>
  </si>
  <si>
    <t>Tigchelaar, M (corresponding author), Univ Hawaii Manoa, Sch Ocean &amp; Earth Sci &amp; Technol, Honolulu, HI 96822 USA.</t>
  </si>
  <si>
    <t>mtigch@hawaii.edu</t>
  </si>
  <si>
    <t>von der Heydt, Anna/B-9250-2008; Dijkstra, Henk A./H-2559-2016</t>
  </si>
  <si>
    <t>von der Heydt, Anna/0000-0002-5557-3282; Tigchelaar, Michelle/0000-0001-7964-229X</t>
  </si>
  <si>
    <t>10.5194/cp-7-235-2011</t>
  </si>
  <si>
    <t>WOS:000288992700018</t>
  </si>
  <si>
    <t>de Poll, WHV; Lagunas, M; de Vries, T; Visser, RJW; Buma, AGJ</t>
  </si>
  <si>
    <t>de Poll, Willem H. van; Lagunas, Marcos; de Vries, Tea; Visser, Ronald J. W.; Buma, Anita G. J.</t>
  </si>
  <si>
    <t>Non-photochemical quenching of chlorophyll fluorescence and xanthophyll cycle responses after excess PAR and UVR in Chaetoceros brevis, Phaeocystis antarctica and coastal Antarctic phytoplankton</t>
  </si>
  <si>
    <t>Antarctic phytoplankton; Chlorophyll fluorescence; Non-photochemical quenching; Photoacclimation; Ultraviolet radiation; Xanthophyll cycle</t>
  </si>
  <si>
    <t>SOUTHERN-OCEAN; ULTRAVIOLET-RADIATION; B RADIATION; DIADINOXANTHIN CYCLE; POTTER COVE; LIGHT; PHOTOSYNTHESIS; PHOTOPROTECTION; DIATOM; BACILLARIOPHYCEAE</t>
  </si>
  <si>
    <t>Sensitivity to photoinhibition from near-surface irradiance was determined in coastal phytoplankton from Potter Cove (King George Island, Antarctica) in relation to hydrographic conditions shaped by summertime meltwater influx. Slow (indicative for PSII damage) and fast (indicative for xanthophyll cycle activity) relaxing non-photochemical chlorophyll fluorescence quenching (NPQ) was measured during recovery from excess photosynthetically active radiation (PAR) and PAR + ultraviolet radiation (UVR) for 3 stations differentially affected by sediment influx. Additionally, assemblages were incubated outside to study xanthophyll cycle activity during PAR and PAR+UVR exposure. For comparison, NPQ and xanthophyll cycle activity were determined for high (125 mu mol photons m(-2) s(-1)) and low (20 mu mol photons m(-2) s(-1)) light acclimated Chaetoceros brevis (Bacillariophyceae) and Phaeocystis antarctica (Haptophyceae) cultures. Pigment analysis (CHEMTAX) revealed diatom dominance (average 74%) at all locations, with haptophytes being of minor importance (average 13%). All stations were stratified by a vertical density gradient, whereas sediment influx was significantly higher at the innermost station. Taxonomic composition, NPQ characteristics, and photoprotective pigment ratios were not different among stations. At the chlorophyll maximum, phytoplankton showed high light acclimation at all locations, and fast relaxing NPQ dominated after excess PAR and PAR+UVR. Samples from below the chlorophyll maximum were enriched in haptophytes, showed lower photoprotective pigment ratios, reduced capacity for NPQ, and increased contribution of slow relaxing NPQ. The photoprotective capacity of high and low light acclimated C. brevis and P. antarctica differed significantly. P. antarctica induced less NPQ and there was a stronger slow relaxing NPQ component than in the diatom, particularly after low light acclimation. Although total NPQ decreased and slow relaxing NPQ increased after UVR in field samples, NPQ and the xanthophyll cycle de-epoxidation state of cultures were not affected by UVR. A higher photoprotective capacity of diatoms over haptophytes may explain their dominance in stratified meltwater-affected coastal Antarctic waters.</t>
  </si>
  <si>
    <t>[de Poll, Willem H. van; de Vries, Tea; Visser, Ronald J. W.; Buma, Anita G. J.] Univ Groningen, Dept Ocean Ecosyst, Energy &amp; Sustainabil Res Inst, NL-9750 AA Haren, Netherlands; [de Poll, Willem H. van] Royal Netherlands Inst Sea Res, NL-1790 AB Den Burg, Texel, Netherlands; [Lagunas, Marcos] Estac Fotobiol Playa Union, RA-9103 Chubut, Argentina; [Lagunas, Marcos] Univ Victoria, Dept Biol, Victoria, BC V8W 3N5, Canada</t>
  </si>
  <si>
    <t>University of Groningen; Utrecht University; Royal Netherlands Institute for Sea Research (NIOZ); University of Victoria</t>
  </si>
  <si>
    <t>de Poll, WHV (corresponding author), Univ Groningen, Dept Ocean Ecosyst, Energy &amp; Sustainabil Res Inst, POB 14, NL-9750 AA Haren, Netherlands.</t>
  </si>
  <si>
    <t>w.h.van.de.poll@rug.nl</t>
  </si>
  <si>
    <t>Buma, Anita GJ/E-8372-2015</t>
  </si>
  <si>
    <t>van de Poll, Willem/0000-0003-4095-4338</t>
  </si>
  <si>
    <t>Netherlands Organization for Scientific Research (NWO) [851.20.032]</t>
  </si>
  <si>
    <t>Netherlands Organization for Scientific Research (NWO)(Netherlands Organization for Scientific Research (NWO))</t>
  </si>
  <si>
    <t>We thank the diving team and staff from the Dallmann Laboratory and the Argentinean Jubany station for their help. In addition, we thank S. Crayford for POC analysis, and G. Kulk for assistance with NPQ measurements. This work was funded by the Netherlands Organization for Scientific Research (NWO grant 851.20.032).</t>
  </si>
  <si>
    <t>10.3354/meps09000</t>
  </si>
  <si>
    <t>742ZO</t>
  </si>
  <si>
    <t>WOS:000288984400009</t>
  </si>
  <si>
    <t>Bamber, RN</t>
  </si>
  <si>
    <t>Bamber, Roger N.</t>
  </si>
  <si>
    <t>The sea-spiders (Arthropoda: Pycnogonida) of Admiralty Bay, King George Island</t>
  </si>
  <si>
    <t>POLISH POLAR RESEARCH</t>
  </si>
  <si>
    <t>Antarctic; King George Island; benthos; Pycnogonida</t>
  </si>
  <si>
    <t>Between 1979 and 2007, various sampling projects from the Polish Arctowski Research Station in Admiralty Bay, King George Island, Antarctica, collected a diverse assemblage of pycnogonids, inter alia. Examination of this material has revealed 24 species in 11 genera and six families: all of this material is described. Samples were from poorly-sorted fine-sand to coarse-silt substrata, at depths between 27 and 405 m. The diverse assemblage was of species consistent with the known pycnogonid fauna of these depths in the South Shetlands and the Palmer Archipelago region, and includes a number of species recorded for only the second time since the types. As typical for Antarctic waters, the predominant and most diverse genus was Nymphon (nine species); the prevalent species was Nymphon eltaninae, not Nymphon australe: implications for the apparent wide-distribution of records of the latter species are discussed. These records increase the biogeographical range of Nymphon subtile and Nymphon punctum from Subantarctic waters to the Scotia Sea.</t>
  </si>
  <si>
    <t>ARTOO Marine Biol Consultants, Ocean Quay Marina, Southampton SO14 5QY, Hants, England; [Bamber, Roger N.] Univ Lodzki, Zaklad Biol Polarnej &amp; Oceanobiol, PL-90237 Lodz, Poland</t>
  </si>
  <si>
    <t>University of Lodz</t>
  </si>
  <si>
    <t>Bamber, RN (corresponding author), ARTOO Marine Biol Consultants, Ocean Quay Marina, Belvidere Rd, Southampton SO14 5QY, Hants, England.</t>
  </si>
  <si>
    <t>roger.bamber@artoo.co.uk</t>
  </si>
  <si>
    <t>Polish Ministry of Science and Higher Education [51/N-IPY/2007/0]</t>
  </si>
  <si>
    <t>Polish Ministry of Science and Higher Education(Ministry of Science and Higher Education, Poland)</t>
  </si>
  <si>
    <t>I am grateful to Professor Jacek Sicinski, Dr Magdalena Blazewicz-Paszkowycz and the University of Lodz, Poland, for hospitality, access to their collections and sample-site data, to Professor Krzysztof Jazdzewski for valuable literature, and to Dr Tomas Munilla for valuable suggestions which have improved this paper. This work was supported by a research grant 51/N-IPY/2007/0 from the Polish Ministry of Science and Higher Education: Polish national IPY project: Structure, evolution and dynamics of litosphere, kriosphere and biosphere in European sector of Arctic and in the Antarctic (Subtopic - Evolution, structure and dynamics of biodiversity in two polar regions - a comparative study).</t>
  </si>
  <si>
    <t>POLSKA AKAD NAUK, POLISH ACAD SCIENCES</t>
  </si>
  <si>
    <t>WARSZAWA</t>
  </si>
  <si>
    <t>PL DEFILAD 1, WARSZAWA, 00-901, POLAND</t>
  </si>
  <si>
    <t>0138-0338</t>
  </si>
  <si>
    <t>2081-8262</t>
  </si>
  <si>
    <t>POL POLAR RES</t>
  </si>
  <si>
    <t>Pol. Polar. Res.</t>
  </si>
  <si>
    <t>10.2478/v10183-011-0001-0</t>
  </si>
  <si>
    <t>Ecology; Geosciences, Multidisciplinary</t>
  </si>
  <si>
    <t>Environmental Sciences &amp; Ecology; Geology</t>
  </si>
  <si>
    <t>742AB</t>
  </si>
  <si>
    <t>WOS:000288909300003</t>
  </si>
  <si>
    <t>Ociepa, AM; Barbacka, M</t>
  </si>
  <si>
    <t>Ociepa, Anna Maria; Barbacka, Maria</t>
  </si>
  <si>
    <t>Spesia antarctica gen. et sp. nov. - a new fertile fern spike from the Jurassic of Antarctica</t>
  </si>
  <si>
    <t>Antarctic Peninsula; Mount Flora Formation; Jurassic; palaeobotany; plant reproductive organ</t>
  </si>
  <si>
    <t>BAY</t>
  </si>
  <si>
    <t>The well-known Jurassic macrofloras from Hope Bay at the northernmost tip of the Antarctic Peninsula continue to yield new taxa. This paper reports on a new type of plant reproductive organ. The affinity of this organ remains unclear; it may be affiliated with the Schizaceae or Osmundaceae, but similarities to pollen organs of the Podocarpaceae are also discussed. Because the fossils differ from hitherto known Mesozoic fertile fronds and conifer pollen organs in some details, the new taxon, Spesia antarctica nov. gen. et sp. is proposed.</t>
  </si>
  <si>
    <t>[Ociepa, Anna Maria; Barbacka, Maria] Inst Bot W Szafera PAN, PL-31512 Krakow, Poland; [Barbacka, Maria] Hungarian Nat Hist Museum, Dept Bot, H-1476 Budapest, Hungary</t>
  </si>
  <si>
    <t>Polish Academy of Sciences</t>
  </si>
  <si>
    <t>Ociepa, AM (corresponding author), Inst Bot W Szafera PAN, Ul Lubicz 46, PL-31512 Krakow, Poland.</t>
  </si>
  <si>
    <t>amociepa@interia.pl; barbacka@bot.nhmus.hu</t>
  </si>
  <si>
    <t>Ociepa, Anna Maria/0009-0004-6600-6955; Barbacka, Maria/0000-0002-1685-7741</t>
  </si>
  <si>
    <t>POLISH ACAD SCIENCES COMMITTEE POLAR RESEARCH</t>
  </si>
  <si>
    <t>WARSAW</t>
  </si>
  <si>
    <t>KSIECIA JANUSZA 64, 01-452 WARSAW, POLAND</t>
  </si>
  <si>
    <t>10.2478/v10183-011-0007-7</t>
  </si>
  <si>
    <t>WOS:000288909300005</t>
  </si>
  <si>
    <t>Nakayama, CR; Kuhn, E; Araújo, ACV; Alvalá, PC; Ferreira, WJ; Vazoller, RF; Pellizari, VH</t>
  </si>
  <si>
    <t>Nakayama, C. R.; Kuhn, E.; Araujo, A. C. V.; Alvala, P. C.; Ferreira, W. J.; Vazoller, R. F.; Pellizari, V. H.</t>
  </si>
  <si>
    <t>Revealing archaeal diversity patterns and methane fluxes in Admiralty Bay, King George Island, and their association to Brazilian Antarctic Station activities</t>
  </si>
  <si>
    <t>Symposium on Census of Antarctic Marine Life - Diversity and Change in Southern Ocean Ecosystems</t>
  </si>
  <si>
    <t>MAY, 2009</t>
  </si>
  <si>
    <t>Genoa, ITALY</t>
  </si>
  <si>
    <t>Archaea; Methane; Methanogenesis; Molecular diversity; 16SrDNA; DGGE; Sediment; Wastewater; Admiralty Bay; Antarctica; Brazilian Antarctic Station</t>
  </si>
  <si>
    <t>POLYMERASE-CHAIN-REACTION; AMAZON RIVER FLOODPLAIN; NITROUS-OXIDE; BIOGEOCHEMICAL PROCESSES; SUBSEAFLOOR SEDIMENTS; COMMUNITY COMPOSITION; ECOLOGICAL DIVERSITY; MARINE-SEDIMENTS; EMISSIONS; SEA</t>
  </si>
  <si>
    <t>The study of Antarctic archaeal communities adds information on the biogeography of this group and helps understanding the dynamics of biogenic methane production in such extreme habitats. Molecular methods were combined to methane flux determinations in Martel Inlet, Admiralty Bay, to assess archaeal diversity, to obtain information about contribution of the area to atmospheric methane budget and to detect possible interferences of the Antarctic Brazilian Station Comandante Ferraz (EACF) wastewater discharge on local archaeal communities and methane emissions. Methane fluxes in Martel Inlet ranged from 3.2 to 117.9 mu mol CH4 m(-2) d(-1), with an average of 51.3 +/- 8.5 mu mol CH4 m(-2) d(-1) and a median of 57.6 mu mol CH4 m(-2)d(-1). However, three negative fluxes averaging -11.3 mu mol CH4 m(-2) d(-1) were detected in MacKellar Inlet, indicating that Admiralty Bay can be either a source or sink of atmospheric methane. Denaturing gradient gel electrophoresis (DGGE) showed that archaeal communities at EACF varied with depth and formed a group separated from the reference sites. Granulometric analysis indicated that differences observed may be mostly related to sediment type. However, an influence of wastewater input could not be discarded, since higher methane fluxes were found at CF site. suggesting stimulation of local methanogenesis. DGGE profile of the wastewater sample grouped separated from all other samples, suggesting that methanogenesis stimulation may be due to changes in environmental conditions rather than to the input of allochtonous species from the wastewater. 16S ribosomal DNA clone libraries analysis showed that all wastewater sequences were related to known methanogenic groups belonging to the hydrogenotrophic genera Methanobacterium and Methanobrevibacter and the aceticlastic genus Methanosaeta. EACF and Botany Point sediment clone libraries retrieved only groups of uncultivated Archaea, with predominance of Crenarchaeota representatives (MCG, MG1, MBG-B, MBG-C and MHVG groups). Euryarchaeota sequences found were mostly related to the LDS and RC-V groups, but MBG-D and DHVE-5 were also present. No representatives of cultivated methanogenic groups were found, but coverage estimates suggest that a higher number of clones would have to be analyzed in order to cover the greater archaeal diversity of Martel Inlet sediment. Nevertheless, the analysis of the libraries revealed groups not commonly found by other authors in Antarctic habitats and also indicated the presence of groups of uncultivated archaea previously associated to methane rich environments or to the methane cycle. (C) 2010 Elsevier Ltd. All rights reserved.</t>
  </si>
  <si>
    <t>[Nakayama, C. R.; Kuhn, E.; Araujo, A. C. V.; Vazoller, R. F.; Pellizari, V. H.] Univ Sao Paulo, Insituto Oceanog, Lab Ecol Microorganismos, BR-05508120 Sao Paulo, Brazil; [Alvala, P. C.; Ferreira, W. J.] Inst Nacl Pesquisas Espaciais, Div Geofis Espacial, BR-12227010 Sao Jose Dos Campos, Brazil</t>
  </si>
  <si>
    <t>Universidade de Sao Paulo; Instituto Nacional de Pesquisas Espaciais (INPE)</t>
  </si>
  <si>
    <t>Nakayama, CR (corresponding author), Univ Sao Paulo, Inst Oceanog, Lab Ecol Microorganismos, Praca Oceanog 191, BR-05508900 Sao Paulo, Brazil.</t>
  </si>
  <si>
    <t>crnakayama@gmail.com</t>
  </si>
  <si>
    <t>Alvalá, Plinio/C-2685-2012; Nakayama, Cristina R/R-4318-2017; Araujo, Ana/N-8804-2015; Pellizari, Vivian/J-9153-2012</t>
  </si>
  <si>
    <t>Nakayama, Cristina R/0000-0001-9428-585X; Araujo, Ana/0000-0003-1689-7265; Pellizari, Vivian/0000-0003-2757-6352</t>
  </si>
  <si>
    <t>10.1016/j.dsr2.2010.10.013</t>
  </si>
  <si>
    <t>736DN</t>
  </si>
  <si>
    <t>WOS:000288470800013</t>
  </si>
  <si>
    <t>O'Driscoll, RL; Macaulay, GJ; Gauthier, S; Pinkerton, M; Hanchet, S</t>
  </si>
  <si>
    <t>O'Driscoll, Richard L.; Macaulay, Gavin J.; Gauthier, Stephane; Pinkerton, Matt; Hanchet, Stuart</t>
  </si>
  <si>
    <t>Distribution, abundance and acoustic properties of Antarctic silverfish (Pleuragramma antarcticum) in the Ross Sea</t>
  </si>
  <si>
    <t>Echo surveys; Target strength; Geographical distribution; Forage fish; Abundance; Ross Sea; Antarctica</t>
  </si>
  <si>
    <t>TERRA-NOVA BAY; NOTOTHENIOID FISH; VERTICAL-DISTRIBUTION; FOOD-WEB; WATERS; SOUND; KRILL; POSTLARVAL; ABSORPTION; FREQUENCY</t>
  </si>
  <si>
    <t>Antarctic silverfish (Pleuragramma antarcticum) is a key link between plankton and the community of top predators in the shelf waters of the Ross Sea. In spite of their abundance and important role in Antarctic food chains, very little is known of many ecological and biological aspects of this species. A combined trawl and acoustic survey of silverfish was carried out on the western Ross Sea shelf during the New Zealand International Polar Year Census of Antarctic Marine Life research voyage on R.V. Tangaroa in February-March 2008. Multi-frequency acoustic data (12, 38, 70, and 120 kHz) allowed discrimination of silverfish marks from those of krill and other associated species. Mark identification was achieved using targeted midwater trawls. Additional midwater and demersal trawls were carried out at randomly selected locations over the shelf as part of the core biodiversity survey. Silverfish were widely distributed over the Ross Sea shelf. Adult silverfish tended to form layers at 100-400 m depth and were sometimes present close to the bottom, where they were frequently caught in demersal trawls shallower than 500 m. A weak layer at about 80 m depth was associated with juvenile silverfish of 50-80 mm standard length. Acoustic backscatter strength from both silverfish and krill marks increased with increasing frequency (i.e., was highest at 120 kHz), which is characteristic of species without an air-filled swimbladder. Acoustic target strengths (TS) for silverfish at 12, 18, 38, 70, and 120 kHz were estimated from anatomically detailed scattering models based on computed tomography (CT) scans of frozen specimens. The relationship between TS and fish length at 38 kHz was sensitive to estimates of density and sound speed contrast within the fish, especially for small specimens (less than 110 mm SL). Our best estimate of the acoustic biomass of silverfish in the study area was 592 000 t (95% confidence interval 326 000-866 000 t). However, the biomass of juvenile silverfish was highly uncertain due to large differences between TS model results. (C) 2010 Elsevier Ltd. All rights reserved.</t>
  </si>
  <si>
    <t>[O'Driscoll, Richard L.; Macaulay, Gavin J.; Gauthier, Stephane; Pinkerton, Matt] Natl Inst Water &amp; Atmospher Res Ltd, Wellington, New Zealand; [Hanchet, Stuart] Natl Inst Water &amp; Atmospher Res Ltd, Nelson, New Zealand</t>
  </si>
  <si>
    <t>National Institute of Water &amp; Atmospheric Research (NIWA) - New Zealand; National Institute of Water &amp; Atmospheric Research (NIWA) - New Zealand</t>
  </si>
  <si>
    <t>O'Driscoll, RL (corresponding author), Natl Inst Water &amp; Atmospher Res Ltd, Private Bag 14-901 Kilbirnie, Wellington, New Zealand.</t>
  </si>
  <si>
    <t>r.odriscoll@niwa.co.nz; gavin.macaulay@imr.no; s.gauthier@niwa.co.nz; m.pinkerton@niwa.co.nz; s.hanchet@niwa.co.nz</t>
  </si>
  <si>
    <t>Gauthier, Stephane/0009-0000-3514-765X; Macaulay, Gavin/0000-0003-2518-6537</t>
  </si>
  <si>
    <t>10.1016/j.dsr2.2010.05.018</t>
  </si>
  <si>
    <t>WOS:000288470800018</t>
  </si>
  <si>
    <t>González-Wevar, CA; David, B; Poulin, E</t>
  </si>
  <si>
    <t>Gonzalez-Wevar, Claudio A.; David, Bruno; Poulin, Elie</t>
  </si>
  <si>
    <t>Phylogeography and demographic inference in Nacella (Patinigera) concinna (Strebel, 1908) in the western Antarctic Peninsula</t>
  </si>
  <si>
    <t>Southern Ocean; Antarctica; Nacella concinna; COI; Genetic structure; Median-joining network; Elliptic Fourier analysis; Bottleneck effect; Founder effect</t>
  </si>
  <si>
    <t>INTEGRATED SOFTWARE; POPULATION-GROWTH; OCEAN BARRIERS; SOUTH-AMERICA; BENTHIC FAUNA; SIGNY ISLAND; LIMPET; DNA; EVOLUTIONARY; SHAPE</t>
  </si>
  <si>
    <t>Endemic to Antarctic ecosystems, the limpet Nacella (Patinigera) concinna (Strebel, 1908) is an abundant and dominant marine benthic invertebrate of the intertidal and shallow subtidal zone. In order to examine the phylogeographic pattern and historical demography of the species along the western Antarctic Peninsula, we amplified 663 bp of the mitochondrial DNA cytochrome oxidase subunit I of 161 N. concinna specimens from five localities, as well as two specimens from South Georgia and Sub-Antarctic Marion Island. As two different morphotypes, one characterized by an elevated shell in the intertidal and the other by a flat one in the subtidal, have been recurrently reported for this species, we also compared intertidal and subtidal samples from two localities of King George Island (Admiralty and Fildes Bay) through geometric morphometric and genetic analyses. As a result, elliptic Fourier analyses on shell shape morphology detected highly significant differences between intertidal and subtidal morphotypes. In contrast, mtDNA analyses between these morphotypes did not detect statistical differences between them and support the hypothesis that subtidal and intertidal N. concinna forms correspond to be the same population unit. Genetic analyses depicted low levels of haplotypic and nucleotide diversity in N. concinna in all localities. Among populations, comparisons did not detect any genetic structure, supporting the existence of a single genetic unit along the western Antarctic Peninsula. A marked L-shaped distribution of pairwise differences and significant negative Tajima's D and Fu's Fs indices suggest the existence of a recent demographic expansion of this species. Time estimations corrected by the time dependency of molecular rate hypothesis for this demographic event (7,500-22,000 years ago) fit well with the last glacial-interglacial transition period. Low levels of genetic diversity in N. concinna could reflect the dramatic effect of glacial periods on population sizes, especially in Antarctic species with narrow bathymetric ranges. Genetic similarities between South Georgia and Antarctic samples, as well as between Nacella delesserti (Philippi, 1849) and N. concinna (Strebel, 1908) fell within the range of intraspecific variation. The genetic proximity between sub-Antarctic N. delesserti and the Antarctic limpet could be explained through north-eastward long-distance dispersion events during the late Pleistocene. (C) 2010 Elsevier Ltd. All rights reserved.</t>
  </si>
  <si>
    <t>[David, Bruno] Univ Bourgogne, CNRS, Ctr Sci Terre, Lab Biogeosci, Dijon, France; [Gonzalez-Wevar, Claudio A.; Poulin, Elie] Univ Chile, Fac Ciencias, Dept Ciencias Ecol, Inst Ecol &amp; Biodiversidad IEB, Santiago, Chile</t>
  </si>
  <si>
    <t>Centre National de la Recherche Scientifique (CNRS); Universite de Bourgogne; Universidad de Chile</t>
  </si>
  <si>
    <t>González-Wevar, CA (corresponding author), Univ Chile, Fac Ciencias, Dept Ciencias Ecol, Inst Ecol &amp; Biodiversidad IEB, Santiago, Chile.</t>
  </si>
  <si>
    <t>cagonzalez@uach.cl</t>
  </si>
  <si>
    <t>González-Wevar, Claudio Alejandro/AAD-6513-2021; DAVID, Bruno/N-8798-2013; Poulin, Elie/C-2654-2012</t>
  </si>
  <si>
    <t>Poulin, Elie/0000-0001-7736-0969</t>
  </si>
  <si>
    <t>10.1016/j.dsr2.2010.05.026</t>
  </si>
  <si>
    <t>WOS:000288470800022</t>
  </si>
  <si>
    <t>Güller, M; Zelaya, DG</t>
  </si>
  <si>
    <t>Gueller, Marina; Zelaya, Diego G.</t>
  </si>
  <si>
    <t>ON THE GENERIC ALLOCATION OF ALIGENA PISUM DALL, 1908</t>
  </si>
  <si>
    <t>MALACOLOGIA</t>
  </si>
  <si>
    <t>ADONTORHINA-CYCLIA BERRY; BIVALVIA THYASIRIDAE; ANTARCTIC WATERS; PACIFIC</t>
  </si>
  <si>
    <t>[Gueller, Marina; Zelaya, Diego G.] Univ Buenos Aires, Fac Ciencias Exactas &amp; Nat, Dept Biodiversidad &amp; Biol Expt, Buenos Aires, DF, Argentina; [Zelaya, Diego G.] Museo La Plata, Div Zool Invertebrados, RA-1900 La Plata, Buenos Aires, Argentina</t>
  </si>
  <si>
    <t>University of Buenos Aires; National University of La Plata; Museo La Plata</t>
  </si>
  <si>
    <t>Güller, M (corresponding author), Univ Buenos Aires, Fac Ciencias Exactas &amp; Nat, Dept Biodiversidad &amp; Biol Expt, Ciudad Univ,Pabellon 2,4 Piso,C1428EHA, Buenos Aires, DF, Argentina.</t>
  </si>
  <si>
    <t>mguller@bg.fcen.uba.ar</t>
  </si>
  <si>
    <t>PICT [282-2006]; Universidad de Buenos Aires</t>
  </si>
  <si>
    <t>PICT(ANPCyT); Universidad de Buenos Aires(University of Buenos Aires)</t>
  </si>
  <si>
    <t>This study was partially funded by PICT 282-2006. M. Guller is a fellowship student at Universidad de Buenos Aires, and D. Zelaya is member of the Consejo Nacional de Investigacion Cientifica y Tecnica (CONICET).</t>
  </si>
  <si>
    <t>INST MALACOL</t>
  </si>
  <si>
    <t>ANN ARBOR</t>
  </si>
  <si>
    <t>2415 SOUTH CIRCLE DR, ANN ARBOR, MI 48103 USA</t>
  </si>
  <si>
    <t>0076-2997</t>
  </si>
  <si>
    <t>2168-9075</t>
  </si>
  <si>
    <t>Malacologia</t>
  </si>
  <si>
    <t>736BZ</t>
  </si>
  <si>
    <t>WOS:000288465900008</t>
  </si>
  <si>
    <t>Negrete, J; Soibelzon, E; Tonni, EP; Carlini, A; Soibelzon, LH; Poljak, S; Huarte, RA; Carbonari, JE</t>
  </si>
  <si>
    <t>Negrete, Javier; Soibelzon, Esteban; Tonni, Eduardo P.; Carlini, Alejandro; Soibelzon, Leopoldo H.; Poljak, Sebastian; Huarte, Roberto A.; Carbonari, Jorge E.</t>
  </si>
  <si>
    <t>ANTARCTIC RADIOCARBON RESERVOIR: THE CASE OF THE MUMMIFIED CRABEATER SEALS (LOBODON CARCINOPHAGA) IN BODMAN CAPE, SEYMOUR ISLAND, ANTARCTICA</t>
  </si>
  <si>
    <t>RADIOCARBON</t>
  </si>
  <si>
    <t>DELTA-R VALUES; AGE; CALIBRATION</t>
  </si>
  <si>
    <t>At least 50% of the world's seal population is distributed in the pack-ice region surrounding Antarctica. Among the Antarctic seals, Lobodon carcinophaga (commonly known as crabeater seals) are the most abundant. This is a krill-feeding species, subsisting primarily on Euphausia superba. The occurrence of mummified seals has been documented since 1900 in several Antarctic regions, and different hypotheses about age and what happened to them have been proposed. Taking into account the depletion of C-14 concentration in marine waters, we dated a recently deceased and a mummified L. carcinophaga along with a mollusk (Nacella concinna) collected alive from different locations around Antarctica. We discuss their relationship in light of the C-14 reservoir. The age obtained for the recently deceased crabeater seals suggests a reservoir age of around 1300 yr for these waters, which is in agreement with the correction value for reservoir age obtained for the same species in the area. We applied this reservoir correction value to the conventional age of 1180 C-14 yr BP obtained for the mummified seal. The results indicate that the death event probably occurred within the last 100 yr. The age obtained for the mollusk specimen confirms that the correction values of the reservoir effect for the Antarctic continent vary according to geographical location and to the type of sample dated.</t>
  </si>
  <si>
    <t>[Soibelzon, Esteban; Tonni, Eduardo P.; Soibelzon, Leopoldo H.] UNLP, Fac Cs Nat &amp; Museo, Museo La Plata, Div Paleontol Vertebrados, RA-1900 La Plata, Argentina; [Negrete, Javier; Carlini, Alejandro] Inst Antartico Argentino, Dep Biol, Buenos Aires, DF, Argentina; [Poljak, Sebastian; Carbonari, Jorge E.] Ctr Reg Estudios Genom UNLP, RA-1888 Buenos Aires, DF, Argentina; [Huarte, Roberto A.] Museo La Plata, Lab Tritio &amp; Carbono 14, RA-1900 La Plata, Buenos Aires, Argentina</t>
  </si>
  <si>
    <t>National University of La Plata; Museo La Plata; Instituto Antartico Argentino; National University of La Plata; National University of La Plata; Museo La Plata</t>
  </si>
  <si>
    <t>Soibelzon, E (corresponding author), UNLP, Fac Cs Nat &amp; Museo, Museo La Plata, Div Paleontol Vertebrados, Paseo Bosque S-N, RA-1900 La Plata, Argentina.</t>
  </si>
  <si>
    <t>esoibelzon@fcnym.unlp.edu.ar</t>
  </si>
  <si>
    <t>Negrete, Javier/0000-0001-6853-8307</t>
  </si>
  <si>
    <t>Instituto Antartico Argentino (IAA); Direccion Nacional del Antartico (DNA, Argentina); Agencia de Promocion Cientifica y Tecnologica (ANPCyT); Consejo Nacional de Investigaciones Cientificas y Tecnicas (CONICET); LATYR; CIG-Centro de Investigaciones Geologicas; Facultad de Ciencias Naturales (UNLP)</t>
  </si>
  <si>
    <t>Instituto Antartico Argentino (IAA); Direccion Nacional del Antartico (DNA, Argentina); Agencia de Promocion Cientifica y Tecnologica (ANPCyT)(ANPCyT); Consejo Nacional de Investigaciones Cientificas y Tecnicas (CONICET)(Consejo Nacional de Investigaciones Cientificas y Tecnicas (CONICET)); LATYR; CIG-Centro de Investigaciones Geologicas; Facultad de Ciencias Naturales (UNLP)(National University of La Plata)</t>
  </si>
  <si>
    <t>We acknowledge the support of P Campana, M Ciancio, and J Menucci for their assistance during Antarctic expeditions. We are grateful to D G Gregoric and Diego Zelaya (MLP) for the systematic determination of Mollusca species, to A A Di Bastiano and A Perla for sample treatment for 14C dating, and to W Dort for bibliographic assistance. We thank 2 anonymous reviewers for their comments, which improved the final version of the manuscript. This work was supported by Instituto Antartico Argentino (IAA), Direccion Nacional del Antartico (DNA, Argentina), Agencia de Promocion Cientifica y Tecnologica (ANPCyT), and Consejo Nacional de Investigaciones Cientificas y Tecnicas (CONICET), and sponsored by LATYR; CIG-Centro de Investigaciones Geologicas; and Facultad de Ciencias Naturales (UNLP).</t>
  </si>
  <si>
    <t>UNIV ARIZONA DEPT GEOSCIENCES</t>
  </si>
  <si>
    <t>TUCSON</t>
  </si>
  <si>
    <t>RADIOCARBON 4717 E FORT LOWELL RD, TUCSON, AZ 85712 USA</t>
  </si>
  <si>
    <t>0033-8222</t>
  </si>
  <si>
    <t>1945-5755</t>
  </si>
  <si>
    <t>Radiocarbon</t>
  </si>
  <si>
    <t>10.1017/S0033822200034433</t>
  </si>
  <si>
    <t>739VC</t>
  </si>
  <si>
    <t>WOS:000288745800013</t>
  </si>
  <si>
    <t>Andreev, OM; Ivanov, BV; Bezgreshnov, AM</t>
  </si>
  <si>
    <t>Andreev, O. M.; Ivanov, B. V.; Bezgreshnov, A. M.</t>
  </si>
  <si>
    <t>Solar Radiation Redistribution Peculiarities in Ice Hummocks of the Arctic Basin</t>
  </si>
  <si>
    <t>The problem of the solar radiation heat assimilation in the stratum of the ice hummock sail is considered within the frameworks of the problem of quantitative description of hummocky formation evolution. The technique of experimental investigations and the measuring means are described. The results are given of observations on the solar radiation weakening in the stratum of ice hummocks and level ice carried out at the North Pole-35 drifting station and during the Arctic-2008 expedition on board the scientific-research vessel Akademik Fedorov. It is demonstrated that the ice hummock sail stratum assimilates 20-50% of solar radiation more than the level sea ice. The possible explanation of this phenomenon is proposed based on morphometric peculiarities of ice hummock formation.</t>
  </si>
  <si>
    <t>[Andreev, O. M.; Ivanov, B. V.; Bezgreshnov, A. M.] Arctic &amp; Antarctic Res Inst, St Petersburg 199397, Russia</t>
  </si>
  <si>
    <t>Andreev, OM (corresponding author), Arctic &amp; Antarctic Res Inst, Ul Beringa 38, St Petersburg 199397, Russia.</t>
  </si>
  <si>
    <t>Bezgreshnov, Andrei M/P-6524-2018; Andreev, Oleg M./ABE-6472-2022</t>
  </si>
  <si>
    <t>Andreev, Oleg M./0009-0007-8558-7945</t>
  </si>
  <si>
    <t>Russian Foundation for Basic Research [08-05-00279]; High Latitudes of the Arctic Ocean on Board Akademik Fedorov, Arctic CREC [731]</t>
  </si>
  <si>
    <t>Russian Foundation for Basic Research(Russian Foundation for Basic Research (RFBR)Spanish Government); High Latitudes of the Arctic Ocean on Board Akademik Fedorov, Arctic CREC</t>
  </si>
  <si>
    <t>The work was carried out within the frameworks of the planned subject area of the Research and Development Activities of the Roshydromet (sections 5.2.1 and 5.3.2 of the Task Scientific and Technical Program) and was supported by the grant of the Russian Foundation for Basic Research (08-05-00279) and by the project of International Polar Year Complex Researches of the Central Part of the Arctic Ocean (Complex Researches of the Environment Condition at the High Latitudes of the Arctic Ocean on Board Akademik Fedorov, Arctic CREC, ID: 731).</t>
  </si>
  <si>
    <t>10.3103/S1068373911010067</t>
  </si>
  <si>
    <t>739IF</t>
  </si>
  <si>
    <t>WOS:000288708400006</t>
  </si>
  <si>
    <t>Klyachkin, SV</t>
  </si>
  <si>
    <t>Klyachkin, S. V.</t>
  </si>
  <si>
    <t>Modeling of Fast Ice Evolution in the Arctic Seas</t>
  </si>
  <si>
    <t>A one-dimensional model of fast ice wind-induced break-up developed before was adapted for two-dimensional case that enabled to explain many regularities of this phenomenon. A numerical scheme is proposed of the integration of the acting stresses and potential resistivity by the fast ice area as well as the method for taking into account the correlation between the wind direction and prevailing coastline orientation that enables to simulate practically any combination of tensile and shearing stresses in the basins of arbitrary shape. The seasonal variability of strengthening ice properties is taken into account. All numerical tests carried out within the frameworks of this investigation demonstrated the qualitative and, partly, quantitative similarity of computation results and regularities observed in nature. The model sensitivity to the variation of some parameters is studied. The limits of model applicability are discussed and the directions of further research are proposed.</t>
  </si>
  <si>
    <t>Arctic &amp; Antarctic Res Inst, St Petersburg 199397, Russia</t>
  </si>
  <si>
    <t>Klyachkin, SV (corresponding author), Arctic &amp; Antarctic Res Inst, Ul Beringa 38, St Petersburg 199397, Russia.</t>
  </si>
  <si>
    <t>10.3103/S1068373911010092</t>
  </si>
  <si>
    <t>WOS:000288708400009</t>
  </si>
  <si>
    <t>Pitts, MC; Poole, LR; Dörnbrack, A; Thomason, LW</t>
  </si>
  <si>
    <t>Pitts, M. C.; Poole, L. R.; Doernbrack, A.; Thomason, L. W.</t>
  </si>
  <si>
    <t>The 2009-2010 Arctic polar stratospheric cloud season: a CALIPSO perspective</t>
  </si>
  <si>
    <t>NITRIC-ACID TRIHYDRATE; LIDAR OBSERVATIONS; WAVE GENERATION; MOUNTAIN WAVES; LONG-TERM; CLIMATOLOGY; MICROPHYSICS; ICE; NAT; DENITRIFICATION</t>
  </si>
  <si>
    <t>Spaceborne lidar measurements from CALIPSO (Cloud-Aerosol Lidar and Infrared Pathfinder Satellite Observations) are used to provide a vortex-wide perspective of the 2009-2010 Arctic PSC (polar stratospheric cloud) season to complement more focused measurements from the European Union RECONCILE (reconciliation of essential process parameters for an enhanced predictability of Arctic stratospheric ozone loss and its climate interactions) field campaign. The 2009-2010 Arctic winter was unusually cold at stratospheric levels from mid-December 2009 until the end of January 2010, and was one of only a few winters from the past fifty-two years with synoptic-scale regions of temperatures below the frost point. More PSCs were observed by CALIPSO during the 2009-2010 Arctic winter than in the previous three Arctic seasons combined. In particular, there were significantly more observations of high number density NAT (nitric acid trihydrate) mixtures (referred to as Mix 2-enh) and ice PSCs. We found that the 2009-2010 season could roughly be divided into four periods with distinctly different PSC optical characteristics. The early season (15-30 December 2009) was characterized by patchy, tenuous PSCs, primarily low number density liquid/NAT mixtures. No ice clouds were observed by CALIPSO during this early phase, suggesting that these early season NAT clouds were formed through a non-ice nucleation mechanism. The second phase of the season (31 December 2009-14 January 2010) was characterized by frequent mountain wave ice clouds that nucleated widespread NAT particles throughout the vortex, including Mix 2-enh. The third phase of the season (15-21 January 2010) was characterized by synoptic-scale temperatures below the frost point which led to a rare outbreak of widespread ice clouds. The fourth phase of the season (22-28 January) was characterized by a major stratospheric warming that distorted the vortex, displacing the cold pool from the vortex center. This final phase was dominated by STS (supercooled ternary solution) PSCs, although NAT particles may have been present in low number densities, but were masked by the more abundant STS droplets at colder temperatures. We also found distinct variations in the relative proportion of PSCs in each composition class with altitude over the course of the 2009-2010 Arctic season. Lower number density liquid/NAT mixtures were most frequently observed in the lower altitude regions of the clouds (below similar to 18-20 km), which is consistent with CALIPSO observations in the Antarctic. Higher number density liquid/NAT mixtures, especially Mix 2-enh, were most frequently observed at altitudes above 18-20 km, primarily downstream of wave ice clouds. This pattern is consistent with the conceptual model whereby low number density, large NAT particles are precipitated from higher number density NAT clouds (i.e. mother clouds) that are nucleated downstream of mountain wave ice clouds.</t>
  </si>
  <si>
    <t>[Pitts, M. C.; Thomason, L. W.] NASA, Langley Res Ctr, Hampton, VA 23681 USA; [Poole, L. R.] Sci Syst &amp; Applicat Inc, Hampton, VA 23666 USA; [Doernbrack, A.] DLR, Inst Phys Atmosphare, D-82230 Oberpfaffenhofen, Germany</t>
  </si>
  <si>
    <t>National Aeronautics &amp; Space Administration (NASA); NASA Langley Research Center; Science Systems and Applications Inc; Helmholtz Association; German Aerospace Centre (DLR)</t>
  </si>
  <si>
    <t>Pitts, MC (corresponding author), NASA, Langley Res Ctr, Hampton, VA 23681 USA.</t>
  </si>
  <si>
    <t>michael.c.pitts@nasa.gov</t>
  </si>
  <si>
    <t>Thomason, Larry/0000-0002-1902-0840</t>
  </si>
  <si>
    <t>EC [RECONCILE-226365-FP7-ENV-2008-1]; NASA [NNL07AA00C]</t>
  </si>
  <si>
    <t>EC(European Union (EU)European Commission Joint Research Centre); NASA(National Aeronautics &amp; Space Administration (NASA))</t>
  </si>
  <si>
    <t>The Aura MLS gas species data were provided courtesy of the MLS team and obtained through the Aura MLS website (http://mls.jpl.nasa.gov/index-eos-mls.php). The NCEP Reanalysis data were provided by the NOAA/OAR/ESRL PSD, Boulder, Colorado, USA, and obtained from their Web site at http://www.esrl.noaa.gov/psd/. The ECMWF data were available through the special project Effect of nonhydrostatic gravity waves on the stratosphere above Scandinavia by one of the authors (A.D.). The field activities in Kiruna were funded by the EC as part of the FP7 project RECONCILE (Grant number: RECONCILE-226365-FP7-ENV-2008-1). We would also like to thank Dr. Hal Maring, NASA Radiation Sciences Program manager, and Dr. David Considine, Program Scientist for the CALIPSO/CloudSat Missions for continued support of this research. Support for L. Poole is provided under NASA contract NNL07AA00C.</t>
  </si>
  <si>
    <t>10.5194/acp-11-2161-2011</t>
  </si>
  <si>
    <t>734VS</t>
  </si>
  <si>
    <t>gold, Green Submitted, Green Accepted</t>
  </si>
  <si>
    <t>WOS:000288368900020</t>
  </si>
  <si>
    <t>Wilkinson, IS; Chilvers, BL; Duignan, PJ; Pistorius, PA</t>
  </si>
  <si>
    <t>Wilkinson, I. S.; Chilvers, B. L.; Duignan, P. J.; Pistorius, P. A.</t>
  </si>
  <si>
    <t>An evaluation of hot-iron branding as a permanent marking method for adult New Zealand sea lions, Phocarctos hookeri</t>
  </si>
  <si>
    <t>SOUTHERN ELEPHANT SEALS; ANTARCTIC FUR SEALS; TAG-LOSS; MARKED ANIMALS; MIROUNGA-LEONINA; SITE FIDELITY; FLIPPER-BANDS; SURVIVAL; PUPS; POPULATION</t>
  </si>
  <si>
    <t>Context. Studies of the population and behavioural ecology of pinnipeds require the ability to identify individuals over periods ranging from a single season to an entire lifetime. Aims. The aims of this research were to examine the efficacy of hot-iron branding as a permanent marking technique including the legibility of marks over time and comparing estimates of survival for animals marked with brands versus flipper tags. Methods. Adult female New Zealand sea lions (n = 135) aged between 4 and 24 years of age were hot-iron branded with four-digit numbers during the austral summer of 2000. Key results. Ten years on, 100% of animals still alive could be identified from these brands. Over the 10-year research period, it was observed that the skin of fully healed individual brands could, on occasion, become lacerated due to injuries received from shark bites and/or bites from other sea lions, removing or temporarily reducing the legibility of single characters of some brands. However, these animals were still identifiable when all digits were considered - and scars could become an identifying mark in their own right. Key conclusions. Survival estimates derived from branded versus tagged-only individuals were similar, although the variance associated with tagged-only survival estimates was higher, giving less robust estimates. This is likely a result of higher resight probabilities observed for branded individuals. Resighting of tags requires a close approach with a high associated level of disturbance to both the marked animal and those associated with it, especially when considered over the lifetime of the animal, while brands can be read from a considerable distance with little or no disturbance. Implications. Thus, hot-iron branding can be an effective method for permanently identifying sea lions that provides robust parameter estimates, causes low disturbance in the resighting process, and does not compromise survival.</t>
  </si>
  <si>
    <t>[Wilkinson, I. S.; Chilvers, B. L.] Res &amp; Dev Grp, Dept Conservat, Wellington 6143, New Zealand; [Wilkinson, I. S.] Dept Environm Climate Change &amp; Water, Coffs Harbour, NSW 2450, Australia; [Duignan, P. J.] Massey Univ, Inst Vet Anim &amp; Biomed Sci, NewZealand Wildlife Hlth Ctr, Palmerston North 4442, New Zealand; [Duignan, P. J.] Univ Calgary, Fac Vet Med UCVM, Dept Ecosyst &amp; Publ Hlth, Calgary, AB T2N 4N1, Canada; [Pistorius, P. A.] Nelson Mandela Metropolitan Univ, Dept Zool, ZA-6031 Port Elizabeth, South Africa</t>
  </si>
  <si>
    <t>Massey University; University of Calgary; Nelson Mandela University</t>
  </si>
  <si>
    <t>Chilvers, BL (corresponding author), Res &amp; Dev Grp, Dept Conservat, POB 10420, Wellington 6143, New Zealand.</t>
  </si>
  <si>
    <t>lchilvers@doc.govt.nz</t>
  </si>
  <si>
    <t>Wilkinson, Ian S/ABG-2772-2020; Chilvers, B. Louise/AAV-1965-2021</t>
  </si>
  <si>
    <t>Chilvers, B. Louise/0000-0002-7657-4217; Pistorius, Pierre/0000-0001-6561-7069</t>
  </si>
  <si>
    <t>New Zealand Department of Conservation (DOC)</t>
  </si>
  <si>
    <t>We thank Wally Hockly, Gus McAllister and Derek Cox for assistance with branding sea lions, and all field staff in subsequent seasons for assistance with resighting sea lions. We thank Bob Delong and Sharon Melin of the National Marine Fisheries Service (NMFS), National Marine Mammal Laboratory (NMML), for advising us in the branding technique and equipment design. Corey Bradshaw, John van den Hoff, Clive McMahon, Sean Cooper and Amanda Todd are thanked for providing helpful comments on the manuscript. Approval for work was obtained from the Department of Conservation Animal Ethics Committee -Approval AEC51 (1 July 1999). Sighting data presented in this paper were collected under funding from the New Zealand Department of Conservation (DOC), in parallel with fieldwork undertaken for DOC Conservation Services Programme (www.doc.govt.nz/mcs) projects.</t>
  </si>
  <si>
    <t>1448-5494</t>
  </si>
  <si>
    <t>10.1071/WR10077</t>
  </si>
  <si>
    <t>734IC</t>
  </si>
  <si>
    <t>WOS:000288326800006</t>
  </si>
  <si>
    <t>Lee, EJ; Pitulko, VV; Nikolskiy, PA; Kasparov, A; Pavlova, EY; Merriwether, DA</t>
  </si>
  <si>
    <t>Lee, Esther J.; Pitulko, Vladimir V.; Nikolskiy, Pavel A.; Kasparov, Alexei; Pavlova, Elena Yu; Merriwether, David Andrew</t>
  </si>
  <si>
    <t>Mitochondrial DNA analysis of ancient Siberian canids</t>
  </si>
  <si>
    <t>AMERICAN JOURNAL OF PHYSICAL ANTHROPOLOGY</t>
  </si>
  <si>
    <t>80th Annual Meeting of the American-Association-of-Physical-Anthropologists</t>
  </si>
  <si>
    <t>APR 11-16, 2011</t>
  </si>
  <si>
    <t>Minneapolis, MN</t>
  </si>
  <si>
    <t>[Lee, Esther J.; Merriwether, David Andrew] SUNY Binghamton, Dept Anthropol, Binghamton, NY 13902 USA; [Lee, Esther J.] Univ Kiel, Grad Sch Human Dev Landscapes, D-24098 Kiel, Germany; [Pitulko, Vladimir V.; Kasparov, Alexei] Russian Acad Sci, Inst Hist Mat Culture, Moscow 117901, Russia; [Nikolskiy, Pavel A.] Russian Acad Sci, Inst Geol, Moscow 117901, Russia; [Pavlova, Elena Yu] Russian Acad Sci, Arctic &amp; Antarctic Res Inst, Moscow 117901, Russia</t>
  </si>
  <si>
    <t>State University of New York (SUNY) System; State University of New York (SUNY) Binghamton; University of Kiel; Russian Academy of Sciences; St. Petersburg Scientific Centre of the Russian Academy of Sciences; Institute for the History of Material Culture, Russian Academy of Sciences; Geological Institute, Russian Academy of Sciences; Russian Academy of Sciences; Arctic &amp; Antarctic Research Institute; Russian Academy of Sciences</t>
  </si>
  <si>
    <t>Nikolskiy, Pavel/JNT-4697-2023; Nikolskiy, Pavel A/C-5041-2012; Pavlova, Elena/AAA-3291-2019; Pitulko, Vladimir/N-4009-2019</t>
  </si>
  <si>
    <t>0002-9483</t>
  </si>
  <si>
    <t>AM J PHYS ANTHROPOL</t>
  </si>
  <si>
    <t>Am. J. Phys. Anthropol.</t>
  </si>
  <si>
    <t>Anthropology; Evolutionary Biology</t>
  </si>
  <si>
    <t>Science Citation Index Expanded (SCI-EXPANDED); Social Science Citation Index (SSCI); Conference Proceedings Citation Index - Science (CPCI-S)</t>
  </si>
  <si>
    <t>730LE</t>
  </si>
  <si>
    <t>WOS:000288034000487</t>
  </si>
  <si>
    <t>Gusev, GA</t>
  </si>
  <si>
    <t>Gusev, G. A.</t>
  </si>
  <si>
    <t>Possible attenuation of the radio signal from the cascade in solid medium at energies above 1020 eV</t>
  </si>
  <si>
    <t>BULLETIN OF THE LEBEDEV PHYSICS INSTITUTE</t>
  </si>
  <si>
    <t>cascade; cosmic rays; ultrahigh neutrino energies; ionization; weakly ionized plasma; ice; lunar regolith; radiation shielding by plasma; Cherenkov radiation</t>
  </si>
  <si>
    <t>It was shown that the effect of plasma production during solid medium ionization by a developing cascade can shield excess-charge radiation in the radio range used for detecting particles at energies higher than 10(20) eV. Such a shielding effect is significant in Antarctic ice and is insignificant for lunar regolith. Hence, the LORD experiment on detection of cascades from ultrahigh-energy cosmic rays and neutrinos from circumlunar spacecrafts retains the capability of measurements up to the energies of 10(23) eV.</t>
  </si>
  <si>
    <t>Russian Acad Sci, PN Lebedev Phys Inst, Moscow 119991, Russia</t>
  </si>
  <si>
    <t>Russian Academy of Sciences; Russian Academy of Science Lebedev Physical Institute</t>
  </si>
  <si>
    <t>Gusev, GA (corresponding author), Russian Acad Sci, PN Lebedev Phys Inst, Leninskii Pr 53, Moscow 119991, Russia.</t>
  </si>
  <si>
    <t>gusevgag@mail.ru</t>
  </si>
  <si>
    <t>Gusev, German/M-9596-2015</t>
  </si>
  <si>
    <t>Russian Foundation for Basic Research [08-02-00515]; Russian Academy of Sciences</t>
  </si>
  <si>
    <t>Russian Foundation for Basic Research(Russian Foundation for Basic Research (RFBR)Spanish Government); Russian Academy of Sciences(Russian Academy of Sciences)</t>
  </si>
  <si>
    <t>This study was supported by the Russian Foundation for Basic Research, project no. 08-02-00515, and the program Neutrino Physics of the Russian Academy of Sciences.</t>
  </si>
  <si>
    <t>1068-3356</t>
  </si>
  <si>
    <t>B LEBEDEV PHYS INST+</t>
  </si>
  <si>
    <t>Bull. Lebedev Phys. Inst.</t>
  </si>
  <si>
    <t>10.3103/S1068335611010040</t>
  </si>
  <si>
    <t>Physics, Multidisciplinary</t>
  </si>
  <si>
    <t>730GY</t>
  </si>
  <si>
    <t>WOS:000288023000004</t>
  </si>
  <si>
    <t>Cox, MJ; Borchers, DL; Demer, DA; Cutter, GR; Brierley, AS</t>
  </si>
  <si>
    <t>Cox, Martin J.; Borchers, David L.; Demer, David A.; Cutter, George R.; Brierley, Andrew S.</t>
  </si>
  <si>
    <t>Estimating the density of Antarctic krill (Euphausia superba) from multi-beam echo-sounder observations using distance sampling methods</t>
  </si>
  <si>
    <t>JOURNAL OF THE ROYAL STATISTICAL SOCIETY SERIES C-APPLIED STATISTICS</t>
  </si>
  <si>
    <t>Acoustic; Antarctic krill; Distance sampling; Multi-beam echo-sounder</t>
  </si>
  <si>
    <t>BIOMASS</t>
  </si>
  <si>
    <t>Antarctic krill is a key species in the Antarctic food web, an important prey item for marine predators and a commercial fishery resource. Although single-beam echo-sounders are commonly used to survey the species, multi-beam echo-sounders may be more efficient because they sample a larger volume of water. However, multi-beam echo-sounders may miss animals because they involve lower energy densities. We adapt distance sampling theory to deal with this and to estimate krill density and biomass from a multi-beam echo-sounder survey. The method provides a general means for estimating density and biomass from multi-beam echo-sounder data.</t>
  </si>
  <si>
    <t>[Cox, Martin J.] Univ St Andrews, Gatty Marine Lab, Pelag Ecol Res Grp, St Andrews KY16 8LB, Fife, Scotland; [Demer, David A.; Cutter, George R.] SW Fisheries Sci Ctr, La Jolla, CA USA</t>
  </si>
  <si>
    <t>University of St Andrews; National Oceanic Atmospheric Admin (NOAA) - USA</t>
  </si>
  <si>
    <t>Cox, MJ (corresponding author), Univ St Andrews, Gatty Marine Lab, Pelag Ecol Res Grp, St Andrews KY16 8LB, Fife, Scotland.</t>
  </si>
  <si>
    <t>mjc16@st-and.ac.uk</t>
  </si>
  <si>
    <t>, David/ABC-8990-2022; , David/X-5730-2019; Brierley, Andrew/G-8019-2011</t>
  </si>
  <si>
    <t>, David/0000-0001-5083-8854; Brierley, Andrew/0000-0002-6438-6892; Borchers, David/0000-0002-3944-0754</t>
  </si>
  <si>
    <t>Royal Society; UK Natural Environment Research Council; National Science Foundation [06-OPP-33939]</t>
  </si>
  <si>
    <t>Royal Society(Royal Society); UK Natural Environment Research Council(UK Research &amp; Innovation (UKRI)Natural Environment Research Council (NERC)); National Science Foundation(National Science Foundation (NSF))</t>
  </si>
  <si>
    <t>We thank the Royal Society for funds enabling deployment of the MBE, Simrad USA, particularly J. Condiotty, for the loan of the SM20, and D. Needham and M. Patterson of Sea Technology Services for designing and constructing the MBE transducer mount. We are grateful to the US Antarctic Marine Living Resources Program; the Master, officers and crew of the RV Yuzhmorgeologiya and the personnel at the Cape Shirreff field station for logistical, equipment and ship support. MJC was supported by a UK Natural Environment Research Council doctoral studentship. This work was carried out in association with a National Science Foundation funded (grant 06-OPP-33939) investigation of the Livingston Island near-shore environment. A National Science Foundation grant was held by DAD and J. D. Warren of the School of Marine and Atmospheric Sciences, Stony Brook University, USA. We are grateful to E. Rexstad and T. Marques for both the provision of R code and helpful discussions of distance sampling theory for MBE surveys. We thank A. Jenkins, T. S. Sessions and M. van den Berg for skippering the near-shore boats and T. S. Sessions for providing invaluable expertise in the field.</t>
  </si>
  <si>
    <t>0035-9254</t>
  </si>
  <si>
    <t>1467-9876</t>
  </si>
  <si>
    <t>J R STAT SOC C-APPL</t>
  </si>
  <si>
    <t>J. R. Stat. Soc. Ser. C-Appl. Stat.</t>
  </si>
  <si>
    <t>10.1111/j.1467-9876.2010.00748.x</t>
  </si>
  <si>
    <t>730EX</t>
  </si>
  <si>
    <t>WOS:000288017300009</t>
  </si>
  <si>
    <t>Kusahara, K; Hasumi, H; Williams, GD</t>
  </si>
  <si>
    <t>Kusahara, Kazuya; Hasumi, Hiroyasu; Williams, Guy D.</t>
  </si>
  <si>
    <t>Impact of the Mertz Glacier Tongue calving on dense water formation and export</t>
  </si>
  <si>
    <t>NATURE COMMUNICATIONS</t>
  </si>
  <si>
    <t>LAND BOTTOM WATER; SEA-ICE; THERMOHALINE CIRCULATION; PACIFIC-OCEAN; WORLD OCEAN; DEEP-OCEAN; MODEL; CLIMATE; HEAT</t>
  </si>
  <si>
    <t>Antarctic Bottom Water (AABW) is a critical component of the global climate system, occupying the abyssal layer of the World Ocean and driving the lower limb of the global meridional overturning circulation. Around East Antarctica, the dense shelf water (DSW) precursor to AABW is predominantly formed by enhanced sea ice formation in coastal polynyas. The dominant source region of AABW supply to the Australian-Antarctic Basin is the Adelie and George V Land coast, in particular, polynyas formed in the western lee of the Mertz Glacier Tongue (MGT) and the grounded iceberg B9b over the Adelie and the Mertz Depressions, respectively. The calving of the MGT, which occurred on 12-13 February 2010, dramatically changed the environment for producing DSW. Here, we assess its impact using a state-of-the-art ice-ocean model. The model shows that oceanic circulation and sea ice production in the region changes immediately after the calving event, and that the DSW export is reduced by up to 23%.</t>
  </si>
  <si>
    <t>[Kusahara, Kazuya; Hasumi, Hiroyasu] Univ Tokyo, Atmosphere &amp; Ocean Res Inst, Chiba 2778568, Japan; [Williams, Guy D.] Univ Paris 06, LOCEAN, Paris, France</t>
  </si>
  <si>
    <t>University of Tokyo; Sorbonne Universite; Museum National d'Histoire Naturelle (MNHN)</t>
  </si>
  <si>
    <t>Kusahara, K (corresponding author), Univ Tokyo, Atmosphere &amp; Ocean Res Inst, 5-1-5 Kashiwanoha, Chiba 2778568, Japan.</t>
  </si>
  <si>
    <t>kusahara@aori.u-tokyo.ac.jp</t>
  </si>
  <si>
    <t>Kusahara, Kazuya/0000-0003-4067-7959</t>
  </si>
  <si>
    <t>JST; JSPS; Mairie de Paris; Grants-in-Aid for Scientific Research [23340138] Funding Source: KAKEN</t>
  </si>
  <si>
    <t>JST(Japan Science &amp; Technology Agency (JST)); JSPS(Ministry of Education, Culture, Sports, Science and Technology, Japan (MEXT)Japan Society for the Promotion of Science); Mairie de Paris(Region Ile-de-France); Grants-in-Aid for Scientific Research(Ministry of Education, Culture, Sports, Science and Technology, Japan (MEXT)Japan Society for the Promotion of ScienceGrants-in-Aid for Scientific Research (KAKENHI))</t>
  </si>
  <si>
    <t>K.K. and H. H. are supported by JST/CREST. G. D. W. is supported by JSPS and the Mairie de Paris. The calculation, herein, was performed on HA8000 at the University of Tokyo. We used the MODIS/TERRA image provided by NASA/GSFC MODIS Rapid Response (http://rapidfire.sci.gsfc.nasa.gov) for Figure 1.</t>
  </si>
  <si>
    <t>2041-1723</t>
  </si>
  <si>
    <t>NAT COMMUN</t>
  </si>
  <si>
    <t>Nat. Commun.</t>
  </si>
  <si>
    <t>10.1038/ncomms1156</t>
  </si>
  <si>
    <t>732YN</t>
  </si>
  <si>
    <t>WOS:000288225700009</t>
  </si>
  <si>
    <t>ROBOT DIVES TO EXPLORE ANTARCTIC ICE SHELF</t>
  </si>
  <si>
    <t>BULLETIN OF THE AMERICAN METEOROLOGICAL SOCIETY</t>
  </si>
  <si>
    <t>News Item</t>
  </si>
  <si>
    <t>0003-0007</t>
  </si>
  <si>
    <t>B AM METEOROL SOC</t>
  </si>
  <si>
    <t>Bull. Amer. Meteorol. Soc.</t>
  </si>
  <si>
    <t>729OD</t>
  </si>
  <si>
    <t>WOS:000287959200006</t>
  </si>
  <si>
    <t>Sun, C; Zhang, LL; Yan, XM</t>
  </si>
  <si>
    <t>Sun Che; Zhang Linlin; Yan Xiaomei</t>
  </si>
  <si>
    <t>Stream-coordinate structure of oceanic jets based on merged altimeter data</t>
  </si>
  <si>
    <t>CHINESE JOURNAL OF OCEANOLOGY AND LIMNOLOGY</t>
  </si>
  <si>
    <t>oceanic jet; stream-coordinate; Absolute Dynamic Topography (ADT); gravest empirical mode (GEM)</t>
  </si>
  <si>
    <t>ANTARCTIC CIRCUMPOLAR CURRENT; GRAVEST EMPIRICAL MODE; SOUTHERN-OCEAN; ENERGETICS; FRONTS; FLUX; VIEW</t>
  </si>
  <si>
    <t>The jet structure of the Southern Ocean front south of Australia is studied in stream-coordinate with a new altimeter product-Absolute Dynamic Topography (ADT) from AVISO. The accuracy of the ADT data is validated with the mooring data from a two-year subantarctic-front experiment. It is demonstrated that the ADT is consistent with in-situ measurements and captures the meso-scale activity of the Antarctic Circumpolar Current (ACC). Stream-coordinate analysis of ADT surface geostrophic flows finds that ACC jets exhibit large spatio-temporal variability and do not correspond to particular streamfunction values. In the circumpolar scope ACC jets display a transient fragmented pattern controlled by topographic features. The poleward shift of jet in streamfunction space, as revealed by a streamwise correlation method, indicates the presence of meridional fluxes of zonal momentum. Such cross-stream eddy fluxes concentrate the broad ACC baroclinic flow into narrow jets. Combined with a recent discovery of gravest empirical mode (GEM) in the thermohaline fields, the study clarifies the interrelationship among front, jet and streamfunction in the Southern Ocean.</t>
  </si>
  <si>
    <t>[Sun Che; Zhang Linlin; Yan Xiaomei] Chinese Acad Sci, Inst Oceanol, Key Lab Ocean Circulat &amp; Wave, Qingdao 266071, Peoples R China; [Zhang Linlin; Yan Xiaomei] Chinese Acad Sci, Grad Univ, Beijing 100039, Peoples R China</t>
  </si>
  <si>
    <t>Chinese Academy of Sciences; Institute of Oceanology, CAS; Chinese Academy of Sciences; University of Chinese Academy of Sciences, CAS</t>
  </si>
  <si>
    <t>Sun, C (corresponding author), Chinese Acad Sci, Inst Oceanol, Key Lab Ocean Circulat &amp; Wave, Qingdao 266071, Peoples R China.</t>
  </si>
  <si>
    <t>csun@qdio.ac.cn</t>
  </si>
  <si>
    <t>Zhang, Linlin/I-4970-2014</t>
  </si>
  <si>
    <t>Zhang, Linlin/0000-0003-0247-7710</t>
  </si>
  <si>
    <t>National Basic Research Program of China (973 Program) [2006CB403601, 2007CB411804]; Chinese Academy of Sciences [KZCX2-YW-Q11-02]; National Natural Sciences Foundation of China [40776014]</t>
  </si>
  <si>
    <t>National Basic Research Program of China (973 Program)(National Basic Research Program of China); Chinese Academy of Sciences(Chinese Academy of Sciences); National Natural Sciences Foundation of China(National Natural Science Foundation of China (NSFC))</t>
  </si>
  <si>
    <t>Supported by the National Basic Research Program of China (973 Program) (Nos. 2006CB403601, 2007CB411804), the Knowledge Innovation Program of Chinese Academy of Sciences (No. KZCX2-YW-Q11-02), and the National Natural Sciences Foundation of China (No. 40776014)</t>
  </si>
  <si>
    <t>SCIENCE PRESS</t>
  </si>
  <si>
    <t>16 DONGHUANGCHENGGEN NORTH ST, BEIJING, 100717, PEOPLES R CHINA</t>
  </si>
  <si>
    <t>0254-4059</t>
  </si>
  <si>
    <t>1993-5005</t>
  </si>
  <si>
    <t>CHIN J OCEANOL LIMN</t>
  </si>
  <si>
    <t>Chin. J. Oceanol. Limnol.</t>
  </si>
  <si>
    <t>10.1007/s00343-011-9938-4</t>
  </si>
  <si>
    <t>Limnology; Oceanography</t>
  </si>
  <si>
    <t>706FL</t>
  </si>
  <si>
    <t>WOS:000286203200001</t>
  </si>
  <si>
    <t>Crispini, L; Federico, L; Capponi, G; Talarico, F</t>
  </si>
  <si>
    <t>Crispini, Laura; Federico, Laura; Capponi, Giovanni; Talarico, Franco</t>
  </si>
  <si>
    <t>The Dorn gold deposit in northern Victoria Land, Antarctica: Structure, hydrothermal alteration, and implications for the Gondwana Pacific margin</t>
  </si>
  <si>
    <t>GONDWANA RESEARCH</t>
  </si>
  <si>
    <t>Orogenic gold; Syntectonic veins; Hydrothermal alteration; Fault zones; Antarctica; Ross-Delamerian Orogeny</t>
  </si>
  <si>
    <t>ROSS SEA REGION; OROGENIC GOLD; TECTONIC EVOLUTION; TRANSANTARCTIC MOUNTAINS; SOUTH ISLAND; AUSTRALIA; MINERALIZATION; CLASSIFICATION; SUPERGROUP; FRAMEWORK</t>
  </si>
  <si>
    <t>The Dorn gold deposit in northern Victoria Land, Antarctica is a fault related gold-only deposit and it represents the first described occurrence of gold mineralization in Paleozoic terranes of the Antarctic continent. The deposit is hosted in lower greenschist facies Middle Cambrian metavolcanic and metasedimentary rocks of the Bowers terrane. Gold-bearing veins are located in a brittle-ductile reverse high-strain zone, which was produced by transpressional deformation that overprints the structures of the Cambrian-Ordovician Ross Orogeny. The vein system is surrounded by a hydrothermal alteration zone that is as much as 300-m-wide, where the host rocks are partially to completely transformed into Fe-Mg carbonate-rich rocks with different degrees of replacement of the original mineralogy and texture. The type of host rock, the temperature estimates for mineralization from 290-320 degrees C, the quartz dominant vein system with sulfides and Fe-rich carbonates, and the controlling structures linked to a convergent margin tectonic setting together suggest that this mineralized vein system can be classified as an orogenic gold deposit. Close analogies are found with deposits of the Stawell zone in western Victoria, which is consistent with the correlation between units and hydrothermal events in northern Victoria land and southeastern Australia. (C) 2010 International Association for Gondwana Research. Published by Elsevier B.V. All rights reserved.</t>
  </si>
  <si>
    <t>[Crispini, Laura; Federico, Laura; Capponi, Giovanni] Univ Genoa, DipTeRis, I-16132 Genoa, Italy; [Talarico, Franco] Univ Siena, Dipartimento Sci Terra, I-53100 Siena, Italy</t>
  </si>
  <si>
    <t>University of Genoa; University of Siena</t>
  </si>
  <si>
    <t>Crispini, L (corresponding author), Univ Genoa, DipTeRis, Corso Europa 26, I-16132 Genoa, Italy.</t>
  </si>
  <si>
    <t>crispini@dipteris.unige.it</t>
  </si>
  <si>
    <t>Crispini, Laura/N-1580-2019; Federico, Laura/AAJ-3465-2020; FEDERICO, LAURA/AAF-3575-2021; talarico, franco/G-9472-2012</t>
  </si>
  <si>
    <t>Crispini, Laura/0000-0001-5770-8569; FEDERICO, LAURA/0000-0002-1994-973X; talarico, franco/0000-0002-7254-4301</t>
  </si>
  <si>
    <t>P.N.R.A. (Programma Nazionale di Ricerche in Antartide); University of Genoa</t>
  </si>
  <si>
    <t>We would like to thank Neil Phillips, and Dave Craw for their thoughtful reviews that helped to greatly improve the manuscript. This work could not have been performed without the excellent helicopter support of Helicopters NZ; special thanks to Jeff McClintock and Ricky Park. This work benefited from the logistical and financial support of the P.N.R.A. (Programma Nazionale di Ricerche in Antartide) and from funds from the University of Genoa.</t>
  </si>
  <si>
    <t>1342-937X</t>
  </si>
  <si>
    <t>1878-0571</t>
  </si>
  <si>
    <t>GONDWANA RES</t>
  </si>
  <si>
    <t>Gondwana Res.</t>
  </si>
  <si>
    <t>10.1016/j.gr.2010.03.010</t>
  </si>
  <si>
    <t>716HQ</t>
  </si>
  <si>
    <t>WOS:000286960100010</t>
  </si>
  <si>
    <t>Martin, A; Anderson, MJ; Thorn, C; Davy, SK; Ryan, KG</t>
  </si>
  <si>
    <t>Martin, Andrew; Anderson, Marti J.; Thorn, Chris; Davy, Simon K.; Ryan, Ken G.</t>
  </si>
  <si>
    <t>Response of sea-ice microbial communities to environmental disturbance: an in situ transplant experiment in the Antarctic</t>
  </si>
  <si>
    <t>Antarctica; Sea-ice; Microbes; DGGE; Transplant experiment; Microbial loop</t>
  </si>
  <si>
    <t>GRADIENT GEL-ELECTROPHORESIS; ADELIE AREA ANTARCTICA; MCMURDO-SOUND; ROSS SEA; SEASONAL-CHANGES; ALGAL COMMUNITY; 1ST-YEAR ICE; PACK ICE; BACTERIAL; MICROALGAE</t>
  </si>
  <si>
    <t>Sea-ice microbial communities are integral to primary and secondary production in ice-covered regions of the Southern Ocean, but few studies have characterised the heterogeneity of microbes within the ice or determined whether habitat variability influences community dynamics. We examined the response of sea-ice microbes to key physicochemical variables by conducting an 18 d reciprocal transplant experiment within Antarctic fast-ice. A series of ice cores were extracted from 2.6 m annual ice and reinserted upside down to expose resident microbial assemblages to significantly different light, temperature and salinity regimes. The abundance and community composition of bacteria, microalgae and protozoa was subsequently determined within 3 sections of each core (top, middle and bottom) and compared with experimental controls. Results demonstrate that ice-associated microbes are finely attuned to discrete microhabitats within the sea-ice matrix. Positive growth and a shift in community composition was observed for microalgae moved from the top to the bottom of the ice, but significant bleaching of photosynthetic pigments resulted in zero net growth for bottom-ice communities exposed to the surface. Although bacteria may have been less vulnerable to initial change in their microenvironment, there was no significant increase in the average abundance of cells at either end of the flipped cores after 18 d, despite a presumed increase in algal-derived dissolved organic matter. This suggests a significant lag in the response time of bacteria to available growth substrates and a temporary 'malfunction' of the microbial loop.</t>
  </si>
  <si>
    <t>[Martin, Andrew; Thorn, Chris; Davy, Simon K.; Ryan, Ken G.] Victoria Univ Wellington, Sch Biol Sci, Wellington 6140, New Zealand; [Martin, Andrew] Univ Tasmania, Inst Marine &amp; Antarctic Studies, Hobart, Tas 7001, Australia; [Anderson, Marti J.] Massey Univ, Inst Informat &amp; Math Sci, Albany 0632, New Zealand</t>
  </si>
  <si>
    <t>Victoria University Wellington; University of Tasmania; Massey University</t>
  </si>
  <si>
    <t>Martin, A (corresponding author), Victoria Univ Wellington, Sch Biol Sci, Wellington 6140, New Zealand.</t>
  </si>
  <si>
    <t>andrew.martin@utas.edu.au</t>
  </si>
  <si>
    <t>Martin, Andrew/F-5688-2013; Ryan, Ken/F-5652-2013; Anderson, Marti J./AAQ-9038-2021</t>
  </si>
  <si>
    <t>Anderson, Marti J./0000-0002-4018-4049; Martin, Andrew/0000-0001-8260-5529; Ryan, Ken/0000-0001-7075-0112; Davy, Simon/0000-0003-3584-5356</t>
  </si>
  <si>
    <t>Victoria University of Wellington; Trans Antarctic Association; Foundation of Research, Science Technology [VICX0706]</t>
  </si>
  <si>
    <t>Victoria University of Wellington; Trans Antarctic Association; Foundation of Research, Science Technology</t>
  </si>
  <si>
    <t>We acknowledge the logistical support of Antarctica New Zealand and, in particular, S. Gordon, Project Manager of the Latitudinal Gradient Project. A. M. was supported by a Victoria University of Wellington Postgraduate Scholarship for PhD Study and also thanks the Trans Antarctic Association for support in funding this research, K. M. Hare for graphic design and M. Kennedy for advice on phylogenetics. K. G. R. acknowledges the support of the Foundation of Research, Science &amp; Technology (contract no. VICX0706).</t>
  </si>
  <si>
    <t>10.3354/meps08977</t>
  </si>
  <si>
    <t>729QT</t>
  </si>
  <si>
    <t>WOS:000287966400003</t>
  </si>
  <si>
    <t>Hoover-Miller, A; Atkinson, S; Conlon, S; Prewitt, J; Armato, P</t>
  </si>
  <si>
    <t>Hoover-Miller, Anne; Atkinson, Shannon; Conlon, Suzanne; Prewitt, Jill; Armato, Peter</t>
  </si>
  <si>
    <t>Persistent decline in abundance of harbor seals Phoca vitulina richardsi over three decades in Aialik Bay, an Alaskan tidewater glacial fjord</t>
  </si>
  <si>
    <t>Harbor seal; Phoca vitulina richardsi; Glaciers; Population decline; Gulf of Alaska</t>
  </si>
  <si>
    <t>PRINCE-WILLIAM-SOUND; ANTARCTIC FUR SEALS; VALDEZ OIL-SPILL; TUGIDAK ISLAND; NATIONAL-PARK; OUT BEHAVIOR; NUMBERS; TRENDS; AGE; PHENOLOGY</t>
  </si>
  <si>
    <t>Glacial ice calved from tidewater glaciers in Alaska provides an important haulout habitat for harbor seals Phoca vitulina richardsi, and its extent and ecological influence is being reduced by climate change. The number of harbor seals using glacial ice adjacent to Aialik Glacier, central Gulf of Alaska, declined by 93% from 1979 to 2009. During this time, seals demonstrated variability in their selection of haulout locations, particularly during the molt. Near Pedersen Glacier, 6 km south of Aialik Glacier, the number of seals doubled from 2005 to 2007; this was followed by an equivalent loss from 2007 to 2009. This influx, which occurred during a period of cold marine conditions, was associated with the arrival of seals from locations outside Aialik Bay, rather than from movements of seals from Aialik Glacier. Nearly all pups were born near Aialik Glacier. Pup production, which was stable from 1979 to 1983, subsequently declined by 12.4% yr(-1) through 1994. Although the rate of decline abated, the numbers of pups continued to decline by 4.6% annually from 1994 to 2009. The persistent decline of harbor seals in Aialik Bay is similar to that observed in Glacier Bay, southeast Alaska, but contrasts with trends at nonglacial sites in the Gulf of Alaska and southeast Alaska where populations have been increasing since the mid-1990s. Results indicate flexibility in selection of haulout location and potentially the proportion of time seals are present on the ice. The persistent decline in pup production, however, raises concern over the future of harbor seals in previously important glacial pupping habitats and the integrity of unique glacial fjord ecosystems.</t>
  </si>
  <si>
    <t>[Hoover-Miller, Anne; Conlon, Suzanne; Prewitt, Jill] Alaska SeaLife Ctr, Seward, AK 99664 USA; [Hoover-Miller, Anne; Armato, Peter] Univ Alaska Fairbanks, Sch Fisheries &amp; Ocean Sci, Fairbanks, AK 99775 USA; [Atkinson, Shannon] Univ Alaska Fairbanks, Juneau Ctr Sch Fisheries &amp; Ocean Sci, Juneau, AK 99801 USA; [Armato, Peter] Natl Pk Serv, Ocean Alaska Sci &amp; Learning Ctr, Seward, AK 99664 USA</t>
  </si>
  <si>
    <t>University of Alaska System; University of Alaska Fairbanks; University of Alaska System; University of Alaska Fairbanks; United States Department of the Interior</t>
  </si>
  <si>
    <t>Hoover-Miller, A (corresponding author), Alaska SeaLife Ctr, Seward, AK 99664 USA.</t>
  </si>
  <si>
    <t>anneh@alaskasealife.org</t>
  </si>
  <si>
    <t>US National Park Service; Port Graham Corporation; National Maritime Wildlife Refuge System; National Park Service; Ocean Alaska Science and Learning Center; 'Exxon Valdez' Oil Spill Trustee Council; National Marine Fisheries Service (NMFS)</t>
  </si>
  <si>
    <t>We thank the numerous organizations who have supported harbor seal monitoring in Aialik Bay during the past 30 yr, including the US National Park Service, Port Graham Corporation, National Maritime Wildlife Refuge System, 'Exxon Valdez' Oil Spill Trustee Council. We particularly thank E. C. Murphy, A. Castellina and the late F. H. Fay, who were instrumental in establishing long-term monitoring in Aialik Bay. We also thank the numerous people who aided with field surveys including R. Day, K. Oakley, T. Carpenter, D. Miller, C. Miller, M. Tetreau, J. Pfeiffenberger, S. Pfeiffenberger, G. Smith, K. Link, W. Bryden, J. Welsh, S. Brennan, P. Salzman, K. Wilson and the following people who spent endless hours operating the remote video cameras and reviewing tapes: K. Felitz, S. Aughe, L. O'Brien, L. Dickinson, J. Follin, T. Mauro, M. Sternberg, K. Heffron, R. Pearce, A. Graefe, K. Stade, K. Williams, L. Cramer, G. Mills, K. Marino, S. Slaughter, T. Zaffarano, C. Youngflesh, N. Beckmann, S. Hishmeh, J. Mahoney, A. Bishop, L. Marcella, M. Caulfield, J. Albers, M. Terwilliger and C. Jezierski. Research and data synthesis was supported by the National Park Service, Ocean Alaska Science and Learning Center, 'Exxon Valdez' Oil Spill Trustee Council and the National Marine Fisheries Service (NMFS). We are especially grateful for valuable comments and suggestions provided by G. Pendleton, A. Springer and 3 anonymous reviewers on earlier drafts of the manuscript. This study was carried out under NMFS General Authorization for Scientific Research Letter of Confirmation No. 881-1673 and 881-1918, National Park Service Scientific Research Permit KEFJ-2004-SCI-0001 and KEFJ-2008-SCI-0001, Port Graham Corporation MOU, US Fish and Wildlife Service Special Use Permit 74500-03-045 and 10-001, Department of Natural Resources Permit 09-KA-698.</t>
  </si>
  <si>
    <t>10.3354/meps08987</t>
  </si>
  <si>
    <t>WOS:000287966400022</t>
  </si>
  <si>
    <t>Sanchez-Camara, J; Martin-Smith, K; Booth, DJ; Fritschi, J; Turon, X</t>
  </si>
  <si>
    <t>Sanchez-Camara, Jaime; Martin-Smith, Keith; Booth, David J.; Fritschi, Juan; Turon, Xavier</t>
  </si>
  <si>
    <t>Demographics and vulnerability of a unique Australian fish, the weedy seadragon Phyllopteryx taeniolatus</t>
  </si>
  <si>
    <t>Mark-recapture analyses; Conservation; Growth; Survival rate; Population dynamics; Endemic Australian fish</t>
  </si>
  <si>
    <t>LIFE-HISTORY; POPULATION-DYNAMICS; PHYCODURUS-EQUES; EXTINCTION RISK; MARKED ANIMALS; CLIMATE-CHANGE; MARINE FISHES; HOME-RANGE; GROWTH; SYNGNATHIDAE</t>
  </si>
  <si>
    <t>The weedy seadragon Phyllopteryx taeniolatus is a vulnerable and endemic Australian fish and also an icon and flagship species for marine conservation. However, little is known about its population dynamics, which hinders the establishment of conservation policies. We have previously demonstrated seadragons to be highly site-attached, so we estimated population densities, growth and survival of weedy seadragons using mark-recapture techniques at 5 sites in New South Wales (NSW, 34 degrees S) and Tasmania (TAS, 43 degrees S), near the northern and southeastern limit of distribution for the species, over a 7 yr period. Population densities varied from ca. 10 to 70 seadragons ha(-1) depending on site and year. There was a significant decline in the number of weedy seadragon sightings per unit area searched in 2 out of 3 study sites near Sydney, NSW, from 2001 to 2007. There was also a decline at one of the 2 sites surveyed in the lower Derwent Estuary, TAS, in 2009 compared to 2003 and 2004. Survival rates at NSW sites ranged from 0.62 to 0.65 yr(-1) and were higher at TAS sites where they ranged from 0.71 to 0.77 yr(-1). Birth occurred approximately 3 mo later and seadragons exhibited significant slower growth in TAS (maximum adult size x growth rate parameter, L-infinity x k = 31.02) compared to NSW (L-infinity x k = 55.15). This study is the first population assessment of seadragons over ecologically relevant spatial and temporal scales, and shows differences in the dynamics of populations at different latitudes. It also shows declines in some populations at widely separated sites. Determining whether these declines are natural interannual fluctuations or whether they are caused by environmental or habitat changes must be a priority for conservation.</t>
  </si>
  <si>
    <t>[Turon, Xavier] CSIC, CEAB, Dept Marine Ecol, Ctr Adv Studies Blanes, Blanes 17300, Girona, Spain; [Sanchez-Camara, Jaime; Fritschi, Juan] Aquadec Aquariums SL, Granada 18600, Spain; [Martin-Smith, Keith] Australian Govt Dept Environm Water Heritage &amp; Ar, Australian Antarctic Div, Kingston, Tas 7050, Australia; [Booth, David J.] Univ Technol Sydney, Dept Environm Sci, Sydney, NSW 2007, Australia</t>
  </si>
  <si>
    <t>Consejo Superior de Investigaciones Cientificas (CSIC); CSIC - Centre d'Estudis Avancats de Blanes (CEAB); Australian Antarctic Division; University of Technology Sydney</t>
  </si>
  <si>
    <t>Turon, X (corresponding author), CSIC, CEAB, Dept Marine Ecol, Ctr Adv Studies Blanes, Blanes 17300, Girona, Spain.</t>
  </si>
  <si>
    <t>xturon@ceab.csic.es</t>
  </si>
  <si>
    <t>Turon, Xavier/J-9211-2012</t>
  </si>
  <si>
    <t>Turon, Xavier/0000-0002-9229-5541; Booth, David/0000-0002-8256-1412</t>
  </si>
  <si>
    <t>Sydney Aquarium Conservation Foundation; Australian Geographic Society; PADI Foundation; Guylian Chocolates and Aquadec Aquariums; University of Tasmania [A0007598]</t>
  </si>
  <si>
    <t>Sydney Aquarium Conservation Foundation; Australian Geographic Society; PADI Foundation; Guylian Chocolates and Aquadec Aquariums; University of Tasmania</t>
  </si>
  <si>
    <t>Special thanks to Marlene Davey for her fieldwork conducted in Tasmania during 2003. This project was funded by the Sydney Aquarium Conservation Foundation, The Australian Geographic Society, The PADI Foundation, Guylian Chocolates and Aquadec Aquariums. Required permits were obtained from NSW Fisheries (T01/046, F94/696, P01/044) and NSW Department of Primary Industries (F94/696(A)-4.0). Work was conducted under ethics approval RNSH/UTS Protocol 0106-043A from the University of Technology Sydney/Royal North Shore Hospital Animal Care and under the University of Tasmania's Animal Ethics Project A0007598. We greatly appreciate the helpful comments provided by 3 anonymous reviewers that led to the manuscript's improvement.</t>
  </si>
  <si>
    <t>10.3354/meps08920</t>
  </si>
  <si>
    <t>715ZD</t>
  </si>
  <si>
    <t>WOS:000286933500023</t>
  </si>
  <si>
    <t>Salehian, S; Braeckman, BP; Beladjal, L; Bert, W; Clegg, JS; Mertens, J</t>
  </si>
  <si>
    <t>Salehian, Shakiba; Braeckman, Bart P.; Beladjal, Lynda; Bert, Wim; Clegg, James S.; Mertens, Johan</t>
  </si>
  <si>
    <t>The importance of feeding status and desiccation rate in successful anhydrobiosis of Panagrolaimus detritophagus</t>
  </si>
  <si>
    <t>NEMATOLOGY</t>
  </si>
  <si>
    <t>desiccation; heat resistance; nematodes; starvation</t>
  </si>
  <si>
    <t>NEMATODE DITYLENCHUS-DIPSACI; PLANT-PARASITIC NEMATODE; ANTARCTIC DRY VALLEYS; MORPHOLOGICAL-CHANGES; SOIL NEMATODES; SURVIVAL; WATER; LIFE; TEMPERATURE; PHYSIOLOGY</t>
  </si>
  <si>
    <t>We examined the effect of nutritional status and desiccation rate on the ability of Panagrolaimus detritophagus to undergo anhydrobiosis, as well as to survive high temperatures in the dried state. Both nutrition and drying rate were found to be important, with starvation and slow drying providing better success at anhydrobiosis. The upper temperature for survival of dried animals in laboratory studies was 80 degrees C. Starved worms recovered from drying more successfully when the starvation period was followed by a smooth, gradual dry period prior to undergoing desiccation. Thus, the ability of these worms to enter and leave anhydrobiosis is dependent on critical stress signals.</t>
  </si>
  <si>
    <t>[Salehian, Shakiba; Beladjal, Lynda; Mertens, Johan] Univ Ghent, Dept Biol, Terr Ecol Unit, B-9000 Ghent, Belgium; [Braeckman, Bart P.] Univ Ghent, Dept Biol, Res Grp Aging Physiol &amp; Mol Evolut, B-9000 Ghent, Belgium; [Bert, Wim] Univ Ghent, Dept Biol, Nematol Sect, B-9000 Ghent, Belgium; [Clegg, James S.] Univ Calif Bodega, Bodega Marine Lab, Bodega Bay, CA 94923 USA; [Clegg, James S.] Univ Calif Bodega, Sect Mol &amp; Cellular Biol, Bodega Bay, CA 94923 USA</t>
  </si>
  <si>
    <t>Ghent University; Ghent University; Ghent University</t>
  </si>
  <si>
    <t>Mertens, J (corresponding author), Univ Ghent, Dept Biol, Terr Ecol Unit, KL Ledeganckstr 35, B-9000 Ghent, Belgium.</t>
  </si>
  <si>
    <t>Johan.Mertens@UGent.be</t>
  </si>
  <si>
    <t>Braeckman, Bart P/K-7745-2012; Bert, Wim/D-4511-2013; Beladjal, Lynda/KEH-5590-2024</t>
  </si>
  <si>
    <t>Beladjal, Lynda/0000-0002-5755-7235</t>
  </si>
  <si>
    <t>BRILL ACADEMIC PUBLISHERS</t>
  </si>
  <si>
    <t>LEIDEN</t>
  </si>
  <si>
    <t>PLANTIJNSTRAAT 2, P O BOX 9000, 2300 PA LEIDEN, NETHERLANDS</t>
  </si>
  <si>
    <t>1388-5545</t>
  </si>
  <si>
    <t>Nematology</t>
  </si>
  <si>
    <t>10.1163/138855410X512656</t>
  </si>
  <si>
    <t>729IN</t>
  </si>
  <si>
    <t>WOS:000287942200005</t>
  </si>
  <si>
    <t>Van de Vijver, B; Zidarova, R; de Haan, M</t>
  </si>
  <si>
    <t>Van de Vijver, Bart; Zidarova, Ralitsa; de Haan, Myriam</t>
  </si>
  <si>
    <t>Four new Luticola taxa (Bacillariophyta) from the South Shetland Islands and James Ross Island (Maritime Antarctic Region)</t>
  </si>
  <si>
    <t>NOVA HEDWIGIA</t>
  </si>
  <si>
    <t>Luticola; Bacillariophyta; Diatoms; Antarctic; new species; morphology; biogeography</t>
  </si>
  <si>
    <t>DECEPTION ISLAND; SP NOV.; DIATOM; DIVERSITY; ECOLOGY</t>
  </si>
  <si>
    <t>During a revision of the genus Luticola on the South Shetland Islands and James Ross Island, four unknown Luticola species were observed. Based on detailed light microscopy and scanning electron microscopy observations, the species are described as new to science: Luticola katkae Van de Vijver &amp; Zidarova sp. nov., Luticola vermeulenii Van de Vijver sp. nov., Luticola adelae Van de Vijver &amp; Zidarova sp. nov. and Luticola rapine Zidarova &amp; Van de Vijver sp. nov. Their morphology and taxonomy is discussed comparing each species with similar Luticola taxa. Notes on their ecology are added. Subsequently, the distribution of all Luticola taxa in the subantarctic and Antarctic regions is investigated resulting in a clear separation of the Subantarctic Region, the Maritime Antarctic Region and the Antarctic Continent.</t>
  </si>
  <si>
    <t>[Van de Vijver, Bart; de Haan, Myriam] Natl Bot Garden Belgium, Dept Bryophyta &amp; Thallophyta, B-1860 Meise, Belgium; [Zidarova, Ralitsa] BASc, Cent Lab Gen Ecol, Sofia 1113, Bulgaria</t>
  </si>
  <si>
    <t>Bulgarian Academy of Sciences</t>
  </si>
  <si>
    <t>Van de Vijver, B (corresponding author), Natl Bot Garden Belgium, Dept Bryophyta &amp; Thallophyta, B-1860 Meise, Belgium.</t>
  </si>
  <si>
    <t>vandevijver@br.fgov.be</t>
  </si>
  <si>
    <t>Zidarova, Ralitsa/I-3793-2017</t>
  </si>
  <si>
    <t>Zidarova, Ralitsa/0000-0002-6451-0099</t>
  </si>
  <si>
    <t>FWO [G.0533.07]; EU</t>
  </si>
  <si>
    <t>FWO(FWO); EU(European Union (EU))</t>
  </si>
  <si>
    <t>The authors wish to thank Prof. Dr. Linda Nedbalova, Dr. Josef Elster and Prof. Dr. Louis Beyens for sampling on King George Island and James Ross Island. The authors would like to thank Mr. Pierre Compere for correcting the Latin diagnoses. Mrs. Friedel Hinz is thanked for her help with the type material of L. binodis, present in the Hustedt collection. The sampling campaigns on Hurd Peninsula were made possible with the support of the Bulgarian Antarctic Institute. Part of this research was funded within the FWO project G.0533.07 and by the EU-funded project SYNTHESYS.</t>
  </si>
  <si>
    <t>GEBRUDER BORNTRAEGER</t>
  </si>
  <si>
    <t>STUTTGART</t>
  </si>
  <si>
    <t>JOHANNESSTR 3A, D-70176 STUTTGART, GERMANY</t>
  </si>
  <si>
    <t>0029-5035</t>
  </si>
  <si>
    <t>Nova Hedwigia</t>
  </si>
  <si>
    <t>10.1127/0029-5035/2011/0092-0137</t>
  </si>
  <si>
    <t>729NI</t>
  </si>
  <si>
    <t>WOS:000287957000011</t>
  </si>
  <si>
    <t>Giordano, D; Rinelli, P; Russo, A; Sala, A; Azzali, M; La Spada, G; Giuliano, L; Crisafi, E; De Domenico, E; Yakimov, M</t>
  </si>
  <si>
    <t>Giordano, Daniela; Rinelli, Paola; Russo, Aniello; Sala, Antonello; Azzali, Massimo; La Spada, Gina; Giuliano, Laura; Crisafi, Ermanno; De Domenico, Elena; Yakimov, Michail</t>
  </si>
  <si>
    <t>Phylogenetic relationships of the Antarctic euphausiids inhabiting the Ross Sea and the adjacent regions of Southern Ocean</t>
  </si>
  <si>
    <t>CAHIERS DE BIOLOGIE MARINE</t>
  </si>
  <si>
    <t>Euphausiids; Ross Sea; Phylogenetic; Population; Genetic variability</t>
  </si>
  <si>
    <t>SUPERBA DANA POPULATIONS; GENETIC-VARIATION; ATLANTIC SECTOR; KRILL; CURRENTS; WATERS; PENINSULA; CRUSTACEA; ECOSYSTEM; VARIANCE</t>
  </si>
  <si>
    <t>Ross Sea supports a large concentration of Antarctic krill (Euphausia superba Dana, 1850) and Ice krill (Euphausia crystallorophias Holt &amp; Tattersal, 1906) that have a great ecological significance (Azzali &amp; Kalinowski, 1999; Sala et al., 2002). The aim of this study was to further our understanding of the distribution and phylogeny of krill species that were collected in the Ross Sea during the XIX PNRA expedition. Krill from 33 net samples were examined by sequencing parts of two mitochondrial genes; 530 bp of the gene 16S from a total of 20 specimens and 983 bp of NADH from 200 specimens. BIO-ENV analysis showed that the distribution of these species correlated best with water temperature than bottom depth and the ice presence. AMOVA analysis, conducted using the NADH data among geographic populations, revealed no significant differences of nucleotide diversity within the two Euphausia species: E. superba (n = 100, h = 0.97533 +/- 0.0472, p(i) = 0.53433 +/- 0.17212), E. crystallorophias (n = 100, h = 0.81762 +/- 0.07431, p(i) = 0.48578 +/- 0.46825). Most of the variability is associated with individuals and may depend on the high polymorphism of the species. AMOVA analysis between net samples showed no significant differences in all species.</t>
  </si>
  <si>
    <t>[Giordano, Daniela; Rinelli, Paola; Giuliano, Laura; Crisafi, Ermanno; Yakimov, Michail] Natl Council Res IAMC CNR, Inst Coastal Marine Environm, I-98122 Messina, Italy; [Russo, Aniello] Univ Polytech Marche, Dept Marine Sci, I-60131 Ancona, Italy; [Sala, Antonello; Azzali, Massimo] CNR, Inst Marine Sci, I-60125 Ancona, Italy; [La Spada, Gina; De Domenico, Elena] Dept Anim Biol &amp; Marine Ecol, I-98166 Messina, Italy</t>
  </si>
  <si>
    <t>Consiglio Nazionale delle Ricerche (CNR); L'Istituto per l'Ambiente Marino Costiero (IAMC-CNR); Consiglio Nazionale delle Ricerche (CNR); Istituto di Scienze Marine (ISMAR-CNR)</t>
  </si>
  <si>
    <t>Giordano, D (corresponding author), Natl Council Res IAMC CNR, Inst Coastal Marine Environm, Spianata S Raineri 86, I-98122 Messina, Italy.</t>
  </si>
  <si>
    <t>daniela.giordano@iamc.cnr.it</t>
  </si>
  <si>
    <t>La Spada, Gina/P-5207-2018; Rinelli, Paola/AGK-4899-2022; Sala, Antonello/B-8517-2016; Giuliano, Laura/P-2204-2019; Yakimov, Michail/H-1829-2016; Russo, Aniello/A-2319-2010; CNR, Ismar/P-1247-2014</t>
  </si>
  <si>
    <t>Sala, Antonello/0000-0001-7066-1152; Yakimov, Michail/0000-0003-1418-363X; Russo, Aniello/0000-0003-3651-8146; CNR, Ismar/0000-0001-5351-1486</t>
  </si>
  <si>
    <t>ROSCOFF</t>
  </si>
  <si>
    <t>STATION BIOLOGIQUE PLACE GEORGES TEISSIER, 29680 ROSCOFF, FRANCE</t>
  </si>
  <si>
    <t>0007-9723</t>
  </si>
  <si>
    <t>CAH BIOL MAR</t>
  </si>
  <si>
    <t>Cah. Biol. Mar.</t>
  </si>
  <si>
    <t>710HN</t>
  </si>
  <si>
    <t>WOS:000286501900001</t>
  </si>
  <si>
    <t>Mokhov, II; Malyshkin, AV</t>
  </si>
  <si>
    <t>Mokhov, I. I.; Malyshkin, A. V.</t>
  </si>
  <si>
    <t>Analytical estimate of the critical global-warming level for the Antarctic ice sheet mass gain-to-loss transition</t>
  </si>
  <si>
    <t>DOKLADY EARTH SCIENCES</t>
  </si>
  <si>
    <t>GREENLAND; BALANCE</t>
  </si>
  <si>
    <t>We suggested a relatively simple model describing changes in the total balance of the ice sheet mass due to global climate change. Taking into account the basic mechanisms behind change in the ice sheet mass and their relations with temperature, we obtained a nonlinear analytical dependence of the ice sheet thickness on the global near-surface temperature. The behavior of the ice sheet can be split into six regimes. Implementation of some regime or another depends essentially on the initial (present-day) value of the mass balance and the sensitivity parameters of precipitation and ice melt to the temperature. Based on this model, we obtained an analytical estimate of the critical level in global warming, in excess of which the regime of the Antarctic ice sheet gain due to snow accumulation changes to sheet degradation due to more intense growth in ice melting.</t>
  </si>
  <si>
    <t>[Mokhov, I. I.; Malyshkin, A. V.] Russian Acad Sci, Obukhov Inst Atmospher Phys, Moscow 199017, Russia</t>
  </si>
  <si>
    <t>Russian Academy of Sciences; Obukhov Institute of Atmospheric Physics of Russian Academy of Sciences</t>
  </si>
  <si>
    <t>Mokhov, II (corresponding author), Russian Acad Sci, Obukhov Inst Atmospher Phys, Pyzhevskii Per 3, Moscow 199017, Russia.</t>
  </si>
  <si>
    <t>Mokhov, Igor/U-9564-2019</t>
  </si>
  <si>
    <t>Russian Foundation for Basic Research; Russian Academy of Sciences</t>
  </si>
  <si>
    <t>This work was supported by the Russian Foundation for Basic Research and by programs of the Russian Academy of Sciences.</t>
  </si>
  <si>
    <t>1028-334X</t>
  </si>
  <si>
    <t>1531-8354</t>
  </si>
  <si>
    <t>DOKL EARTH SCI</t>
  </si>
  <si>
    <t>Dokl. Earth Sci.</t>
  </si>
  <si>
    <t>10.1134/S1028334X11010284</t>
  </si>
  <si>
    <t>726UC</t>
  </si>
  <si>
    <t>WOS:000287750800036</t>
  </si>
  <si>
    <t>Edwards, CTT; Hillary, R; Hoshino, E; Pearce, J; Agnew, DJ</t>
  </si>
  <si>
    <t>Edwards, C. T. T.; Hillary, R.; Hoshino, E.; Pearce, J.; Agnew, D. J.</t>
  </si>
  <si>
    <t>Bioeconomic evaluation of fisheries enforcement effort using a multifleet simulation model</t>
  </si>
  <si>
    <t>FISHERIES RESEARCH</t>
  </si>
  <si>
    <t>Enforcement; Bioeconomic modelling; Patagonian toothfish</t>
  </si>
  <si>
    <t>MANAGEMENT; TOOTHFISH; ECONOMICS; LEVEL</t>
  </si>
  <si>
    <t>The economics of enforcement is traditionally modelled using rational agents assumed to act according to their expected economic utility. In this investigation we derive this expectation by implementing a stochastic simulation model to integrate across associated levels of uncertainty using Monte Carlo. The model is developed for the South Georgia toothfish longline fishery, in which legal catches are strictly managed according to the Commission for the Conservation of Antarctic Marine Living Resources (CCAMLR) conservation measures. Assuming full compliance in the legal fishery, this investigation deals with the role of a fishing patrol vessel (FPV) in excluding illegal fishing vessels. Both legal and illegal fleets are dynamic. For the legal fleet, catch is set by a harvest control rule within the model framework, with vessels leaving if fishing becomes unprofitable. The illegal catch is determined by the number of vessels operating, which predicts catch on the basis of an estimated production function. The exit of illegal vessels is determined by the probability of detection by the FPV. which is a function of days spent on patrol, and estimated profits. The entry of illegal vessels occurs at a fixed mean rate, with the model integrating over uncertainty in this parameter. An obvious trade off exists in that higher levels of illegal activity lead to lower expected returns to the legal fleet. We thus provide a cost-benefit framework for investigating the trade-offs associated with decisions on enforcement in the fishery, and confirm that current enforcement effort levels are well justified. (C) 2010 Elsevier B.V. All rights reserved.</t>
  </si>
  <si>
    <t>[Edwards, C. T. T.; Hillary, R.; Hoshino, E.; Agnew, D. J.] Univ London Imperial Coll Sci Technol &amp; Med, Div Biol, Ascot SL5 7PY, Berks, England; [Edwards, C. T. T.; Pearce, J.; Agnew, D. J.] MRAG Ltd, London W1J 5PN, England</t>
  </si>
  <si>
    <t>Imperial College London</t>
  </si>
  <si>
    <t>Edwards, CTT (corresponding author), Univ London Imperial Coll Sci Technol &amp; Med, Silwood Pk, London SL5 7PY, England.</t>
  </si>
  <si>
    <t>charles.edwards@imperial.ac.uk</t>
  </si>
  <si>
    <t>Hillary, Richard M/L-3300-2013; Hoshino, Eriko/N-7557-2013</t>
  </si>
  <si>
    <t>Hoshino, Eriko/0000-0001-7110-4251</t>
  </si>
  <si>
    <t>COBECOS EU</t>
  </si>
  <si>
    <t>The authors are grateful to E.J. Milner-Gulland and A. Keane for comments on an earlier version of the manuscript and to two anonymous referees whose comments greatly improved the clarity of the paper. This work was funded by the COBECOS EU Framework 6 project.</t>
  </si>
  <si>
    <t>0165-7836</t>
  </si>
  <si>
    <t>FISH RES</t>
  </si>
  <si>
    <t>Fish Res.</t>
  </si>
  <si>
    <t>1-3</t>
  </si>
  <si>
    <t>10.1016/j.fishres.2010.11.007</t>
  </si>
  <si>
    <t>Fisheries</t>
  </si>
  <si>
    <t>718ID</t>
  </si>
  <si>
    <t>WOS:000287113600028</t>
  </si>
  <si>
    <t>Ashford, J; Serra, R; Saavedra, JC; Letelier, J</t>
  </si>
  <si>
    <t>Ashford, Julian; Serra, Rodolfo; Carlos Saavedra, Juan; Letelier, Jaime</t>
  </si>
  <si>
    <t>Otolith chemistry indicates large-scale connectivity in Chilean jack mackerel (Trachurus murphyi), a highly mobile species in the Southern Pacific Ocean</t>
  </si>
  <si>
    <t>Connectivity; Population structure; South Pacific; West Wind Drift; Subtropical Front</t>
  </si>
  <si>
    <t>TOOTHFISH DISSOSTICHUS-ELEGINOIDES; ANTARCTIC CIRCUMPOLAR CURRENT; FISH</t>
  </si>
  <si>
    <t>Chemistry in material laid down prior to capture along the edges of otoliths of Chilean jack mackerel (Trachurus murphy) showed strong spatial heterogeneity corresponding to hydrographic structure across putative population boundaries between (i) the western and eastern South Pacific Ocean, and (ii) Chile and Peru. Yet the chemistry of the otolith nucleus, in material laid down during early life, showed no evidence supporting the existence of these boundaries. Instead, jack mackerel from New Zealand had similar nucleus chemistry to most sampling areas off South America; and those off southern Peru showed similar nucleus chemistry to most sampling areas off Chile. Strong differences were found between southern and northern Peru, and cluster analysis indicated this was caused by a group of fish off northern Peru with chemistry found nowhere else. Most other fish grouped in two clusters, which showed properties suggesting correspondence with a major spawning zone in oceanic water off central Chile, and a smaller area in coastal water off northern Chile, characterized by similar sea surface temperature, lack of westward transport, and low kinetic energy. Rather than discrete populations separated by boundaries, these results suggest complex spatial structure defined by environmentally mediated survival and connectivity: fish caught off New Zealand may be of South American origin; the spawning zone off central Chile may supply fisheries around the South Pacific; and spawning off northern Chile may be an important source of fish caught locally and in Peru. However, northern Peru does not supply areas further south. (C) 2010 Elsevier B.V. All rights reserved.</t>
  </si>
  <si>
    <t>[Ashford, Julian] Old Dominion Univ, Ctr Quantitat Fisheries Ecol, Norfolk, VA 23508 USA; [Serra, Rodolfo; Carlos Saavedra, Juan; Letelier, Jaime] Inst Fomento Pesquero, Valparaiso, Chile</t>
  </si>
  <si>
    <t>Old Dominion University; Instituto de Fomento Pesquero (Valparaiso)</t>
  </si>
  <si>
    <t>Ashford, J (corresponding author), Old Dominion Univ, Ctr Quantitat Fisheries Ecol, 800 W 46th St, Norfolk, VA 23508 USA.</t>
  </si>
  <si>
    <t>jashford@odu.edu</t>
  </si>
  <si>
    <t>Saavedra-Nievas, Juan Carlos/0000-0002-7887-3085</t>
  </si>
  <si>
    <t>Fondo de Investigacion Pesquera (FIP) in Chile</t>
  </si>
  <si>
    <t>We thank the observers from IFOP, IMARPE and NIWA for collecting the jack mackerel and their otoliths, and Scot Birdwhistell for his technical support at the Plasma Mass Spectrometry Facility at Woods Hole Oceanographic Institution. At Old Dominion University, Cynthia Jones and Jose-Luis Blanco provided valuable comments and suggestions; Nakul Ramanna and Roberto Licandeo prepared the samples for ICPMS analysis. Funding was through the Fondo de Investigacion Pesquera (FIP) in Chile.</t>
  </si>
  <si>
    <t>10.1016/j.fishres.2010.11.012</t>
  </si>
  <si>
    <t>WOS:000287113600033</t>
  </si>
  <si>
    <t>Liu, JP; Curry, JA; Zhang, ZH; Li, M; Sun, B; Zhang, L</t>
  </si>
  <si>
    <t>Liu, Jiping; Curry, Judith A.; Zhang, Zhanhai; Li, Ming; Sun, Bo; Zhang, Lin</t>
  </si>
  <si>
    <t>Evaluation of satellite sea surface temperature in the southern hemisphere using Chinese Antarctic research cruise observations</t>
  </si>
  <si>
    <t>INFRARED SATELLITE; CLIMATE RESEARCH; MICROWAVE; VALIDATION; VARIABILITY; RADIOMETER; OCEAN; ICE</t>
  </si>
  <si>
    <t>Satellite-based sea surface temperature (SST) measurements in the Southern Hemisphere from the Advanced Very High Resolution Radiometer (AVHRR), Advanced Microwave Scanning Radiometer for the Earth Observing System (AMSR-E) and Tropical Rainfall Measuring Mission Microwave Imager (TMI) are compared with in-situ SST measurements obtained from the Chinese National Antarctic Research Expeditions (CHINARE) for the period 1989-2005. Relative to the ship observations, which ranged from the tropics to the Southern Ocean, the AVHRR SST has a mean bias/root mean square error (RMSE) of -0.11 degrees C/0.89 degrees C (-0.04 degrees C/0.93 degrees C for daytime and -0.21 degrees C/0.84 degrees C for night-time), the AMSR-E SST has a mean bias/RMSE of 0.39 degrees C/0.86 degrees C (0.46 degrees C/0.91 degrees C for daytime and 0.32 degrees C/0.80 degrees C for night-time), and the TMI SST has a mean bias/RMSE of 0.63 degrees C/1.28 degrees C (0.57 degrees C/1.23 degrees C for daytime and 0.69 degrees C/1.36 degrees C for night-time). In the Southern Ocean, the AVHRR SST shows persistent cold biases during the daytime and night-time, while the opposite is the case for AMSR-E and TMI SSTs. A discussion of the dependence of the SST biases in the presence of the varying ship SST, surface wind speed and atmospheric water vapour is presented. Additionally, the consistency between microwave and infrared SST is examined to identify regimes that are associated with the observed differences.</t>
  </si>
  <si>
    <t>[Liu, Jiping; Curry, Judith A.] Georgia Inst Technol, Sch Earth &amp; Atmospher Sci, Atlanta, GA 30329 USA; [Zhang, Zhanhai; Sun, Bo] Polar Res Inst China, Key Lab Polar Sci, Shanghai 200129, Peoples R China; [Li, Ming; Zhang, Lin] Natl Marine Environm Forecast Ctr, Beijing 100081, Peoples R China</t>
  </si>
  <si>
    <t>University System of Georgia; Georgia Institute of Technology; Polar Research Institute of China; National Marine Environmental Forecasting Center</t>
  </si>
  <si>
    <t>Liu, JP (corresponding author), Georgia Inst Technol, Sch Earth &amp; Atmospher Sci, Atlanta, GA 30329 USA.</t>
  </si>
  <si>
    <t>jliu@eas.gatech.edu</t>
  </si>
  <si>
    <t>LIU, JIPING/N-6696-2016; sun, bo/JFA-9978-2023; Li, Ming/Z-3393-2019</t>
  </si>
  <si>
    <t>NSF OPP Antarctic Program [0838920]; NASA NEWS; National Natural Science Foundation of China [40876099]; National Key Technologies R&amp;D Program of China [2006BAB18B03]; Directorate For Geosciences; Office of Polar Programs (OPP) [0838920] Funding Source: National Science Foundation</t>
  </si>
  <si>
    <t>NSF OPP Antarctic Program; NASA NEWS; National Natural Science Foundation of China(National Natural Science Foundation of China (NSFC)); National Key Technologies R&amp;D Program of China(National Key Technology R&amp;D Program); Directorate For Geosciences; Office of Polar Programs (OPP)(National Science Foundation (NSF)NSF - Directorate for Geosciences (GEO))</t>
  </si>
  <si>
    <t>This research was supported by the NSF OPP Antarctic Program (0838920), NASA NEWS, the National Natural Science Foundation of China (40876099) and the National Key Technologies R&amp;D Program of China (2006BAB18B03). We thank all of those involved in the in-situ SST measurements during the CHINARE.</t>
  </si>
  <si>
    <t>10.1080/01431160903439940</t>
  </si>
  <si>
    <t>717DE</t>
  </si>
  <si>
    <t>WOS:000287022500011</t>
  </si>
  <si>
    <t>Yamane, M; Yokoyama, Y; Miura, H; Maemoku, H; Iwasaki, S; Matsuzaki, H</t>
  </si>
  <si>
    <t>Yamane, Masako; Yokoyama, Yusuke; Miura, Hideki; Maemoku, Hideaki; Iwasaki, Shogo; Matsuzaki, Hiroyuki</t>
  </si>
  <si>
    <t>The last deglacial history of Lutzow-Holm Bay, East Antarctica</t>
  </si>
  <si>
    <t>JOURNAL OF QUATERNARY SCIENCE</t>
  </si>
  <si>
    <t>East Antarctic Ice Sheet; melting history; last deglaciation; cosmogenic nuclides; exposure age</t>
  </si>
  <si>
    <t>SEA-LEVEL; GLACIAL MAXIMUM; LATE PLEISTOCENE; EXPOSURE AGES; ICE-SHEET; MELTING HISTORY; LAND; BE-10</t>
  </si>
  <si>
    <t>Past fluctuations of the Antarctic ice sheet are poorly understood because of a lack of datable materials, radiocarbon reservoir ages and severe environments. Direct evidence of the timing of ice retreat is important in order to understand the Antarctic contribution to global sea-level rise since the Last Glacial Maximum. Here we report the first exposure ages constraining the timing of the last deglaciation from Lutzow-Holm Bay, East Antarctica. Our data suggest that the final retreat of the ice sheet in the region occurred rapidly in the early Holocene and the reduction of the ice thickness in the region was at least 350 m. This occurred after the major Northern Hemisphere deglaciation. Copyright (C) 2011 John Wiley &amp; Sons, Ltd.</t>
  </si>
  <si>
    <t>[Yamane, Masako; Yokoyama, Yusuke] Univ Tokyo, Atmosphere &amp; Ocean Res Inst, Chiba 2778564, Japan; [Yamane, Masako; Yokoyama, Yusuke] Univ Tokyo, Grad Sch Sci, Dept Earth &amp; Planetary Sci, Tokyo 113, Japan; [Yokoyama, Yusuke] Japan Agcy Marine Sci &amp; Technol JAMSTEC, Inst Biogeosci, Kanagawa, Japan; [Miura, Hideki] Natl Inst Polar Res, Tokyo, Japan; [Maemoku, Hideaki] Hiroshima Univ, Program Sci Technol &amp; Social Studies Educ, Grad Sch Educ, Hiroshima, Japan; [Iwasaki, Shogo] Kitami Inst Technol, Management Sect Intellectual Property, Kitami, Hokkaido 090, Japan; [Matsuzaki, Hiroyuki] Univ Tokyo, Dept Nucl Engn &amp; Management, Sch Engn, Tokyo, Japan</t>
  </si>
  <si>
    <t>University of Tokyo; University of Tokyo; Japan Agency for Marine-Earth Science &amp; Technology (JAMSTEC); Research Organization of Information &amp; Systems (ROIS); National Institute of Polar Research (NIPR) - Japan; Hiroshima University; Kitami Institute of Technology; University of Tokyo</t>
  </si>
  <si>
    <t>Yokoyama, Y (corresponding author), Univ Tokyo, Atmosphere &amp; Ocean Res Inst, 5-1-5 Kashiwanaho, Chiba 2778564, Japan.</t>
  </si>
  <si>
    <t>yokoyama@aori.u-tokyo.ac.jp</t>
  </si>
  <si>
    <t>Yokoyama, Yusuke/N-9623-2013</t>
  </si>
  <si>
    <t>Yokoyama, Yusuke/0000-0001-7869-5891; Yamane, Masako/0000-0002-5063-0719</t>
  </si>
  <si>
    <t>Environmental Research Fund [RF-081]; Japan Society for the Promotion of Science KAKENHI [21674003, 20403002, 19340158, 18340163]; Global COE; Grants-in-Aid for Scientific Research [21253001] Funding Source: KAKEN</t>
  </si>
  <si>
    <t>Environmental Research Fund; Japan Society for the Promotion of Science KAKENHI(Ministry of Education, Culture, Sports, Science and Technology, Japan (MEXT)Japan Society for the Promotion of ScienceGrants-in-Aid for Scientific Research (KAKENHI)); Global COE(Ministry of Education, Culture, Sports, Science and Technology, Japan (MEXT)); Grants-in-Aid for Scientific Research(Ministry of Education, Culture, Sports, Science and Technology, Japan (MEXT)Japan Society for the Promotion of ScienceGrants-in-Aid for Scientific Research (KAKENHI))</t>
  </si>
  <si>
    <t>We thank K. Moriwaki for valuable discussion of EAIS geology. We thank K. Moriwaki for valuable discussion of EAIS geology. The manuscript has greatly benefitted from the comments of two anomymous reviewers. The work presented here was partly supported by the Environmental Research Fund (RF-081), Japan Society for the Promotion of Science KAKENHI (21674003, 20403002, 19340158, 18340163) and Global COE.</t>
  </si>
  <si>
    <t>0267-8179</t>
  </si>
  <si>
    <t>1099-1417</t>
  </si>
  <si>
    <t>J QUATERNARY SCI</t>
  </si>
  <si>
    <t>J. Quat. Sci.</t>
  </si>
  <si>
    <t>10.1002/jqs.1465</t>
  </si>
  <si>
    <t>718LW</t>
  </si>
  <si>
    <t>WOS:000287124100002</t>
  </si>
  <si>
    <t>Bromley, GRM; Hall, BL; Schaefer, JM; Winckler, G; Todd, CE; Rademaker, KM</t>
  </si>
  <si>
    <t>Bromley, Gordon R. M.; Hall, Brenda L.; Schaefer, Joerg M.; Winckler, Gisela; Todd, Claire E.; Rademaker, Kurt M.</t>
  </si>
  <si>
    <t>Glacier fluctuations in the southern Peruvian Andes during the late-glacial period, constrained with cosmogenic 3He</t>
  </si>
  <si>
    <t>late-glacial reversal; last termination; Tropics; cosmogenic helium-3; glaciers</t>
  </si>
  <si>
    <t>ANTARCTIC COLD REVERSAL; SURFACE EXPOSURE AGES; YOUNGER DRYAS; CORDILLERA BLANCA; ICE-CORE; PRODUCTION-RATES; CLIMATE; BE-10; MORAINES; RADIOCARBON</t>
  </si>
  <si>
    <t>The occurrence of pronounced climate reversals during the last glacial termination has long been recognised in palaeoclimate records from both hemispheres and from high to low latitudes. Accurate constraint of both the timing and magnitude of events, such as the Younger Dryas and Antarctic Cold Reversal, is vital in order to test different hypotheses for the causes and propagation of abrupt climate change. However, in contrast to higher-latitude regions, well-dated records from the Tropics are rare and the structure of late-glacial tropical climate remains uncertain. As a step toward addressing this problem, we present an in situ cosmogenic He-3 surface exposure chronology from Nevado Coropuna, southern Peru, documenting a significant fluctuation of the ice margin during the late-glacial period. Ten tightly clustered ages from a pair of moraines located halfway between the modern glacier and the Last Glacial Maximum terminus range from 11.9 to 13.9 ka and give an arithmetic mean age of 12.8 +/- 0.7 ka (1 sigma). These data constitute direct evidence for a readvance, or prolonged stillstand, of glaciers in the arid Andes of southwestern Peru. Copyright (C) 2011 John Wiley &amp; Sons, Ltd.</t>
  </si>
  <si>
    <t>[Bromley, Gordon R. M.; Hall, Brenda L.; Rademaker, Kurt M.] Univ Maine, Dept Earth Sci, Climate Change Inst, Edward T Bryand Global Sci Ctr, Orono, ME 04469 USA; [Schaefer, Joerg M.; Winckler, Gisela] Columbia Univ, Lamont Doherty Earth Observ, Dept Earth &amp; Environm Sci, Palisades, NY USA; [Todd, Claire E.] Pacific Lutheran Univ, Dept Geol Sci, Rieke Sci Ctr, Tacoma, WA 98447 USA</t>
  </si>
  <si>
    <t>University of Maine System; University of Maine Orono; Columbia University; Pacific Lutheran University</t>
  </si>
  <si>
    <t>Bromley, GRM (corresponding author), Univ Maine, Dept Earth Sci, Climate Change Inst, Edward T Bryand Global Sci Ctr, Orono, ME 04469 USA.</t>
  </si>
  <si>
    <t>gordon.bromley@umit.maine.edu</t>
  </si>
  <si>
    <t>Rademaker, Kurt/AAH-1075-2021</t>
  </si>
  <si>
    <t>Rademaker, Kurt/0000-0001-5676-4884</t>
  </si>
  <si>
    <t>Dan and Betty Churchill Foundation; Geological Society of America Graduate Student Research Grant; Sigma Xi; Directorate For Geosciences; Division Of Earth Sciences [1003471] Funding Source: National Science Foundation</t>
  </si>
  <si>
    <t>Dan and Betty Churchill Foundation; Geological Society of America Graduate Student Research Grant; Sigma Xi; Directorate For Geosciences; Division Of Earth Sciences(National Science Foundation (NSF)NSF - Directorate for Geosciences (GEO))</t>
  </si>
  <si>
    <t>Funding for fieldwork was generously provided by the Dan and Betty Churchill Foundation, the Geological Society of America Graduate Student Research Grant programme, and the Sigma Xi Grants-in-aid-of-research programme. Ermitano Zuniga and Brian Donahue provided valuable assistance in the field. Elemental analyses were performed by Marty Yates at the University of Maine Electron Microprobe Laboratory (Department of Earth Sciences). Nat Lifton and Aaron Putnam contributed constructive input and discussion. Two reviewers and the editor provided insightful comments that greatly improved this manuscript. To all the above, our sincere thanks and gratitude. This is Lamont-Doherty Earth Observatory Contribution 7365.</t>
  </si>
  <si>
    <t>10.1002/jqs.1424</t>
  </si>
  <si>
    <t>WOS:000287124100006</t>
  </si>
  <si>
    <t>Sears, DWG; Yozzo, J; Ragland, C</t>
  </si>
  <si>
    <t>Sears, Derek W. G.; Yozzo, Jordan; Ragland, Christina</t>
  </si>
  <si>
    <t>The natural thermoluminescence of Antarctic meteorites and their terrestrial ages and orbits: A 2010 update</t>
  </si>
  <si>
    <t>METEORITICS &amp; PLANETARY SCIENCE</t>
  </si>
  <si>
    <t>ORDINARY CHONDRITES; THERMO-LUMINESCENCE; COSMOGENIC NUCLIDES; H-CHONDRITES; VICTORIA LAND; ACCELERATOR; EXPOSURE; MODEL; RATES; C-14</t>
  </si>
  <si>
    <t>We have examined the relationship between natural thermoluminescence (TL) and (26)Al in 120 Antarctic meteorites in order to explore the orbital history and terrestrial ages of these meteorites. Our results confirm the observations of Hasan et al. (1987) which were based on 23 meteorites. For most meteorites there was a positive correlation between natural TL and (26)Al, reflecting their similarity in decay rate under Antarctic conditions and thus in terrestrial age. For a small group with low TL and high (26)Al a small perihelion was proposed. Within this group, natural TL decreases with terrestrial age as determined by (36)Cl measurements, although the rate of TL decay is faster (half-life approximately 10 ka) and the ages that can be determined are smaller (&lt; 200 ka) than for most meteorites. The faster decay rate and lower natural TL levels are a reflection of recent exposure to higher radiation doses and higher temperatures, since this history would populate less stable TL traps with smaller electron densities. We sort the 120 meteorites by perihelion and terrestrial age. The normal perihelion group range up to approximately 1000 ka and the small perihelion group range up to approximately 200 ka. An intermediate perihelion group tends to have short terrestrial ages (20-60 ka). There is acceptable agreement between most (34 out of 43) of our present terrestrial age estimates and those determined by isotopic means, the exceptions reflecting complex irradiation histories, long burial times in the Antarctic, or other issues.</t>
  </si>
  <si>
    <t>[Sears, Derek W. G.; Yozzo, Jordan; Ragland, Christina] Univ Arkansas, Arkansas Ctr Space &amp; Planetary Sci, Fayetteville, AR 72701 USA; [Sears, Derek W. G.; Ragland, Christina] Univ Arkansas, Dept Chem &amp; Biochem, Fayetteville, AR 72701 USA; [Yozzo, Jordan] Univ Tulsa, Dept Geosci, Tulsa, OK 74104 USA</t>
  </si>
  <si>
    <t>University of Arkansas System; University of Arkansas Fayetteville; University of Arkansas System; University of Arkansas Fayetteville; University of Tulsa</t>
  </si>
  <si>
    <t>Sears, DWG (corresponding author), Univ Arkansas, Arkansas Ctr Space &amp; Planetary Sci, Fayetteville, AR 72701 USA.</t>
  </si>
  <si>
    <t>dsears@uark.edu</t>
  </si>
  <si>
    <t>NASA (cosmochemistry); NSF (REU site); Division Of Astronomical Sciences; Direct For Mathematical &amp; Physical Scien [0851150] Funding Source: National Science Foundation</t>
  </si>
  <si>
    <t>NASA (cosmochemistry)(National Aeronautics &amp; Space Administration (NASA)); NSF (REU site)(National Science Foundation (NSF)); Division Of Astronomical Sciences; Direct For Mathematical &amp; Physical Scien(National Science Foundation (NSF)NSF - Directorate for Mathematical &amp; Physical Sciences (MPS))</t>
  </si>
  <si>
    <t>We thank Tim Jull and an anonymous reviewer for comments that helped clarify and otherwise improve the paper, Hazel Sears for an internal review and proofing of the paper, and NASA (cosmochemistry) and NSF (REU site) programs for support. We also thank our many colleagues interested in thermoluminescence for many years of support and encouragement during the natural TL survey of Antarctic meteorites and Charles Melcher, Steve Sutton, Robert Walker, Louis Rancitelli, Bill Cassidy, Don Bogard, Hermann Zimmerman, Fouad Hasan, Paul Benoit, and the Meteorite Working Group for their various contributions to establishing the survey and enabling us to participate in this way to one of the great science adventures, the recovery of meteorites from Antarctica.</t>
  </si>
  <si>
    <t>1086-9379</t>
  </si>
  <si>
    <t>METEORIT PLANET SCI</t>
  </si>
  <si>
    <t>Meteorit. Planet. Sci.</t>
  </si>
  <si>
    <t>10.1111/j.1945-5100.2010.01139.x</t>
  </si>
  <si>
    <t>719YR</t>
  </si>
  <si>
    <t>WOS:000287247900005</t>
  </si>
  <si>
    <t>Roberts, R</t>
  </si>
  <si>
    <t>Roberts, Ron</t>
  </si>
  <si>
    <t>Psychology at the end of the world</t>
  </si>
  <si>
    <t>PSYCHOLOGIST</t>
  </si>
  <si>
    <t>POLAR; WINTER</t>
  </si>
  <si>
    <t>Psychological research in Antarctica addresses a number of key issues that are important to understanding how people (as individuals and groups) function in isolated and extreme environments: the selection of appropriate personnel to work/live there; the processes of adaptation to the conditions; and the psychological consequences (both beneficial and detrimental) of prolonged residence there. The importance of these issues underpins the exploits of the earliest explorers and continues in present-day attempts to utilise the Antarctic environment as an analogue for deep space missions.</t>
  </si>
  <si>
    <t>Kingston Univ, Kingston upon Thames KT1 2EE, Surrey, England</t>
  </si>
  <si>
    <t>Kingston University</t>
  </si>
  <si>
    <t>Roberts, R (corresponding author), Kingston Univ, Kingston upon Thames KT1 2EE, Surrey, England.</t>
  </si>
  <si>
    <t>r.a.roberts@kingston.ac.uk</t>
  </si>
  <si>
    <t>BRITISH PSYCHOLOGICAL SOC</t>
  </si>
  <si>
    <t>LEICESTER</t>
  </si>
  <si>
    <t>ST ANDREWS HOUSE, 48 PRINCESS RD EAST, LEICESTER LE1 7DR, LEICS, ENGLAND</t>
  </si>
  <si>
    <t>0952-8229</t>
  </si>
  <si>
    <t>Psychologist</t>
  </si>
  <si>
    <t>Psychology, Multidisciplinary</t>
  </si>
  <si>
    <t>Psychology</t>
  </si>
  <si>
    <t>704HE</t>
  </si>
  <si>
    <t>WOS:000286040900023</t>
  </si>
  <si>
    <t>Wickham, SA; Steinmair, U; Kamennaya, N</t>
  </si>
  <si>
    <t>Wickham, Stephen A.; Steinmair, Ulrike; Kamennaya, Nina</t>
  </si>
  <si>
    <t>Ciliate distributions and forcing factors in the Amundsen and Bellingshausen Seas (Antarctic)</t>
  </si>
  <si>
    <t>AQUATIC MICROBIAL ECOLOGY</t>
  </si>
  <si>
    <t>Ciliate community; Antarctic species abundance</t>
  </si>
  <si>
    <t>FAMILY STROMBIDIIDAE CILIOPHORA; MARGINAL ICE-ZONE; ISLES-OF-SHOALS; TAXONOMIC DESCRIPTIONS; COMMUNITY STRUCTURE; PHYTOPLANKTON GROWTH; MEDITERRANEAN SEA; GRAZING IMPACT; SOUTHERN-OCEAN; SCOTIA SEAS</t>
  </si>
  <si>
    <t>Data for ciliate abundance, biomass and taxonomic composition, along with relevant biotic and abiotic parameters, were gathered from 9 profiles in the Bellingshausen and Amundsen Seas (Southern Ocean) during late summer and early autumn 2006. A total of 70 species were found, with extrapolations using species accumulation curves suggesting that the true diversity lay between 77 and 90 species. Ciliate abundance and biomass were low, but not unexpectedly so, given the time of year and productivity of the system. Despite the harsh environment, species richness was not less than that found for protists from more temperate habitats, and declined with depth less steeply than abundance and biomass. Ciliate biomass was driven primarily by productivity, with tighter correlations between chlorophyll a (chl a) and either abundance or biomass than those seen from other marine systems. Community composition was also driven by productivity, with a principal components analysis (PCA) on species data showing the first axis strongly correlated with productivity parameters. Moreover, species abundance distributions (SADs) were most often best matched by the geometric distribution, thought to be expected when relatively few parameters determine species distributions. Abundance and diversity were also compared using settled and quantitative protargol stain (QPS) samples. QPS samples had lower mean abundance, higher total species richness and higher taxonomic resolution than did the settled samples. However, per-sample species (or morphotype) richness was the same in settled and QPS samples.</t>
  </si>
  <si>
    <t>[Wickham, Stephen A.; Steinmair, Ulrike] Salzburg Univ, Dept Organismal Biol, A-5020 Salzburg, Austria; [Kamennaya, Nina] Hebrew Univ Jerusalem, Dept Plant &amp; Environm Sci, IL-91904 Jerusalem, Israel</t>
  </si>
  <si>
    <t>Salzburg University; Hebrew University of Jerusalem</t>
  </si>
  <si>
    <t>Wickham, SA (corresponding author), Salzburg Univ, Dept Organismal Biol, Hellbrunnerstr 34, A-5020 Salzburg, Austria.</t>
  </si>
  <si>
    <t>steve.wickham@sbg.ac.at</t>
  </si>
  <si>
    <t>Kamennaya, Nina/AAQ-6693-2020</t>
  </si>
  <si>
    <t>Kamennaya, Nina/0000-0001-7736-8522</t>
  </si>
  <si>
    <t>Austrian FWF [P18822]; Austrian Science Fund (FWF) [P18822] Funding Source: Austrian Science Fund (FWF)</t>
  </si>
  <si>
    <t>Austrian FWF(Austrian Science Fund (FWF)); Austrian Science Fund (FWF)(Austrian Science Fund (FWF))</t>
  </si>
  <si>
    <t>We thank Captain U. Pahl and the crew of RV 'Polarstern' for their help and support, and cruise leader K. Gohl for the many stations and smooth running of Cruise ANT XXIII/4. T. Walter and E. Neubacher gave invaluable help during the cruise, and C. Lorenz and A. Pitt helped immeasurably with the packing before the cruise, and counting the samples afterwards. The manuscript was improved by the comments of U.-G. Berninger and 2 anonymous reviewers. This work was funded by the Austrian FWF grant P18822 to S.A.W.</t>
  </si>
  <si>
    <t>0948-3055</t>
  </si>
  <si>
    <t>1616-1564</t>
  </si>
  <si>
    <t>AQUAT MICROB ECOL</t>
  </si>
  <si>
    <t>Aquat. Microb. Ecol.</t>
  </si>
  <si>
    <t>10.3354/ame01468</t>
  </si>
  <si>
    <t>Ecology; Marine &amp; Freshwater Biology; Microbiology</t>
  </si>
  <si>
    <t>Environmental Sciences &amp; Ecology; Marine &amp; Freshwater Biology; Microbiology</t>
  </si>
  <si>
    <t>719KP</t>
  </si>
  <si>
    <t>WOS:000287203900001</t>
  </si>
  <si>
    <t>Stocker, BD; Strassmann, K; Joos, F</t>
  </si>
  <si>
    <t>Stocker, B. D.; Strassmann, K.; Joos, F.</t>
  </si>
  <si>
    <t>Sensitivity of Holocene atmospheric CO2 and the modern carbon budget to early human land use: analyses with a process-based model</t>
  </si>
  <si>
    <t>BIOGEOSCIENCES</t>
  </si>
  <si>
    <t>SOIL ORGANIC-CARBON; CLIMATE-CHANGE; ANTARCTIC ICE; TERRESTRIAL; CYCLE; DYNAMICS; VARIABILITY; VEGETATION; COVER; MANAGEMENT</t>
  </si>
  <si>
    <t>A Dynamic Global Vegetation model coupled to a simplified Earth system model is used to simulate the impact of anthropogenic land cover changes (ALCC) on Holocene atmospheric CO2 and the contemporary carbon cycle. The model results suggest that early agricultural activities cannot explain the mid to late Holocene CO2 rise of 20 ppm measured on ice cores and that proposed upward revisions of Holocene ALCC imply a smaller contemporary terrestrial carbon sink. A set of illustrative scenarios is applied to test the robustness of these conclusions and to address the large discrepancies between published ALCC reconstructions. Simulated changes in atmospheric CO2 due to ALCC are less than 1 ppm before 1000AD and 30 ppm at 2004AD when the HYDE3.1 ALCC reconstruction is prescribed for the past 12 000 years. Cumulative emissions of 69 GtC at 1850 and 233 GtC at 2004AD are comparable to earlier estimates. CO2 changes due to ALCC exceed the simulated natural interannual variability only after 1000 AD. To consider evidence that land area used per person was higher before than during early industrialisation, agricultural areas from HYDE3.1 were increased by a factor of two prior to 1700AD (scenario H2). For the H2 scenario, the contemporary terrestrial carbon sink required to close the atmospheric CO2 budget is reduced by 0.5 GtC yr(-1). Simulated CO2 remains small even in scenarios where average land use per person is increased beyond the range of published estimates. Even extreme assumptions for preindustrial land conversion and high per- capita land use do not result in simulated CO2 emissions that are sufficient to explain the magnitude and the timing of the late Holocene CO2 increase.</t>
  </si>
  <si>
    <t>[Stocker, B. D.; Strassmann, K.; Joos, F.] Univ Bern, Inst Phys, CH-3012 Bern, Switzerland; [Stocker, B. D.; Strassmann, K.; Joos, F.] Univ Bern, Oeschger Ctr Climate Change Res, CH-3012 Bern, Switzerland</t>
  </si>
  <si>
    <t>Stocker, BD (corresponding author), Univ Bern, Inst Phys, CH-3012 Bern, Switzerland.</t>
  </si>
  <si>
    <t>beni@climate.unibe.ch</t>
  </si>
  <si>
    <t>Stocker, Benjamin David/K-3194-2015; Joos, Fortunat/B-4118-2018</t>
  </si>
  <si>
    <t>Stocker, Benjamin David/0000-0003-2697-9096; Joos, Fortunat/0000-0002-9483-6030</t>
  </si>
  <si>
    <t>Swiss National Science Foundation through the National Centre of Competence in Research (NCCR) Climate; European Commission [243908]</t>
  </si>
  <si>
    <t>Swiss National Science Foundation through the National Centre of Competence in Research (NCCR) Climate(Swiss National Science Foundation (SNSF)); European Commission(European Union (EU)European Commission Joint Research Centre)</t>
  </si>
  <si>
    <t>We thank R. Spahni, J. Kaplan, K. Krumhardt, D. Frank, M. Steinacher, H. Fischer, and the reviewers for comments, support, and language revisions. We appreciate support by the Swiss National Science Foundation through the National Centre of Competence in Research (NCCR) Climate and by the European Commission through the FP7 project Past4Future (grant no. 243908).</t>
  </si>
  <si>
    <t>1726-4170</t>
  </si>
  <si>
    <t>1726-4189</t>
  </si>
  <si>
    <t>Biogeosciences</t>
  </si>
  <si>
    <t>10.5194/bg-8-69-2011</t>
  </si>
  <si>
    <t>713GG</t>
  </si>
  <si>
    <t>WOS:000286722500006</t>
  </si>
  <si>
    <t>Sandroni, S; Talarico, FM</t>
  </si>
  <si>
    <t>Sandroni, Sonia; Talarico, Franco M.</t>
  </si>
  <si>
    <t>The record of Miocene climatic events in AND-2A drill core (Antarctica): Insights from provenance analyses of basement clasts</t>
  </si>
  <si>
    <t>GLOBAL AND PLANETARY CHANGE</t>
  </si>
  <si>
    <t>provenance; clast; Miocene; East Antarctic Ice Sheet; McMurdo Sound; Antarctica; ANDRILL</t>
  </si>
  <si>
    <t>SOUTH-VICTORIA-LAND; ROSS SEA; MCMURDO SOUND; ICE-SHEET; GLACIER AREA; LATE OLIGOCENE; LATE EOCENE; GEOCHRONOLOGY; EVOLUTION; GEOLOGY</t>
  </si>
  <si>
    <t>This paper includes the results of a detailed quantitative provenance investigation on gravel-size clasts occurring within the late Early to Late Miocene sedimentary glacimarine section recovered for the first time by the AND-2A core in the SW sector of the Ross Sea (southern McMurdo Sound, Antarctica). This period of time is of crucial interest, as it includes two of the major Cenozoic events in the global climatic evolution: the mid-Miocene climatic optimum and the middle Miocene climate transition. Petrographical and mineral chemistry data on basement clasts allow to individuate two different diagnostic clast assemblages, which clearly suggest two specific sectors of southern Victoria Land as the most likely sources: the Mulock-Skelton glacier and the Koettlitz-Blue glacier regions. Distribution patterns reveal high fluctuations of the detritus source areas throughout the investigated core interval, variations which can be interpreted as the direct result of an evolving McMurdo Sound paleogeography during the late Early to Late Miocene. Consistently with sedimentological studies, gravel-fraction clast distribution patterns clearly testify that the Antarctic ice sheet experienced a dramatic contraction at ca. 17.35 +/- 0.14 Ma (likely correlated to the onset of the climatic optimum), and in a</t>
  </si>
  <si>
    <t>[Sandroni, Sonia] Univ Siena, Museo Nazl Antartide, I-53100 Siena, Italy; [Talarico, Franco M.] Univ Siena, Dipartimento Sci Terra, I-53100 Siena, Italy</t>
  </si>
  <si>
    <t>University of Siena; University of Siena</t>
  </si>
  <si>
    <t>Sandroni, S (corresponding author), Univ Siena, Museo Nazl Antartide, Via Laterina 8, I-53100 Siena, Italy.</t>
  </si>
  <si>
    <t>sandroni@unisi.it</t>
  </si>
  <si>
    <t>Sandroni, Sonia/C-7188-2008; talarico, franco/G-9472-2012</t>
  </si>
  <si>
    <t>Sandroni, Sonia/0000-0002-7941-7145; talarico, franco/0000-0002-7254-4301</t>
  </si>
  <si>
    <t>Italian Programma Nazionale di Ricerche in Antartide</t>
  </si>
  <si>
    <t>Italian Programma Nazionale di Ricerche in Antartide(Ministry of Education, Universities and Research (MIUR))</t>
  </si>
  <si>
    <t>The ANDRILL project is a multinational collaboration between the Antarctic Programmes of Germany, Italy, New Zealand and the United States. We would like to thank the whole ANDRILL-SMS Science Team for their contribution while on the ice. This research was carried out with the financial support of the Italian Programma Nazionale di Ricerche in Antartide and PRIN2008.</t>
  </si>
  <si>
    <t>0921-8181</t>
  </si>
  <si>
    <t>1872-6364</t>
  </si>
  <si>
    <t>GLOBAL PLANET CHANGE</t>
  </si>
  <si>
    <t>Glob. Planet. Change</t>
  </si>
  <si>
    <t>10.1016/j.gloplacha.2010.10.002</t>
  </si>
  <si>
    <t>717VE</t>
  </si>
  <si>
    <t>WOS:000287074700004</t>
  </si>
  <si>
    <t>Boström, S; Holovachov, O; Nadler, S</t>
  </si>
  <si>
    <t>Bostrom, Sven; Holovachov, Oleksandr; Nadler, Steven A.</t>
  </si>
  <si>
    <t>Description of Scottnema lindsayae Timm, 1971 (Rhabditida: Cephalobidae) from Taylor Valley, Antarctica and its phylogenetic relationship</t>
  </si>
  <si>
    <t>Antarctica; Cephalobidae; Description; Morphology; Nematoda; Phylogeny; Scottnema; SEM; Taxonomy; Taylor Valley</t>
  </si>
  <si>
    <t>MCMURDO DRY VALLEYS; SOIL INVERTEBRATES; MODELING ANALYSIS; LIFE-CYCLE; NEMATODA; DIVERSITY; DNA; ANHYDROBIOSIS; ENVIRONMENT; DISPERSAL</t>
  </si>
  <si>
    <t>The endemic Antarctic nematode Scottnema lindsayae is described from specimens collected in Taylor Valley, McMurdo Dry Valleys, Victoria Land. The recently collected material is compared with the original description and other subsequent descriptions of the species. A more complete scanning electron microscopy (SEM) study of the species is presented. The phylogenetic position of S. lindsayae is inferred using a secondary structure-based alignment of a partial sequence of nuclear Large Subunit (LSU) ribosomal DNA. Phylogenetic trees were inferred using base-paired substitution models implemented in PHASE 2 software and Bayesian inference, and show S. lindsayae as the sister group to Stegelletina taxa.</t>
  </si>
  <si>
    <t>[Bostrom, Sven] Swedish Museum Nat Hist, Dept Invertebrate Zool, S-10405 Stockholm, Sweden; [Holovachov, Oleksandr] Univ Calif Riverside, Dept Nematol, Riverside, CA 92521 USA; [Nadler, Steven A.] Univ Calif Davis, Dept Nematol, Davis, CA 95616 USA</t>
  </si>
  <si>
    <t>Swedish Museum of Natural History; University of California System; University of California Riverside; University of California System; University of California Davis</t>
  </si>
  <si>
    <t>Boström, S (corresponding author), Swedish Museum Nat Hist, Dept Invertebrate Zool, Box 50007, S-10405 Stockholm, Sweden.</t>
  </si>
  <si>
    <t>sven.bostrom@nrm.se</t>
  </si>
  <si>
    <t>NSF [DEB-0731516]</t>
  </si>
  <si>
    <t>NSF(National Science Foundation (NSF))</t>
  </si>
  <si>
    <t>We acknowledge the support for fieldwork by the Swedish Polar Research Secretariat and the USA. National Science Foundation (NSF) Office of Polar Programs to Olle Karlsson who conducted the field sampling in Taylor Valley during the expedition SWEDARP 2008/09. This study was supported in part by an award from the NSF Partnerships for Enhancing Expertise in Taxonomy (PEET) program (DEB-0731516).</t>
  </si>
  <si>
    <t>10.1007/s00300-010-0850-8</t>
  </si>
  <si>
    <t>709WH</t>
  </si>
  <si>
    <t>Green Published, hybrid, Green Submitted</t>
  </si>
  <si>
    <t>WOS:000286471600001</t>
  </si>
  <si>
    <t>Schroeter, B; Green, TGA; Pannewitz, S; Schlensog, M; Sancho, LG</t>
  </si>
  <si>
    <t>Schroeter, Burkhard; Green, T. G. Allan; Pannewitz, Stefan; Schlensog, Mark; Sancho, Leopoldo G.</t>
  </si>
  <si>
    <t>Summer variability, winter dormancy: lichen activity over 3 years at Botany Bay, 77°S latitude, continental Antarctica</t>
  </si>
  <si>
    <t>Snow fall; Hydration; Productivity; Stress</t>
  </si>
  <si>
    <t>CHLOROPHYLL-A FLUORESCENCE; PHOTOSYNTHETIC ACTIVITY; CO2 EXCHANGE; PHYSIOLOGICAL INTERPRETATION; UMBILICARIA-APRINA; LECANORA-MURALIS; CRUSTOSE LICHEN; WATER RELATIONS; GREEN ALGAL; PHOTOBIONT</t>
  </si>
  <si>
    <t>Lichens make up a major component of Antarctic vegetation; they are also poikilohydric and are metabolically active only when hydrated. Logistic constraints have meant that we have little idea of the length, timing or environmental conditions of activity periods of lichens. We present the results of a three-year monitoring of the activity of the lichen Umbilicaria aprina at Botany Bay (77A degrees S latitude) in the Ross Sea region, continental Antarctica. Chlorophyll fluorescence parameters that allowed hydrated metabolic activity to be detected were recorded with a special fluorometer at 2- or 3-h intervals. Air and thallus temperatures and incident PPFD (photosynthetic photon flux density, mu mol photon m(-2) s(-1)) were also recorded at hourly intervals. Activity was extremely variable between months and years and, overall, lichen was active for 7% of the 28-month period. Spring snow cover often delayed the onset of activity. Whereas the period immediately after snow melt was often very productive, the later months, January to March, often showed low or no activity. Mean thallus temperature when active was just above zero degrees and much higher than the annual mean air temperature of -15 to -19A degrees C. Because major snow melts occurred when incident radiation was high, the lichen was also subjected to very high PPFD when active, often more than 2,500 mu mol photon m(-2) s(-1). The major environmental stress appeared to be high light rather than low temperatures, and the variability of early season snow fall means that prediction of activity will be very difficult.</t>
  </si>
  <si>
    <t>[Schroeter, Burkhard; Pannewitz, Stefan; Schlensog, Mark] Univ Kiel, Inst Bot, D-24098 Kiel, Germany; [Green, T. G. Allan] Univ Waikato, Hamilton, New Zealand; [Green, T. G. Allan; Sancho, Leopoldo G.] Univ Complutense, Fac Farm, E-28040 Madrid, Spain</t>
  </si>
  <si>
    <t>University of Kiel; University of Waikato; Complutense University of Madrid</t>
  </si>
  <si>
    <t>Schroeter, B (corresponding author), Univ Kiel, Leibniz Inst Sci &amp; Math Educ, Olshausenstr 62, D-24098 Kiel, Germany.</t>
  </si>
  <si>
    <t>schroeter@ipn.uni-kiel.de</t>
  </si>
  <si>
    <t>Sancho, leopoldo G./H-2974-2013; SANCHO, LEOPOLDO/G-9120-2015</t>
  </si>
  <si>
    <t>SANCHO, LEOPOLDO/0000-0002-4751-7475</t>
  </si>
  <si>
    <t>Deutsche Forschungs-Gemeinschaft (DFG) [SCHR 473/4-3]; Spanish MCI [CTM2009-12838-C01]; Antarctic research programme; Vegetal II, Farmacia, Universidad Complutense, Madrid, Spain</t>
  </si>
  <si>
    <t>Deutsche Forschungs-Gemeinschaft (DFG)(German Research Foundation (DFG)); Spanish MCI(Spanish Government); Antarctic research programme; Vegetal II, Farmacia, Universidad Complutense, Madrid, Spain</t>
  </si>
  <si>
    <t>B.S., S.P. and M.S. gratefully acknowledge financial support by Deutsche Forschungs-Gemeinschaft (DFG SCHR 473/4-3) and by Spanish MCI (CTM2009-12838-C01). TGAG thanks Professor Bryan Gould, Vice-Chancellor of Waikato University for continual funding of the Antarctic research programme. Antarctica New Zealand is thanked for providing logistics both for the research in Antarctica and movements to Antarctica and their staff for assisting with reading and removal of the monitoring equipment. TGAG was supported by Ramon y Cajal Fellowship at Vegetal II, Farmacia, Universidad Complutense, Madrid, Spain, and by FRST grant-Understanding, valuing and protecting Antarctica's unique terrestrial ecosystems: Predicting biocomplexity in Dry Valley ecosystems, during the writing of this paper. A special thanks goes to Prof. Ute Harms, IPN, Kiel, Germany, for support to BS.</t>
  </si>
  <si>
    <t>10.1007/s00300-010-0851-7</t>
  </si>
  <si>
    <t>WOS:000286471600002</t>
  </si>
  <si>
    <t>Crockett, EL</t>
  </si>
  <si>
    <t>Crockett, Elizabeth L.</t>
  </si>
  <si>
    <t>Antioxidant potential is positively correlated with mitochondrial enzyme activity in Antarctic and non-Antarctic notothenioid fishes</t>
  </si>
  <si>
    <t>Antarctic and non-Antarctic notothenioids; Antioxidant defense; Citrate synthase; ICEFISH cruise</t>
  </si>
  <si>
    <t>NEW-ZEALAND; ENERGY-METABOLISM; COLD ADAPTATION; MUSCLE; PEROXIDATION; ULTRASTRUCTURE; SUSCEPTIBILITY; ACCLIMATION; EXPRESSION; TISSUES</t>
  </si>
  <si>
    <t>Antarctic notothenioid fishes possess high oxidative capacities, large amounts of intracellular lipid combined with biological membranes enriched in polyunsaturated fatty acids, all of which could make these animals susceptible to oxidative injury, particularly in the form of lipid peroxidation. The central objective in this study was to examine capacities for oxidative metabolism and total antioxidant defense in Antarctic and non-Antarctic notothenioids in order to test the hypothesis that the cold-bodied Antarctic fishes possess elevated activities of citrate synthase (CS), matched by a more robust antioxidant (AOX) defense, than non-Antarctic species. CS activities and total AOX capacities were measured in brain and heart of 4 Antarctic species and 2 non-Antarctic species collected on the 2004 ICEFISH cruise. While no statistical differences are found among Antarctic and non-Antarctic fishes in either CS or AOX capacities, AOX capacity in both tissues expands with CS activity among individuals measured when all species are combined. There is also a 4.5-fold greater AOX capacity, when normalized to CS activity, in brain than in heart indicating the requirement for extra AOX defense in a tissue well known for its particularly high levels of phospholipids more prone to lipid peroxidation.</t>
  </si>
  <si>
    <t>[Crockett, Elizabeth L.] Ohio Univ, Dept Biol Sci, Athens, OH 45701 USA</t>
  </si>
  <si>
    <t>University System of Ohio; Ohio University</t>
  </si>
  <si>
    <t>Crockett, EL (corresponding author), Ohio Univ, Dept Biol Sci, Athens, OH 45701 USA.</t>
  </si>
  <si>
    <t>crockett@ohiou.edu</t>
  </si>
  <si>
    <t>National Science Foundation [OPP 01-32032]; Ohio University; Directorate For Geosciences; Office of Polar Programs (OPP) [0741301] Funding Source: National Science Foundation</t>
  </si>
  <si>
    <t>National Science Foundation(National Science Foundation (NSF)); Ohio University; Directorate For Geosciences; Office of Polar Programs (OPP)(National Science Foundation (NSF)NSF - Directorate for Geosciences (GEO))</t>
  </si>
  <si>
    <t>I would like, first and foremost, to acknowledge and thank Dr. Bruce Sidell, who kindly collected the samples and provided an inspiration for the author over the last 25 years. My thanks to the crew and personnel of Raytheon Polar Services aboard the RVIB Nathaniel B. Palmer for their help with collections. I am also grateful for conversations with Dr. Joe Eastman, who helped fill in details about the research cruise and provided comments on an earlier version of the manuscript. Thanks also to Dr. Rebecca Holberton for use of her microplate reader. The ICEFISH cruise was supported by National Science Foundation grant OPP 01-32032 to H. William Detrich III of Northeastern University. The research was also supported by a Faculty Fellowship from Ohio University.</t>
  </si>
  <si>
    <t>10.1007/s00300-010-0864-2</t>
  </si>
  <si>
    <t>WOS:000286471600011</t>
  </si>
  <si>
    <t>La Mesa, M; Catalano, B; Greco, S</t>
  </si>
  <si>
    <t>La Mesa, Mario; Catalano, Barbara; Greco, Silvestro</t>
  </si>
  <si>
    <t>Larval feeding of Chionodraco hamatus (Pisces, Channichthyidae) in the Ross Sea and its relation to environmental conditions</t>
  </si>
  <si>
    <t>Diet; Early life stages; Chionodraco hamatus; Ross Sea; Environmental conditions</t>
  </si>
  <si>
    <t>TERRA-NOVA BAY; EARLY-LIFE STAGES; PLEURAGRAMMA-ANTARCTICUM; WEDDELL SEA; JUVENILE NOTOTHENIOIDS; GRAPHICAL ANALYSIS; FOOD-WEB; ABUNDANCE; FISH; POSTLARVAL</t>
  </si>
  <si>
    <t>Feeding habits of early life stages of the channichthyid Chionodraco hamatus were investigated on samples collected in the western Ross Sea in early summer of 1996 and 2004. The stomach content analysis was carried out on larval and postlarval specimens ranging from 14 to 39 mm SL. Unlike larvae and juveniles of other channichthyids, which elsewhere largely rely on early life stages of Antarctic krill or ice krill, no euphausiids were found in the stomach contents of C. hamatus, except for a single large individual of Thysanoessa macrura. In both years, dietary composition consisted almost exclusively of notothenioid fish larvae. Early larvae of Pleuragramma antarcticum overwhelmingly dominated the diet in terms of abundance, biomass and frequency of occurrence, accounting for 98.4% of the index of relative importance (IRI). Other fish larvae consumed occasionally in small amount were Trematomus lepidorhinus, T. scotti and C. hamatus itself. As a result, the feeding strategy of C. hamatus was considerably shifted toward specialization, relying on relatively few taxa of prey, each of them showing a high prey-specific abundance. Comparing both dietary composition and feeding strategy of C. hamatus in the two different sampling years, several differences were observed, probably due to different environmental conditions, mainly linked to a significant delay of ice retreat and formation of the Ross Sea polynya verified in the 2003-2004 summer season.</t>
  </si>
  <si>
    <t>[La Mesa, Mario] ISMAR CNR, Ist Sci Marine, Sede Ancona, I-60125 Ancona, Italy; [Catalano, Barbara; Greco, Silvestro] ISPRA, I-00166 Ispra, Italy</t>
  </si>
  <si>
    <t>Consiglio Nazionale delle Ricerche (CNR); Istituto di Scienze Marine (ISMAR-CNR); Italian Institute for Environmental Protection &amp; Research (ISPRA)</t>
  </si>
  <si>
    <t>La Mesa, M (corresponding author), ISMAR CNR, Ist Sci Marine, Sede Ancona, I-60125 Ancona, Italy.</t>
  </si>
  <si>
    <t>m.lamesa@ismar.cnr.it</t>
  </si>
  <si>
    <t>Catalano, Barbara/GRR-7882-2022; CNR, Ismar/P-1247-2014</t>
  </si>
  <si>
    <t>CNR, Ismar/0000-0001-5351-1486</t>
  </si>
  <si>
    <t>PNRA (Italian National Antarctic Research Program)</t>
  </si>
  <si>
    <t>We thank all the crew members, personnel and scientific staff on board the RV Italica for their invaluable support in sampling activities. We are also much indebted to Joseph T. Eastman and two anonymous referees, whose comments greatly improved the early draft of the manuscript. This study was supported by the PNRA (Italian National Antarctic Research Program).</t>
  </si>
  <si>
    <t>10.1007/s00300-010-0866-0</t>
  </si>
  <si>
    <t>WOS:000286471600013</t>
  </si>
  <si>
    <t>Hall, K</t>
  </si>
  <si>
    <t>Hall, Kevin</t>
  </si>
  <si>
    <t>Natural building stone composed of light-transmissive minerals: impacts on thermal gradients, weathering and microbial colonization. A preliminary study, tentative interpretations, and future directions</t>
  </si>
  <si>
    <t>ENVIRONMENTAL EARTH SCIENCES</t>
  </si>
  <si>
    <t>Light-transmissive rocks; Thermal responses; Endolithic colonization weathering; Monuments</t>
  </si>
  <si>
    <t>NORTHERN VICTORIA LAND; SAN-ROCK-ART; TEMPERATURE; GRANITE; PENETRATION; ANTARCTICA; DETERIORATION; ENVIRONMENT; SANDSTONE; STRESS</t>
  </si>
  <si>
    <t>A number of modern buildings employing claddings of granites or marbles have experienced bowing of the rock panels together with weathering of the material. Theoretical and field-based data analysis and laboratory experimentation have assumed that heat exchange resulting from incoming solar radiation is at the material surface. However, a number of recent experiments have clearly shown that some lithologies, including both marble and granite, comprise a number of light-transmissive minerals that significantly change the thermal responses in the outer few millimetres of the rock. Further, this translucence will create mineral-to-mineral stresses where light-transmissive minerals are in contact with opaque ones. The whole is further exacerbated by differences in thermal coefficients of expansion and conductivity which themselves may depend on the mineral axis; surface modifiers such as paints further complicate the situation. The degree of light penetration, based on field measurements, can be significant and can facilitate rapid changes in temperature (Delta T/Delta t &gt; 2A degrees C min(-1)) at depth within the rock thereby increasing the sub-surface stresses. The amount of light penetration for any given mineral will be dependent upon material slope, the latitude, season, and albedo. Albedo is identified as a complex variable, changing as a function of the angle of the sun to the particular surface; polished surfaces, as often with cladding, will further influence this. Data analysis suggests that, in the Northern hemisphere, south of the polar circle, the summer may not be the time of the largest heat loading on the southern aspect and that larger loadings, coupled with lower air temperatures, occur early and late in the year. This seasonal impact has great potential for thermal stresses on the southern aspect. The presence of light-transmissive minerals also allows sub-surface biotic colonization and results in weathering. Overall, where light transmissive minerals/lithologies occur the thermal responses are highly complex and in need of more rigorous consideration.</t>
  </si>
  <si>
    <t>[Hall, Kevin] Univ Pretoria, Dept Geog Geoinformat &amp; Meteorol, ZA-0002 Pretoria, South Africa</t>
  </si>
  <si>
    <t>University of Pretoria</t>
  </si>
  <si>
    <t>Hall, K (corresponding author), Univ No British Columbia, Geog Program, 3333 Univ Way, Prince George, BC V2N 4Z9, Canada.</t>
  </si>
  <si>
    <t>hall@unbc.ca</t>
  </si>
  <si>
    <t>National Geographic Society; University of Pretoria; National Research Fund (South Africa); University of Northern British Columbia</t>
  </si>
  <si>
    <t>National Geographic Society(National Geographic Society); University of Pretoria; National Research Fund (South Africa); University of Northern British Columbia</t>
  </si>
  <si>
    <t>Drs Guglielmin and Strini, of the Italian Antarctic Program, are sincerely thanked for the opportunity they gave me to undertake the preliminary studies on light penetration into rock and for all the kindnesses they showed me in the field. I would also like to thank Professor Meiklejohn, University of Pretoria/Rhodes University, for facilitating the joint work on the San rock art and the National Geographic Society, the University of Pretoria, the National Research Fund (South Africa), and the University of Northern British Columbia for aid in funding the research. Kathryn Fields is thanked for her help with the Antarctic data analysis. Comments by referees were valuable for a variety of reasons and also offered interesting insights into personal approaches to refereeing. I found the suggestions by one anonymous referee regarding the role of infrared wavelengths and their impact on heating extremely valuable. I was left embarrassed by my ignorance and confused as to how to go forward to solve the issues-and that was, for me, the exciting part!</t>
  </si>
  <si>
    <t>1866-6280</t>
  </si>
  <si>
    <t>1866-6299</t>
  </si>
  <si>
    <t>ENVIRON EARTH SCI</t>
  </si>
  <si>
    <t>Environ. Earth Sci.</t>
  </si>
  <si>
    <t>10.1007/s12665-010-0522-6</t>
  </si>
  <si>
    <t>Environmental Sciences; Geosciences, Multidisciplinary; Water Resources</t>
  </si>
  <si>
    <t>Environmental Sciences &amp; Ecology; Geology; Water Resources</t>
  </si>
  <si>
    <t>702ER</t>
  </si>
  <si>
    <t>WOS:000285877900007</t>
  </si>
  <si>
    <t>Portner, RA; Murphy, MJ; Daczko, NR</t>
  </si>
  <si>
    <t>Portner, Ryan A.; Murphy, Melissa J.; Daczko, Nathan R.</t>
  </si>
  <si>
    <t>A detrital record of lower oceanic crust exhumation within a Miocene slow-spreading ridge: Macquarie Island, Southern Ocean</t>
  </si>
  <si>
    <t>GEOLOGICAL SOCIETY OF AMERICA BULLETIN</t>
  </si>
  <si>
    <t>MID-ATLANTIC RIDGE; CORE COMPLEXES; FRACTURE-ZONE; TURBIDITY CURRENTS; DETACHMENT FAULT; TRANSFORM; TECTONICS; PROVENANCE; EVOLUTION; SEDIMENT</t>
  </si>
  <si>
    <t>Uplift, exhumation, and denudation of the lower oceanic crust are recorded by sedimentary rocks of Macquarie Island (54 degrees 30'S, 158 degrees 54'E), which were deposited within the slow-spreading proto-Macquarie spreading ridge between ca. 9 and 12 Ma. Measured stratigraphic sections typically contain basal basaltic breccia lithofacies that are overlain by a thick sequence of enriched mid-ocean-ridge basalt (E-MORB) with thin intercalations of gabbroic sedimentary lithofacies. Basaltic detritus has zeolite to lower-greenschist metamorphic grades typical of the upper oceanic crust, and gabbroic detritus has upper-greenschist to amphibolite metamorphic grades typical of the lower oceanic crust. Breccia clast counts and sedimentary structures indicate that basaltic lithofacies were locally derived from the footwalls of adjacent spreading-related faults. Sedimentary structures, detrital clinopyroxene major-and trace-element geochemistry, and Pb-206/U-238 zircon geochronology indicate that the gabbroic lithofacies were more distally derived from a Paleogene-aged tholeiitic MORB source. Detrital zircon populations of ca. 27 and ca. 33 Ma correspond to oceanic magnetic anomalies 8o and 13o, respectively, and exclude ca. 8.5 Ma gabbroic rocks of Macquarie Island as a potential source. Geodynamic reconstructions show that anomaly 8o crust from the Southeast Indian Ridge was juxtaposed against the active proto-Macquarie spreading ridge when sedimentary rocks of Macquarie Island were deposited and was a likely source for the gabbroic lithofacies. The proto-Macquarie spreading ridge and Southeast Indian Ridge were connected by the Jurru long-offset transform, which has undergone significant transpression since 27 Ma. This transpression formed a bathymetric transverse ridge that was composed of structurally isolated blocks of heterogeneously aged Paleogene source crust, which provided the source for Macquarie Island's gabbroic sedimentary lithofacies.</t>
  </si>
  <si>
    <t>[Portner, Ryan A.; Murphy, Melissa J.; Daczko, Nathan R.] Macquarie Univ, GEMOC ARC Natl Key Ctr, Dept Earth &amp; Planetary Sci, Sydney, NSW 2109, Australia</t>
  </si>
  <si>
    <t>Macquarie University</t>
  </si>
  <si>
    <t>Portner, RA (corresponding author), Macquarie Univ, GEMOC ARC Natl Key Ctr, Dept Earth &amp; Planetary Sci, Sydney, NSW 2109, Australia.</t>
  </si>
  <si>
    <t>ryan.portner@mq.edu.au</t>
  </si>
  <si>
    <t>Murphy, Melissa J/C-8375-2013; GAU, geochemist/H-1985-2016</t>
  </si>
  <si>
    <t>Murphy, Melissa/0000-0002-0921-1467; Portner, Ryan/0000-0003-4821-8204; Daczko, Nathan/0000-0002-3737-3818</t>
  </si>
  <si>
    <t>Australian Antarctic Division (AAD) [2515]; Tasmanian Parks and Wildlife Service; Australian Research Council [DP0663373]; ARC Linkage, infrastructure, equipment, and facilities (LIEF); Department of education, science, and training (DEST); Systemic Infrastructure Grants; Macquarie University; Australian Research Council [DP0663373] Funding Source: Australian Research Council</t>
  </si>
  <si>
    <t>Australian Antarctic Division (AAD); Tasmanian Parks and Wildlife Service; Australian Research Council(Australian Research Council); ARC Linkage, infrastructure, equipment, and facilities (LIEF)(Australian Research Council); Department of education, science, and training (DEST)(Australian GovernmentDepartment of Industry, Innovation and Science); Systemic Infrastructure Grants; Macquarie University; Australian Research Council(Australian Research Council)</t>
  </si>
  <si>
    <t>This manuscript was greatly improved from helpful comments by S. Mosher, N. Riggs, and P. Robinson. We thank the Australian Antarctic Division (AAD project 2515) and the Tasmanian Parks and Wildlife Service for providing support and access to our remote field locations on Macquarie Island during summer field seasons of 2006 and 2007. This project was supported by an Australian Research Council discovery grant to Daczko (DP0663373). Portner very much appreciates the help of N. Harb and P. Ferguson with aspects of the field work. N. Pearson and S. Allchurch provided instrumentation support for the geochemical and geochronological aspect of the study. This is Australian Research Council (ARC) National Key Centre for the Geochemical Evolution and Metallogeny of Continents contribution 630 (http://www.gemoc.mq.edu.au). The analytical data were obtained using instrumentation funded by ARC Linkage, infrastructure, equipment, and facilities (LIEF); Department of education, science, and training (DEST), Systemic Infrastructure Grants, industry partners, and Macquarie University.</t>
  </si>
  <si>
    <t>GEOLOGICAL SOC AMER, INC</t>
  </si>
  <si>
    <t>PO BOX 9140, BOULDER, CO 80301-9140 USA</t>
  </si>
  <si>
    <t>0016-7606</t>
  </si>
  <si>
    <t>1943-2674</t>
  </si>
  <si>
    <t>GEOL SOC AM BULL</t>
  </si>
  <si>
    <t>Geol. Soc. Am. Bull.</t>
  </si>
  <si>
    <t>10.1130/B30082.1</t>
  </si>
  <si>
    <t>699XL</t>
  </si>
  <si>
    <t>WOS:000285696100016</t>
  </si>
  <si>
    <t>Sañé, E; Isla, E; Grémare, A; Gutt, J; Vétion, G; DeMaster, DJ</t>
  </si>
  <si>
    <t>Sane, E.; Isla, E.; Gremare, A.; Gutt, J.; Vetion, G.; DeMaster, D. J.</t>
  </si>
  <si>
    <t>Pigments in sediments beneath recently collapsed ice shelves: The case of Larsen A and B shelves, Antarctic Peninsula</t>
  </si>
  <si>
    <t>JOURNAL OF SEA RESEARCH</t>
  </si>
  <si>
    <t>Chlorophyll; Sediment; Antarctic Peninsula; Climate change</t>
  </si>
  <si>
    <t>LAST GLACIAL MAXIMUM; ORGANIC-CARBON; ACCUMULATION RATES; SURFACE SEDIMENTS; CONTINENTAL-SLOPE; BENTHIC PROCESSES; CHLOROPHYLL-A; CAPE-HATTERAS; WEDDELL SEA; PHYTOPLANKTON</t>
  </si>
  <si>
    <t>In March 2002, 3200 km(2) of the Larsen B ice shelf collapsed off the Eastern Antarctic Peninsula (EAP). In the austral summer of 2006, sea floor sediment was recovered beneath the extinct Larsen B ice shelf and in a region off the Northern Antarctic Peninsula (NAP), which has been free of ice shelves for more than 1000 yr. To assess changes in the chemical composition of the sediment after ice shelf collapses, chlorophylls and pheophytins were measured in sediment cores at six stations. This is the first time that chlorophyll pigments have been analysed in sediment samples from regions under recently collapsed ice shelves. Five years after the ice shelf collapse, Chla and Chic concentrations were similar in the interfacial sediment (upper 1 cm) of NAP and EAP regions. However, in EAP Chla and Chic concentrations decreased more rapidly with depth in the sediment column and were negligible below 2 cm depth. The high Chla to Pheoa ratios indicated that sedimentary pigments found in EAP had undergone limited degradation suggesting that they were locally produced rather than laterally advected. Complementary information from excess Pb-210 activity and diatom valve distributions provided further evidence that the pigment fluxes to the seabed in EAP took place only after the ice shelf collapse. (C) 2010 Published by Elsevier B.V.</t>
  </si>
  <si>
    <t>[Sane, E.; Isla, E.] CSIC, Inst Ciencias Mar, E-08003 Barcelona, Spain; [Gremare, A.] Univ Bordeaux 1, CNRS, UMR EPOC, Stn Marine Arcachon, F-33120 Arcachon, France; [Gutt, J.] Alfred Wegener Inst Polar &amp; Marine Res, D-27568 Bremerhaven, Columbusstr, Germany; [Vetion, G.] Lab Arago, F-66650 Banyuls Sur Mer, France; [DeMaster, D. J.] N Carolina State Univ, Dept Marine Earth &amp; Atmospher Sci, Raleigh, NC 27695 USA</t>
  </si>
  <si>
    <t>Consejo Superior de Investigaciones Cientificas (CSIC); CSIC - Centro Mediterraneo de Investigaciones Marinas y Ambientales (CMIMA); CSIC - Instituto de Ciencias del Mar (ICM); Centre National de la Recherche Scientifique (CNRS); Universite de Bordeaux; Helmholtz Association; Alfred Wegener Institute, Helmholtz Centre for Polar &amp; Marine Research; North Carolina State University</t>
  </si>
  <si>
    <t>Sañé, E (corresponding author), CSIC, Inst Ciencias Mar, Paseo Maritimo Barceloneta 37-49, E-08003 Barcelona, Spain.</t>
  </si>
  <si>
    <t>sane@icm.csic.es</t>
  </si>
  <si>
    <t>sane, elisabet/AAT-4775-2020</t>
  </si>
  <si>
    <t>Isla, Enrique/0000-0003-4959-6936; Gutt, Julian/0000-0003-3773-9370; , elisabet/0000-0001-5719-5468</t>
  </si>
  <si>
    <t>Spanish Ministry of Science and Innovation [POL2006-06399]; FPU [AP 2005-5060]</t>
  </si>
  <si>
    <t>Spanish Ministry of Science and Innovation(Spanish Government); FPU(Spanish Government)</t>
  </si>
  <si>
    <t>The authors wish to thank the Captain and the crew of the R/V Polarstern. This study was supported by the Spanish Ministry of Science and Innovation, through the project CLIMANT (POL2006-06399) and the graduate program fellowship FPU AP 2005-5060.</t>
  </si>
  <si>
    <t>1385-1101</t>
  </si>
  <si>
    <t>1873-1414</t>
  </si>
  <si>
    <t>J SEA RES</t>
  </si>
  <si>
    <t>J. Sea Res.</t>
  </si>
  <si>
    <t>10.1016/j.seares.2010.07.005</t>
  </si>
  <si>
    <t>720LH</t>
  </si>
  <si>
    <t>WOS:000287281700011</t>
  </si>
  <si>
    <t>Yang, YD; E, DC; Wang, HH; Chao, DB; Hwang, CW; Li, F; Ai, ST</t>
  </si>
  <si>
    <t>Yang YuanDe; E DongChen; Wang HaiHong; Chao DingBo; Hwang CheinWay; Li Fei; Ai SongTao</t>
  </si>
  <si>
    <t>Sea ice concentration over the Antarctic Ocean from satellite pulse altimetry</t>
  </si>
  <si>
    <t>SCIENCE CHINA-EARTH SCIENCES</t>
  </si>
  <si>
    <t>sea ice concentration; Antarctic; altimeter waveform; SSMR SSM/I; ERS-1/GM</t>
  </si>
  <si>
    <t>Sea ice concentration (SIC) is an important parameter in characterizing sea ice. Limited by the environment and the spatial extent of observation, it is difficult for field work to meet the needs of a large-scale SIC study. However, with its many advantages, such as the ability to make large-scale, high-resolution and long-duration observations, the altimeter can be used to determine SIC on a large scale. Using the correspondence between the satellite pulse altimeter waveform and reflector property, waveform classification is employed. Moreover, this paper develops an algorithm to obtain the SIC from altimeter waveforms. In an actual computation, Pyrz Bay in the Antarctic is taken as an experimental region, and one-year and seasonal SICs are derived from ERS-1/GM waveforms over this study area. Furthermore, altimetric SICs are compared with those of SSMR SSM/I. The results show that the spatial distribution and the regions of maximum SIC determined employing these two methods are consistent. This demonstrates that altimeter data can be used to monitor sea ice.</t>
  </si>
  <si>
    <t>[Yang YuanDe; E DongChen; Li Fei; Ai SongTao] Wuhan Univ, Chinese Antarctic Ctr Surveying &amp; Mapping, Wuhan 430079, Peoples R China; [Wang HaiHong; Chao DingBo] Wuhan Univ, Sch Geodesy &amp; Geomat, Wuhan 430079, Peoples R China; [Wang HaiHong] State Bur Surveying &amp; Mapping, Key Lab Surveying &amp; Mapping Technol Isl &amp; Reef St, Qingdao 266510, Peoples R China; [Hwang CheinWay] Natl Chiao Tung Univ, Dept Civil Engn, Hsinchu, Taiwan</t>
  </si>
  <si>
    <t>Wuhan University; Wuhan University; National Yang Ming Chiao Tung University</t>
  </si>
  <si>
    <t>Yang, YD (corresponding author), Wuhan Univ, Chinese Antarctic Ctr Surveying &amp; Mapping, Wuhan 430079, Peoples R China.</t>
  </si>
  <si>
    <t>yuande_yang@yahoo.com.cn</t>
  </si>
  <si>
    <t>Wang, Haihong/ABF-5340-2021; Ai, Songtao/AAA-7338-2019</t>
  </si>
  <si>
    <t>Wang, Haihong/0000-0002-0106-8360;</t>
  </si>
  <si>
    <t>National Key Technology R D Program [2006BAB18B01]; National Natural Science Foundation of China [40806076]; Antarctic Exploration Fundamental Project [14699907111091]; Chinese Polar Strategic Research Foundation [20080203]; Key Laboratory of Surveying and Mapping Technology on Island; Reef of the State Bureau of Surveying and Mapping [2009804]</t>
  </si>
  <si>
    <t>National Key Technology R D Program(National Key Technology R&amp;D Program); National Natural Science Foundation of China(National Natural Science Foundation of China (NSFC)); Antarctic Exploration Fundamental Project; Chinese Polar Strategic Research Foundation; Key Laboratory of Surveying and Mapping Technology on Island; Reef of the State Bureau of Surveying and Mapping</t>
  </si>
  <si>
    <t>We thank the anonymous reviewers for suggesting improvements to the manuscript and AVISO for providing the ERS-1/GM waveform data. This work was supported by National Key Technology R &amp; D Program (Grant No. 2006BAB18B01), the National Natural Science Foundation of China (Grant No. 40806076), Antarctic Exploration Fundamental Project (Grant No. 14699907111091), Chinese Polar Strategic Research Foundation (Grant No. 20080203), and Key Laboratory of Surveying and Mapping Technology on Island and Reef of the State Bureau of Surveying and Mapping (Grant No. 2009804).</t>
  </si>
  <si>
    <t>SCIENCE CHINA PRESS</t>
  </si>
  <si>
    <t>16 DONGHUANGCHENGGEN NORTH ST, BEIJING 100717, PEOPLES R CHINA</t>
  </si>
  <si>
    <t>1674-7313</t>
  </si>
  <si>
    <t>SCI CHINA EARTH SCI</t>
  </si>
  <si>
    <t>Sci. China-Earth Sci.</t>
  </si>
  <si>
    <t>10.1007/s11430-010-4108-7</t>
  </si>
  <si>
    <t>710GC</t>
  </si>
  <si>
    <t>WOS:000286497900011</t>
  </si>
  <si>
    <t>Purdie, H; Anderson, B; Lawson, W; Mackintosh, A</t>
  </si>
  <si>
    <t>Purdie, Heather; Anderson, Brian; Lawson, Wendy; Mackintosh, Andrew</t>
  </si>
  <si>
    <t>Controls on spatial variability in snow accumulation on glaciers in the Southern Alps, New Zealand; as revealed by crevasse stratigraphy</t>
  </si>
  <si>
    <t>HYDROLOGICAL PROCESSES</t>
  </si>
  <si>
    <t>glacier; spatial variability; crevasse stratigraphy</t>
  </si>
  <si>
    <t>NORTH CASCADE GLACIERS; SCALE OROGRAPHIC PRECIPITATION; FRANZ-JOSEF GLACIER; MASS-BALANCE; ENERGY-BALANCE; SENSITIVITY; MODEL</t>
  </si>
  <si>
    <t>Net accumulation measurements from two glaciers located on opposite sides of the New Zealand Southern Alps were used to explore processes controlling spatial variability. The degree of variability, as measured by the spatial variogram, differed in each of the three successive years, but the lowest variance occurred on both glaciers in March 2008, after a hot and dry summer. Strong relationships between net accumulation and elevation within the accumulation area were only found on Franz Josef Glacier (FJG), despite this being the primary control used in glacier mass balance modelling. Interaction between wind and topography was found to be important to the distribution of net accumulation on both glaciers. The crevasse stratigraphy method is an ideal way to gain good spatial coverage of net accumulation, and particularly suited to glaciers with high annual precipitation. Copyright (C) 2010 John Wiley &amp; Sons, Ltd.</t>
  </si>
  <si>
    <t>[Purdie, Heather; Anderson, Brian; Mackintosh, Andrew] Victoria Univ Wellington, Antarctic Res Ctr, Wellington, New Zealand; [Purdie, Heather; Lawson, Wendy] Univ Canterbury, Dept Geog, Christchurch 1, New Zealand</t>
  </si>
  <si>
    <t>Victoria University Wellington; University of Canterbury</t>
  </si>
  <si>
    <t>Purdie, H (corresponding author), Victoria Univ Wellington, Antarctic Res Ctr, POB 600, Wellington, New Zealand.</t>
  </si>
  <si>
    <t>heather.purdie@gmail.com</t>
  </si>
  <si>
    <t>Mackintosh, Andrew/0000-0002-6430-4711; Purdie, Heather/0000-0002-2723-6908</t>
  </si>
  <si>
    <t>0885-6087</t>
  </si>
  <si>
    <t>1099-1085</t>
  </si>
  <si>
    <t>HYDROL PROCESS</t>
  </si>
  <si>
    <t>Hydrol. Process.</t>
  </si>
  <si>
    <t>JAN 1</t>
  </si>
  <si>
    <t>10.1002/hyp.7816</t>
  </si>
  <si>
    <t>Water Resources</t>
  </si>
  <si>
    <t>707JM</t>
  </si>
  <si>
    <t>WOS:000286282300004</t>
  </si>
  <si>
    <t>Leach, H; Strass, V; Cisewski, B</t>
  </si>
  <si>
    <t>Leach, Harry; Strass, Volker; Cisewski, Boris</t>
  </si>
  <si>
    <t>Modification by lateral mixing of the Warm Deep Water entering the Weddell Sea in the Maud Rise region</t>
  </si>
  <si>
    <t>OCEAN DYNAMICS</t>
  </si>
  <si>
    <t>Weddell Gyre; Lazarev SeaS Maud Rise; Warm Deep Water; Mixing</t>
  </si>
  <si>
    <t>ANTARCTIC CIRCUMPOLAR CURRENT; SOUTHERN-OCEAN; EDDY TRANSFER; ARCTIC-OCEAN; INTERNAL WAVES; ABYSSAL OCEAN; CIRCULATION; GYRE; TRANSPORT; MODEL</t>
  </si>
  <si>
    <t>Deep water originating in the North Atlantic is transported across the Antarctic Circumpolar Current by eddies and, after circumnavigating of the Antarctic, enters the Weddell Gyre south of Africa. As it does so, it rises up from mid-depth towards the surface. The separate temperature and salinity maxima, the Upper and Lower Circumpolar Deep Waters, converge to form the Warm Deep Water. Cores of this water mass on the southern flank of the eastern Weddell Gyre show a change in characteristic as they flow westward in the Lazarev Sea. Observations have been made along four meridional sections at 3 degrees E, 0 degrees, 3 degrees W and 6 degrees W between 60 and 70 degrees S during the Polarstern Cruise ANTXXIII/2 in 2005/2006. These show that a heterogeneous series of warm and salty cores entering the region from the east both north and south of Maud Rise (65 degrees S, 3 degrees W) gradually merge and become more homogeneous towards the west. The gradual reduction in the variance of potential temperature on isopycnals is indicative of isopycnic mixing processes. A multiple regression technique allows diagnosis of the eddy diffusivities and, thus, the relative importance of isopycnic and diapycnic mixing. The method shows that the isopycnic diffusivity lies in the range 70-140 m(2) s(-1) and the diapycnic diffusivity reaches about 3 x 10(-6) m(2) s(-1). Scale analysis suggests that isopycnic diffusion dominates over diapycnic diffusion in the erosion of the Warm Deep Water cores.</t>
  </si>
  <si>
    <t>[Leach, Harry] Univ Liverpool, Dept Earth &amp; Ocean Sci, Liverpool L69 3GP, Merseyside, England; [Strass, Volker; Cisewski, Boris] Alfred Wegener Inst Polar &amp; Marine Res, D-27515 Bremerhaven, Germany; [Cisewski, Boris] Univ Bremen, Inst Umweltphys, D-28334 Bremerhaven, Germany</t>
  </si>
  <si>
    <t>University of Liverpool; Helmholtz Association; Alfred Wegener Institute, Helmholtz Centre for Polar &amp; Marine Research; University of Bremen</t>
  </si>
  <si>
    <t>Leach, H (corresponding author), Univ Liverpool, Dept Earth &amp; Ocean Sci, 4 Brownlow St, Liverpool L69 3GP, Merseyside, England.</t>
  </si>
  <si>
    <t>leach@liv.ac.uk</t>
  </si>
  <si>
    <t>Cisewski, Boris/0000-0002-1130-6107; Strass, Volker/0000-0002-7539-1400; Leach, Harry/0000-0003-1774-5167</t>
  </si>
  <si>
    <t>Royal Society; University of Bremen [LAKRIS 03F0400B]</t>
  </si>
  <si>
    <t>Royal Society(Royal Society); University of Bremen</t>
  </si>
  <si>
    <t>We gratefully acknowledge the help and support of the captain and crew of Polarstern and our fellow scientists on board. HL's participation in the cruise was supported by a travel grant from the Royal Society. The Bundesministerium far Bildung und Forschung LAKRIS programme provided salary and travel for BC in a project led by Prof. M. Rhein at the Institute for Environmental Physics at the University of Bremen (Grant Reference LAKRIS 03F0400B).</t>
  </si>
  <si>
    <t>1616-7341</t>
  </si>
  <si>
    <t>1616-7228</t>
  </si>
  <si>
    <t>OCEAN DYNAM</t>
  </si>
  <si>
    <t>Ocean Dyn.</t>
  </si>
  <si>
    <t>10.1007/s10236-010-0342-y</t>
  </si>
  <si>
    <t>708HP</t>
  </si>
  <si>
    <t>WOS:000286353200004</t>
  </si>
  <si>
    <t>Machula, V; Neruda, M; Safranek, M</t>
  </si>
  <si>
    <t>Vrba, K; Koton, J; Krajsa, O</t>
  </si>
  <si>
    <t>Machula, Vladimir; Neruda, Marek; Safranek, Miroslav</t>
  </si>
  <si>
    <t>Autonomous measurement and communication system development methodology</t>
  </si>
  <si>
    <t>13TH INTERNATIONAL CONFERENCE ON RESEARCH IN TELECOMMUNICATION TECHNOLOGIES, RTT2011</t>
  </si>
  <si>
    <t>13th International Conference on Research in Telecommunication Technologies (RTT 2011)</t>
  </si>
  <si>
    <t>SEP 07-09, 2011</t>
  </si>
  <si>
    <t>Techov, CZECH REPUBLIC</t>
  </si>
  <si>
    <t>Autonomous system; Czech Antarctic Station; development methodology; SixSigma</t>
  </si>
  <si>
    <t>The paper focuses on description of design, development and testing of autonomous device used for data gathering from various types of sensors by proposed design and implementation methodology. The methodology ensures performance of initial requirements, device testing during design and deployment and successful setting in full operation. Device also serving as communication point for measurement part and also for other connected remote units.</t>
  </si>
  <si>
    <t>[Machula, Vladimir; Neruda, Marek; Safranek, Miroslav] Czech Tech Univ, Dept Telecommun Engn, Prague, Czech Republic</t>
  </si>
  <si>
    <t>Czech Technical University Prague</t>
  </si>
  <si>
    <t>Machula, V (corresponding author), Czech Tech Univ, Dept Telecommun Engn, Prague, Czech Republic.</t>
  </si>
  <si>
    <t>machuvla@fel.cvut.cz</t>
  </si>
  <si>
    <t>Neruda, Marek/ABE-6847-2021</t>
  </si>
  <si>
    <t>Neruda, Marek/0000-0003-2783-6505</t>
  </si>
  <si>
    <t>Ministry of Education, Youth and Sports (MSMT) [LM2010009]; [SGS10/183/OHK3/2T/13]</t>
  </si>
  <si>
    <t>Ministry of Education, Youth and Sports (MSMT)(Ministry of Education, Youth &amp; Sports - Czech Republic);</t>
  </si>
  <si>
    <t>This work was supported in part by the Grant SGS10/183/OHK3/2T/13. The authors would like to thank to Masaryk University's project CzechPolar - Czech Polar Stations: Construction and management, LM2010009, granted by Ministry of Education, Youth and Sports (MSMT).</t>
  </si>
  <si>
    <t>BRNO UNIV TECHNOLOGY VUT PRESS</t>
  </si>
  <si>
    <t>BRNO</t>
  </si>
  <si>
    <t>ANTONINSKA 548-1, BRNO 601 90, CZECH REPUBLIC</t>
  </si>
  <si>
    <t>978-80-214-4283-2</t>
  </si>
  <si>
    <t>Engineering, Electrical &amp; Electronic; Telecommunications</t>
  </si>
  <si>
    <t>Engineering; Telecommunications</t>
  </si>
  <si>
    <t>BG9SH</t>
  </si>
  <si>
    <t>WOS:000393726100015</t>
  </si>
  <si>
    <t>Grose, MR; Fox-Hughes, P; Bindoff, NL</t>
  </si>
  <si>
    <t>Chan, F; Marinova, D; Anderssen, RS</t>
  </si>
  <si>
    <t>Grose, M. R.; Fox-Hughes, P.; Bindoff, N. L.</t>
  </si>
  <si>
    <t>Bushfire conditions under a warming climate - the value of regional climate modelling</t>
  </si>
  <si>
    <t>19TH INTERNATIONAL CONGRESS ON MODELLING AND SIMULATION (MODSIM2011)</t>
  </si>
  <si>
    <t>MSSANZ 19th Biennial Congress on Modelling and Simulation (MODSIM)</t>
  </si>
  <si>
    <t>DEC 12-16, 2011</t>
  </si>
  <si>
    <t>Perth, AUSTRALIA</t>
  </si>
  <si>
    <t>Climate change; Regional climate model; Bushfire</t>
  </si>
  <si>
    <t>FIRE-DANGER</t>
  </si>
  <si>
    <t>Long-term changes to the climate affect the incidence of weather conditions suitable for bushfires as well as the growth and dry matter accumulation that contribute to fuel loads. Estimating the changes to fire danger with a changing climate is an essential task for the long-term planning of bushfire response. Our best tools for projecting changes to the climate system are climate models, however the coarse scale of global climate models (GCMs) does not show the regional detail of changes. In this study, we use output from the dynamical regional climate model (RCM) named conformal cubic atmospheric model (CCAM) to examine the simulation of Tasmanian fire weather, and illustrate some advantages in using RCM outputs over GCM outputs. This study focuses on bushfire weather; the atmospheric conditions that influence the incidence of bushfire. The dynamics behind one synoptic pattern associated with elevated bushfire weather conditions are examined, and the pattern is more reliably simulated in the RCM compared to GCMs. This suggests that the greater resolution offers some advantages, and further investigation of other atmospheric dynamics associated with elevated bushfire weather conditions is justified using these model outputs. A standard index of bushfire weather, the McArthur Mark 5 Forest Fire Danger Index is calculated directly from the model output but assuming a drought factor of the maximum 10. The model output has a fine spatial scale (0.1 degree lat/lon) and temporal scale (3-hourly is used) and generates output variables that are directly comparable to the observations used to calculate fire weather indices. The temporal variability of FFDI at Hobart compares well to observations at all scales, from sub-daily to seasonal and inter-annual. The spatial pattern of cumulative FFDI, the frequency of events of elevated FFDI and the maximum FFDI also compare well to observations. These results suggest that the RCM simulations offer some more detail than GCMs, and are likely to be a useful tool for examining the change in fire danger indices with a warming climate. The results indicate that the fine resolution model output has some advantages over GCM outputs. The results also suggest that after more careful validation and ground-truthing from observations, RCM output can used directly to examine simulated events of high fire danger, rather than using the projected trend in temperature, wind and relative humidity as a basis to manipulate observed datasets. These results suggest that the direct model outputs are a useful tool to examine changes to fire weather dynamics and high fire danger events with a warming climate. Further analysis of fire weather dynamics and fire danger will be pursued using these model outputs.</t>
  </si>
  <si>
    <t>[Grose, M. R.; Bindoff, N. L.] ACE CRC, Hobart, Tas, Australia; [Fox-Hughes, P.] Bur Meteorol, Hobart, Tas, Australia; [Bindoff, N. L.] Inst Marine &amp; Antarct Studies IMAS, Hobart, Tas, Australia; [Bindoff, N. L.] Ctr Australian Weather &amp; Climate Res, Hobart, Tas, Australia</t>
  </si>
  <si>
    <t>Antarctic Climate &amp; Ecosystems Cooperative Research Centre (ACE CRC); Bureau of Meteorology - Australia; Commonwealth Scientific &amp; Industrial Research Organisation (CSIRO)</t>
  </si>
  <si>
    <t>Grose, MR (corresponding author), ACE CRC, Hobart, Tas, Australia.</t>
  </si>
  <si>
    <t>michael.grose@utas.edu.au</t>
  </si>
  <si>
    <t>Bindoff, Nathaniel Lee/C-8050-2011; Grose, Michael/AAV-1119-2021; Bindoff, Nathaniel Lee/IVV-0333-2023; Fox-Hughes, Paul/G-8731-2013</t>
  </si>
  <si>
    <t>Bindoff, Nathaniel Lee/0000-0001-5662-9519; Bindoff, Nathaniel Lee/0000-0001-5662-9519; Fox-Hughes, Paul/0000-0002-0083-9928</t>
  </si>
  <si>
    <t>Australian Government's Cooperative Research Centre Program through Antarctic Climate and Ecosystems Cooperative Research Centre (ACE CRC)</t>
  </si>
  <si>
    <t>Australian Government's Cooperative Research Centre Program through Antarctic Climate and Ecosystems Cooperative Research Centre (ACE CRC)(Australian GovernmentDepartment of Industry, Innovation and ScienceCooperative Research Centres (CRC) Programme)</t>
  </si>
  <si>
    <t>The authors would like to acknowledge the contribution from the Climate Futures for Tasmania project for the provision of the model simulations, particularly Stuart Corney, Jack Katzfey and John McGregor. This work was supported by the Australian Government's Cooperative Research Centre Program through the Antarctic Climate and Ecosystems Cooperative Research Centre (ACE CRC). Climate Futures for Tasmania was possible with support through funding and research from a consortium of state and national partners.</t>
  </si>
  <si>
    <t>MODELLING &amp; SIMULATION SOC AUSTRALIA &amp; NEW ZEALAND INC</t>
  </si>
  <si>
    <t>CHRISTCHURCH</t>
  </si>
  <si>
    <t>MSSANZ, CHRISTCHURCH, 00000, NEW ZEALAND</t>
  </si>
  <si>
    <t>978-0-9872143-1-7</t>
  </si>
  <si>
    <t>Computer Science, Interdisciplinary Applications; Operations Research &amp; Management Science; Mathematics, Applied</t>
  </si>
  <si>
    <t>Computer Science; Operations Research &amp; Management Science; Mathematics</t>
  </si>
  <si>
    <t>BDU79</t>
  </si>
  <si>
    <t>WOS:000314989300023</t>
  </si>
  <si>
    <t>Kitsios, V; Frederiksen, JS; Zidikheri, MJ</t>
  </si>
  <si>
    <t>Kitsios, V.; Frederiksen, J. S.; Zidikheri, M. J.</t>
  </si>
  <si>
    <t>Subgrid parameterisation with scaling laws for atmospheric and oceanic flows</t>
  </si>
  <si>
    <t>Large Eddy Simulation; Atmosphere; Ocean; General Circulation Model; Stochastic Modelling</t>
  </si>
  <si>
    <t>2-DIMENSIONAL TURBULENCE; SIMULATIONS</t>
  </si>
  <si>
    <t>Subgrid-scale (SGS) parameterisations of turbulence with self similar scaling laws are developed for large eddy simulations (LESS) of atmospheric and oceanic f ows. The stochastic SGS modelling approach of Frederiksen and Kepert (2006) is used to determine the model coeff cients self-consistently from higher resolution reference direct numerical simulation (DNS). The resulting LES then replicates the statistics of the DNS at the resolved scales. In general the SGS model coeff cients depend on both the zonal and total wavenumbers, making them anisotropic. The f ow f elds are simulated using a two-level quasi-geostrophic model that incorporates the processes of baroclinic instability and the interaction of synoptic-scale structures and inhomogeneous Rossby wave turbulence. Two specif c basic f ows are analysed: an atmospheric f ow with large scale jets in the mid-latitudes; and an oceanic f ow representative of the Antarctic Circumpolar Current. Despite the obvious differences, these f ow f elds exhibit similar turbulent properties. In both cases the turbulent energy in the system is injected at the Rossby wavenumber (k(R)), and there is a constant transfer of enstrophy from the Rossby waves to the small-scale (high wavenumber) structures. The key difference, is that in the present simulations the baroclinically unstable Rossby waves within the atmosphere occur at k(R) approximate to 14, whilst in the ocean k(R) approximate to 140. This makes the ocean a more computationally challenging case, as a f ner grid is required to resolve the energy injection. The DNSS presented within capture the energy injection of both cases, as they have a triangular wavenumber truncation of T = 504. This is equivalent to 1536 longitudinal and 768 latitudinal grid points. It is found that for both the atmosphere and ocean, the SGS model coeff cients are approximately isotropic if the LES truncation wavenumber is signif cantly larger than k(R). The isotropised prof les decrease in magnitude and become steeper as resolution increases. A unif ed scaling law is determined that represents both the atmosphere and ocean SGS processes, by non-dimensionalising the model coeff cients on the basis of the f nal energy containing wavenumber (k(E)).</t>
  </si>
  <si>
    <t>[Kitsios, V.; Frederiksen, J. S.] CSIRO Marine &amp; Atmospher Res, Ctr Australian Weather &amp; Climate Res, Aspendale, Vic, Australia; [Zidikheri, M. J.] Ctr Australian Weather &amp; Climate Res, Bureau Meteorolr, Melbourne, Victoria, Australia</t>
  </si>
  <si>
    <t>Commonwealth Scientific &amp; Industrial Research Organisation (CSIRO); Commonwealth Scientific &amp; Industrial Research Organisation (CSIRO)</t>
  </si>
  <si>
    <t>Kitsios, V (corresponding author), CSIRO Marine &amp; Atmospher Res, Ctr Australian Weather &amp; Climate Res, Aspendale, Vic, Australia.</t>
  </si>
  <si>
    <t>vassili.kitsios@csiro.au</t>
  </si>
  <si>
    <t>Kitsios, Vassili/A-3141-2012</t>
  </si>
  <si>
    <t>Kitsios, Vassili/0000-0002-2543-0264; Frederiksen, Jorgen/0000-0001-9449-0968</t>
  </si>
  <si>
    <t>CSIRO Office of the Chief Executive</t>
  </si>
  <si>
    <t>CSIRO Office of the Chief Executive(Commonwealth Scientific &amp; Industrial Research Organisation (CSIRO))</t>
  </si>
  <si>
    <t>Kitsios acknowledges the CSIRO Off ce of the Chief Executive for funding his post- doctoral position.</t>
  </si>
  <si>
    <t>WOS:000314989300072</t>
  </si>
  <si>
    <t>Cropp, RA; Kerr, GM; Bengtson-Nash, SM; Hawker, DW</t>
  </si>
  <si>
    <t>Cropp, R. A.; Kerr, G. M.; Bengtson-Nash, S. M.; Hawker, D. W.</t>
  </si>
  <si>
    <t>The Influence of Temperature and Ecosystem Dynamics on the Partitioning of a Persistent Organic Pollutant (POP) in Antarctic Marine Food Webs</t>
  </si>
  <si>
    <t>Fugacity; Plankton; Detritus; Dynamic coupled food web model</t>
  </si>
  <si>
    <t>MODEL; BIOACCUMULATION; FATE</t>
  </si>
  <si>
    <t>Persistent organic pollutants (POPs) are toxic man-made chemicals that do not readily degrade in the natural environment, and may be subject to long-range environmental transport, potentially reaching remote regions far from the emission sources. Chlorinated POPs are hydrophobic and lipophilic chemicals with octanol-water partition coefficients (K-OW) typically of the order of 10(4) to 10(7). This combination of properties means that POPs have a propensity to bioconcentrate and bioaccumulate in living organisms, representing a significant risk to human and environmental health (Wania and Mackay, 1999). The movement of chemicals such as POPs in the environment can be described using the concept of fugacity (Mackay et al., 2009). Fugacity (literally 'fleeing tendency', f) is an equilibrium criterion related to chemical potential that determines how a chemical will partition between multiple phases (Mackay, 2001). The rate of chemical movement between phases is proportional to the difference in fugacity. A chemical in diffusive equilibrium between two phases is unlikely to have the same concentration in the phases, but it will have the same fugacity. Whilst it is known that high latitude environments can act as repositories for semi-volatile POPs, little is known about the movement and behavior of POPs in Antarctic ecosystems. Polar marine environments are characterised by strong, seasonal variations in light and temperature that affect primary productivity and thereby drive the population dynamics of polar biological systems (De Laender et al., 2010). Spring and summer phytoplankton blooms play a major role in biogeochemical cycling and potentially also in cycling of POPs. Temperature changes also affect the partitioning of POPs in the environment. To provide useful insights into the seasonal behavior and fate of these compounds in Antarctic ecosystems, any model simulation must accommodate the large seasonal plankton biomass changes as well as temperature variation. The approach adopted involved fugacity-based models of the physical and biological environments together with a dynamic plankton food web model. The physical fugacity model and the plankton food web model may be considered sub-models that are coupled by the biological fugacity model (Cropp et al., 2011). This work then describes a mass-conserving, fugacity-based model and its application to investigate the effect of seasonal variations in temperature and light on the movement of POPs in Antarctic physical and plankton systems. The use of a plankton ecosystem model to simulate the movement of POPs requires that a detritus compartment, composed of dead phytoplankton and zooplankton and their respiration products, be included. This is because it provides a pathway for POPs in dead organic matter to exchange with the water. The model is applied to the movement of hexachlorobenzene (HCB), still a prevalent POP in remote regions (Weber and Goerke, 2003). The model reveals that seasonal variations in temperature and plankton biomass have different impacts on the partitioning of POPs in polar environments. It predicts that the burden of HCB in the plankton varies with the seasonal cycle of plankton biomass in Antarctic waters, and that this variation is primarily due to plankton dynamics. Seasonal variations in temperature have little effect on the distribution of HCB in terms of mass, with the exception of detritus in which it generates a subtle seasonal cycle. Temperature variations do affect fluxes between the physical compartments of the model (especially diffusive exchange between water and air, and water and sediment), but have negligible effect on the mass distribution of HCB in these compartments.</t>
  </si>
  <si>
    <t>[Cropp, R. A.; Kerr, G. M.; Bengtson-Nash, S. M.; Hawker, D. W.] Griffith Univ, Atmospher Environm Res Ctr, Sch Environm, Nathan, Qld 4111, Australia</t>
  </si>
  <si>
    <t>Griffith University</t>
  </si>
  <si>
    <t>Cropp, RA (corresponding author), Griffith Univ, Atmospher Environm Res Ctr, Sch Environm, Nathan, Qld 4111, Australia.</t>
  </si>
  <si>
    <t>R.Cropp@griffith.edu.au</t>
  </si>
  <si>
    <t>Bengtson Nash, Susan/GMX-4611-2022; Bengtson Nash, Susan/I-3942-2015; Cropp, Roger/C-1019-2008</t>
  </si>
  <si>
    <t>Bengtson Nash, Susan/0000-0001-5928-0850; Bengtson Nash, Susan/0000-0001-5928-0850; Cropp, Roger/0000-0001-9582-857X</t>
  </si>
  <si>
    <t>WOS:000314989302005</t>
  </si>
  <si>
    <t>Marzloff, MP; Johnson, CR; Little, LR; Frusher, SD; Ling, SD; Soulié, JC</t>
  </si>
  <si>
    <t>Marzloff, Martin P.; Johnson, Craig R.; Little, L. Rich; Frusher, Stewart D.; Ling, Scott D.; Soulie, Jean-Christophe</t>
  </si>
  <si>
    <t>A management support framework for subtidal rocky-reef communities on the east coast of Tasmania</t>
  </si>
  <si>
    <t>ecosystem model; larval connectivity; ecosystem effects of fishing; sea urchin barren; southern rock lobster; temperate rocky-reef; management support tool</t>
  </si>
  <si>
    <t>We developed a local and regional scale simulation model of the important dynamical features of seaweed-based rocky reef systems in eastern Tasmania. Climate-driven range extension of the spiny sea urchin (Centrostephanus rodgersii) from Australia's mainland into eastern Tasmanian waters presents a major threat to the productivity of subtidal rocky-reef communities because overgrazing of native seaweed beds by this sea urchin can create and maintain extensive areas of 'barrens' habitat. This causes major loss of production, biodiversity and physical structure. In particular, the two most valuable fisheries in Tasmania, blacklip abalone (Haliotis rubra) and southern rock lobster (Jasus edwardsii), are not commercially viable on C. rodgersii barrens. Additionally, the fishing depletion of large rock lobsters, the main natural predator of C. rodgersii, facilitates the establishment of urchin barrens. Based upon empirical observations, field experiments and information about larval dispersal derived from an ocean circulation model, we developed a model that captures the regional dynamics of temperate reef communities on the East coast of Tasmania. Our model is hierarchically structured as a connected network of local models, which can each produce ecosystem shifts from productive kelp bed to sea urchin barrens at the scale of individual reefs. Connectivity between local reefs essentially captures large-scale dispersal of C. rodgersii larvae. Through simulations, we test the effectiveness of alternative management options (reduction in lobster fishing, temporary no-take zones as a series of 'rolling closures' and harvesting of the urchin) to minimise the risk of serious ecological impacts of the invasive urchin, i.e. to maintain native reef communities in their original state or restore the productive seaweed habitat from the barren state. Through model forecasts, we assess the trade-off between alternative management strategies in terms of costs and benefits for the fisheries and risks of further sea urchin barrens formation.</t>
  </si>
  <si>
    <t>[Marzloff, Martin P.; Johnson, Craig R.; Frusher, Stewart D.; Ling, Scott D.] Inst Marine &amp; Antarctic Studies, Hobart, Tas 7001, Australia</t>
  </si>
  <si>
    <t>Marzloff, MP (corresponding author), Inst Marine &amp; Antarctic Studies, Private Bag 129, Hobart, Tas 7001, Australia.</t>
  </si>
  <si>
    <t>Martin.Marzloff@utas.edu.au</t>
  </si>
  <si>
    <t>Marzloff, Martin/J-7186-2014; Marzloff, Martin/AAY-3833-2020; Johnson, Craig/E-1788-2013; Frusher, Stewart/G-5117-2014</t>
  </si>
  <si>
    <t>Marzloff, Martin/0000-0002-8152-4273; Marzloff, Martin/0000-0002-8152-4273; Johnson, Craig/0000-0002-9511-905X; Frusher, Stewart/0000-0003-2493-3676</t>
  </si>
  <si>
    <t>WOS:000314989302019</t>
  </si>
  <si>
    <t>Rott, H; Mueller, F; Nagler, T; Floricioiu, D; Eineder, M</t>
  </si>
  <si>
    <t>Rott, Helmut; Mueller, Florian; Nagler, Thomas; Floricioiu, Dana; Eineder, Michael</t>
  </si>
  <si>
    <t>MASS DEFICIT OF GLACIERS AT THE NORTHERN ANTARCTIC PENINSULA DERIVED FROM SATELLITE BORNE SAR AND ALTIMETER MEASUREMENTS</t>
  </si>
  <si>
    <t>Glacier velocity; ice thickness; synthetic aperture radar; altimetry; TerraSAR-X; ERS; ICESat; Antarctica</t>
  </si>
  <si>
    <t>LARSEN ICE SHELF; DISINTEGRATION; COLLAPSE</t>
  </si>
  <si>
    <t>Ice velocities mapped by means of TerraSAR-X images in combination with surface elevation profiles measured by the altimeter system of ICESat are used to estimate glacier thinning and the increased calving flux after collapse of northern Larsen Ice Shelf on the Antarctic Peninsula in 1995 and 2002. InSAR analysis of one-day repeat pass SAR images from the ERS-1/ERS-2 tandem mission of 1995 and 1999 are these basis for retrieving the mass fluxes in the pre-collapse state. Applications of the various satellite data are shown for analysing the mass deficit and ice flow properties of Crane Glacier after disintegration of Larsen-B Ice Shelf. The ice flow acceleration shows a similar pattern for all calving glaciers on Larsen_B. The highest acceleration is observed at the front, decreasing upstream. Due to dynamic thinning at the frontal sections all main glaciers are now floating. This condition and the ongoing mass depletion will cause further frontal retreat in the coming years.</t>
  </si>
  <si>
    <t>[Rott, Helmut] Univ Innsbruck, Inst Meteorol &amp; Geophys, A-6020 Innsbruck, Austria; [Rott, Helmut; Mueller, Florian; Nagler, Thomas] ENVEO IT, Innsbruck, Austria; [Floricioiu, Dana; Eineder, Michael] DLR, IMF, Berlin, Germany</t>
  </si>
  <si>
    <t>University of Innsbruck; Helmholtz Association; German Aerospace Centre (DLR)</t>
  </si>
  <si>
    <t>Rott, H (corresponding author), Univ Innsbruck, Inst Meteorol &amp; Geophys, A-6020 Innsbruck, Austria.</t>
  </si>
  <si>
    <t>Mueller, Florian/C-9075-2012</t>
  </si>
  <si>
    <t>Mueller, Florian/0000-0002-9622-4396</t>
  </si>
  <si>
    <t>Space Application Programme (ASAP) of the Austrian Ministry of Traffic, Innovation, and Technology (BMVIT)</t>
  </si>
  <si>
    <t>This work was supported by the Space Application Programme (ASAP) of the Austrian Ministry of Traffic, Innovation, and Technology (BMVIT). The TerraSAR-X images were made available through science project HYD039, the ERS SAR images through science project ERS-AO3.108 (VECTRA). The ICESat/GLAS data were obtained from NSIDCU User Service, Boulderr, Colorado.</t>
  </si>
  <si>
    <t>10.1109/IGARSS.2011.6050014</t>
  </si>
  <si>
    <t>WOS:000297496303157</t>
  </si>
  <si>
    <t>Eineder, M; Jaber, WA; Floricioiu, D; Rott, H; Yague-Martinez, N</t>
  </si>
  <si>
    <t>Eineder, M.; Jaber, W. Abdel; Floricioiu, D.; Rott, H.; Yague-Martinez, N.</t>
  </si>
  <si>
    <t>GLACIER FLOW AND TOPOGRAPHY MEASUREMENTS WITH TERRASAR-X AND TANDEM-X</t>
  </si>
  <si>
    <t>TerraSAR-X; Drygalski Glacier; glacier velocity; acceleration; feature tracking</t>
  </si>
  <si>
    <t>ICE SHELF; INTERFEROMETRY</t>
  </si>
  <si>
    <t>We report on results from spaceborne velocity and topography measurements of the Drygalski glacier, Antarctic Peninsula. For our analysis we use a time series of TerraSAR-X data acquired between 2007 and 2010 which enables us to perform an error analysis and to determine higher order velocity parameters such as acceleration. Our estimated accuracy for velocity estimation is on the order of 2 cm/day and we find a weak slow down at the terminus of the glacier. Very first TanDEM-X single pass interferometric data sets acquired in 2010 allow us to reconstruct the 3D-glacier topography with unprecedented accuracy, delivering both, surface topography and roughness.</t>
  </si>
  <si>
    <t>10.1109/IGARSS.2011.6050067</t>
  </si>
  <si>
    <t>WOS:000297496303204</t>
  </si>
  <si>
    <t>Bi, HB; Li, ZW</t>
  </si>
  <si>
    <t>Bi Haibo; Li Ziwei</t>
  </si>
  <si>
    <t>Temporal Mixture Analysis in Monitoring Antarctic Sea Ice Concentration Variability</t>
  </si>
  <si>
    <t>2011 INTERNATIONAL CONFERENCE ON ELECTRONICS, COMMUNICATIONS AND CONTROL (ICECC)</t>
  </si>
  <si>
    <t>IEEE International Conference on Electronics, Communications and Control (ICECC)</t>
  </si>
  <si>
    <t>SEP 09-11, 2011</t>
  </si>
  <si>
    <t>Ningbo, PEOPLES R CHINA</t>
  </si>
  <si>
    <t>Sea ice concentration; Antarctic; Temporal Mixture Analysis; AMSR-E; SMACC</t>
  </si>
  <si>
    <t>Temporal mixture analysis (TMA) is deduced from spectral mixture analysis (SMA). They are algebraically identical except for that TMA is applied to temporal spectra and thus can extract the temporal characteristics of the investigated features. The ice concentration is highly dynamic across the most of the Antarctic first-year ice zones with time and space. TMA has a great potential to obtain this temporal variability as an environmental baseline. In the present study, sea ice concentration data from 2003 to 2010 remotely sensed by a passive radiometer, Advanced Microwave Scanning Radiometer Earth Observing System (AMSR-E), are used and seven typical endmembers are captured, representing temporally different sea ice classifications. TMA derived temporal spectra can also be utilized in change analysis relative to the baseline of Antarctic sea ice concentration, allowing it in favor of the further study of regional or global climate changes. In summary, TMA provides a new effective tool for researchers to perform the investigation about the temporal variability of polar sea ice.</t>
  </si>
  <si>
    <t>[Bi Haibo] Chinese Acad Sci, Grad Univ, Inst Remote Sensing Applicat, Datunstr 20, Beijing 100101, Peoples R China; [Li Ziwei] Chinese Acad Sci, Inst Remote Sensing Applicat, Beijing 100101, Peoples R China</t>
  </si>
  <si>
    <t>Chinese Academy of Sciences; University of Chinese Academy of Sciences, CAS; Chinese Academy of Sciences</t>
  </si>
  <si>
    <t>Bi, HB (corresponding author), Chinese Acad Sci, Grad Univ, Inst Remote Sensing Applicat, Datunstr 20, Beijing 100101, Peoples R China.</t>
  </si>
  <si>
    <t>gis0301000501@163.com; lizw@irsa.ac.cn</t>
  </si>
  <si>
    <t>978-1-4577-0321-8</t>
  </si>
  <si>
    <t>Automation &amp; Control Systems; Engineering, Electrical &amp; Electronic</t>
  </si>
  <si>
    <t>Automation &amp; Control Systems; Engineering</t>
  </si>
  <si>
    <t>BYG97</t>
  </si>
  <si>
    <t>WOS:000298656801195</t>
  </si>
  <si>
    <t>Ding, Y; Jian, JC; Wu, ZH</t>
  </si>
  <si>
    <t>Zhou, X</t>
  </si>
  <si>
    <t>Ding Yu; Jian Jichang; Wu Zaohe</t>
  </si>
  <si>
    <t>RETRACTED: Cadmium-induced Changes in Fine Structure of the Microalgae Chlamydomonas sp ICE-L from Antarctica (Retracted Article)</t>
  </si>
  <si>
    <t>2011 INTERNATIONAL CONFERENCE ON ENERGY AND ENVIRONMENTAL SCIENCE-ICEES 2011</t>
  </si>
  <si>
    <t>Energy Procedia</t>
  </si>
  <si>
    <t>Proceedings Paper; Retracted Publication</t>
  </si>
  <si>
    <t>International Conference on Energy and Environmental Science (ICEES)</t>
  </si>
  <si>
    <t>OCT, 2011</t>
  </si>
  <si>
    <t>Singapore, SINGAPORE</t>
  </si>
  <si>
    <t>Antarctica; Cadmium; Chlamydomonas sp ICE-L; Microalgae; Ultrastructure; Heavy metal</t>
  </si>
  <si>
    <t>METALS</t>
  </si>
  <si>
    <t>The ultrastructural changes of the Antarctic Chlamydomonas sp. ICE-L exposure to selected concentrations of cadmium were examined using ultramicrotomy and electron microtechnique in present paper. It is observed that starch grains and chloroplast were destroyed dramatically. Vacuole increased both in volume and in numbers, and protoplasm shrinked in the experimental groups treated with high CdCl2. Distorted membrane and indistinct cell wall were found at the same time. The experimental groups exposed to CdCl2 for 24 h showed that the mitochondria was hardly affected. Results showed that effect of CdCl2 on ICE-L was depended on treated dose and time. (C) 2011 Published by Elsevier Ltd. Selection and/or peer-review under responsibility of the Organizers of 2011 International Conference on Energy and Environmental Science.</t>
  </si>
  <si>
    <t>[Ding Yu; Jian Jichang; Wu Zaohe] Guangdong Ocean Univ, Guangdong Prov Key Lab Pathogen Biol &amp; Epidemiol, Coll Fisheries, Zhanjiang 524025, Guangdong, Peoples R China</t>
  </si>
  <si>
    <t>Guangdong Ocean University</t>
  </si>
  <si>
    <t>Ding, Y (corresponding author), Guangdong Ocean Univ, Guangdong Prov Key Lab Pathogen Biol &amp; Epidemiol, Coll Fisheries, Zhanjiang 524025, Guangdong, Peoples R China.</t>
  </si>
  <si>
    <t>dingyuddd@163.com</t>
  </si>
  <si>
    <t>1876-6102</t>
  </si>
  <si>
    <t>ENRGY PROCED</t>
  </si>
  <si>
    <t>10.1016/j.egypro.2011.10.833</t>
  </si>
  <si>
    <t>Energy &amp; Fuels; Environmental Sciences</t>
  </si>
  <si>
    <t>Energy &amp; Fuels; Environmental Sciences &amp; Ecology</t>
  </si>
  <si>
    <t>BYK25</t>
  </si>
  <si>
    <t>WOS:000299096404050</t>
  </si>
  <si>
    <t>Jawak, SD; Luis, AJ</t>
  </si>
  <si>
    <t>Yun, Z</t>
  </si>
  <si>
    <t>Jawak, Shridhar D.; Luis, Alvarinho J.</t>
  </si>
  <si>
    <t>Applications of WorldView-2 satellite data for Extraction of Polar Spatial Information and DEM of Larsemann Hills, East Antarctica</t>
  </si>
  <si>
    <t>2011 INTERNATIONAL CONFERENCE ON FUZZY SYSTEMS AND NEURAL COMPUTING (FSNC 2011), VOL II</t>
  </si>
  <si>
    <t>International Conference on Fuzzy Systems and Neural Computing (FSNC 2011)</t>
  </si>
  <si>
    <t>FEB 20-21, 2011</t>
  </si>
  <si>
    <t>Hong Kong, PEOPLES R CHINA</t>
  </si>
  <si>
    <t>WorldView-2; Antarctica; DEM</t>
  </si>
  <si>
    <t>Generation of Digital Elevation Model (DEM) and mapping of Antarctic region from high spectral and spatial resolution satellite imagery is a most significant and recent topic in the field of polar research. An attempt is made under DigitalGlobe's 8 Band Research challenge to evaluate the potential of high resolution WorldView-2 (PAN+ Multispectral) data for extraction of polar spatial information and elevation mapping of Larsemann Hills where the new Indian Antarctic station Bharati is being established. We present the research work carried out using 8 bands Worldview-2(WV-2) imagery for better understanding of the spatial changes in the surface topography, including land ice variation, which will help in logistic activities in the future Indian Antarctic expeditions. This paper describes the preliminary analysis of WV-2 carried out for the mapping of the research area and the validation of the GIS database generated from Landsat imagery. Our goal is to map the region using high resolution remote sensing data for effective field survey planning and to generate the DEMs for total ice volume change studies at Larsemann Hills, so as to quantify and better understand the impacts of global warming Antarctic ice and permafrost. A pair of overlapping basic images acquired on 9th December 2009 and 10th September 2010 by DigitalGlobe, with a slightly different viewing angle, has been used for the analysis, and we are successful in mapping the study area using GIS techniques.</t>
  </si>
  <si>
    <t>[Jawak, Shridhar D.; Luis, Alvarinho J.] Minist Earth Sci, NCAOR, Polar Remote Sensing Div, Headland Sada 403804, Goa, India</t>
  </si>
  <si>
    <t>Ministry of Earth Sciences (MoES) - India; National Centre for Polar and Ocean Research (NCPOR)</t>
  </si>
  <si>
    <t>Jawak, SD (corresponding author), Minist Earth Sci, NCAOR, Polar Remote Sensing Div, Headland Sada 403804, Goa, India.</t>
  </si>
  <si>
    <t>shridhar.jawak@ncaor.org</t>
  </si>
  <si>
    <t>Jawak, Shridhar/G-9678-2012</t>
  </si>
  <si>
    <t>Jawak, Shridhar/0000-0002-0648-3109</t>
  </si>
  <si>
    <t>978-1-4244-9216-9</t>
  </si>
  <si>
    <t>Computer Science, Information Systems; Engineering, Geological; Geosciences, Multidisciplinary</t>
  </si>
  <si>
    <t>Computer Science; Engineering; Geology</t>
  </si>
  <si>
    <t>BH1OY</t>
  </si>
  <si>
    <t>WOS:000398330000037</t>
  </si>
  <si>
    <t>Qi, W; Wang, W; Chen, NC</t>
  </si>
  <si>
    <t>Hu, J</t>
  </si>
  <si>
    <t>Qi, Wei; Wang, Wei; Chen, Nengcheng</t>
  </si>
  <si>
    <t>Eco-environment Vulnerabiltiy Assessment Based on SOM-Ward ANN Clustering Method</t>
  </si>
  <si>
    <t>2011 INTERNATIONAL CONFERENCE ON INTELLIGENT COMPUTATION AND INDUSTRIAL APPLICATION (ICIA2011), VOL IV</t>
  </si>
  <si>
    <t>International Conference on Intelligent Computation and Industrial Application (ICIA2011)</t>
  </si>
  <si>
    <t>JUN 18-19, 2011</t>
  </si>
  <si>
    <t>eco-environment; vulnerabiltiy assessment; unsupervised artificial neural network; Self-organizaing map (SOM); Ward's clustering</t>
  </si>
  <si>
    <t>This paper proposed a new unsupervised artificial neural network i.e. the SOM-Ward clustering method for conducting eco-environment vulnerabiltiy assessment. Through the clustering results on Fildes Peninsula we summarize the characteristics of the eco-environment vulnerability of the Antarctic ice-free areas and verify the practicability and reliability of the SOM-Ward model.</t>
  </si>
  <si>
    <t>[Qi, Wei; Wang, Wei; Chen, Nengcheng] Wuhan Univ, State Key Lab Informat Engn Surveying Mapping &amp; R, Wuhan, Peoples R China</t>
  </si>
  <si>
    <t>Qi, W (corresponding author), Wuhan Univ, State Key Lab Informat Engn Surveying Mapping &amp; R, Wuhan, Peoples R China.</t>
  </si>
  <si>
    <t>qiwei01@21cn.com</t>
  </si>
  <si>
    <t>INT INDUSTRIAL ELECTRONIC CENTER</t>
  </si>
  <si>
    <t>SHAM SHUI PO</t>
  </si>
  <si>
    <t>FLAT 4A YUE FAT BUILDING, 87-91 TAI PO ROAD, SHAM SHUI PO, KOWLOON 00000, PEOPLES R CHINA</t>
  </si>
  <si>
    <t>978-988-19116-5-0</t>
  </si>
  <si>
    <t>Engineering, Multidisciplinary</t>
  </si>
  <si>
    <t>BG9KM</t>
  </si>
  <si>
    <t>WOS:000393363200016</t>
  </si>
  <si>
    <t>Young, E; Bullock, M; Tsang, C; Fox, J; Mellon, R; Widemann, T; Wilson, C</t>
  </si>
  <si>
    <t>Ouwehand, L</t>
  </si>
  <si>
    <t>Young, Eliot; Bullock, Mark; Tsang, Constantine; Fox, Jack; Mellon, Russell; Widemann, Thomas; Wilson, Colin</t>
  </si>
  <si>
    <t>A BALLOON-BORNE MISSION TO OBSERVE VENUS DURING THE JANUARY 2014 INFERIOR CONJUNCTION</t>
  </si>
  <si>
    <t>20TH ESA SYMPOSIUM ON EUROPEAN ROCKET AND BALLOON PROGRAMMES AND RELATED RESEARCH</t>
  </si>
  <si>
    <t>ESA Special Publications</t>
  </si>
  <si>
    <t>20th ESA Symposium on European Rocket and Balloon Programmes and Related Research</t>
  </si>
  <si>
    <t>MAY 22-26, 2011</t>
  </si>
  <si>
    <t>Hyere, FRANCE</t>
  </si>
  <si>
    <t>We describe a stratospheric balloon mission that will make continuous observations of Venus over a period of several weeks during the January 2014 inferior conjunction. NASA's balloon program has historically supported Antarctic flights like this one in the Heliophysics and Astrophysics Divisions. The proposed experiment consists of a one meter telescope, two imaging detectors operating from 0.35 to 2.55 mu m at the diffraction limit and 33 filters. This mission will address a number of questions regarding (a) Venus' super-rotation and general circulation, (b) the properties of Venus' clouds, (c) the distribution of trace species and the coupling between certain dynamical and chemical processes, (d) the existence and prevalence of lightning on Venus, and (e) the distribution of thermal emissivity anomalies on Venus' surface. We call this mission VSS (Venus StratoScope) to keep in mind the legacy of the Stratoscope and Stratoscope II balloon missions.</t>
  </si>
  <si>
    <t>[Young, Eliot; Bullock, Mark; Tsang, Constantine] Southwest Res Inst, 1050 Walnut St, Boulder, CO 80302 USA; [Mellon, Russell] Equinox Intersci, Pinecliffe, CO 80471 USA; [Widemann, Thomas] Observ Paris, F-92195 Meudon, France; [Wilson, Colin] Univ Oxford, Dept Atmospher Ocean &amp; Planetary Phys, Oxford OX1 3PU, England</t>
  </si>
  <si>
    <t>Southwest Research Institute; Universite PSL; Observatoire de Paris; University of Oxford</t>
  </si>
  <si>
    <t>Young, E (corresponding author), Southwest Res Inst, 1050 Walnut St, Boulder, CO 80302 USA.</t>
  </si>
  <si>
    <t>efy@boulder.swri.edu; bullock@boulder.swri.edu; con@boulder.swri.edu; jack.fox@comcast.net; info@eisci.com; thomas.widemann@obspm.fr; wilson@atm.ox.ac.uk</t>
  </si>
  <si>
    <t>Wilson, Colin/AAI-3307-2020</t>
  </si>
  <si>
    <t>Wilson, Colin/0000-0001-5355-1533</t>
  </si>
  <si>
    <t>ESA PUBLICATIONS DIVISION C/O ESTEC</t>
  </si>
  <si>
    <t>2200 AG NOORDWIJK</t>
  </si>
  <si>
    <t>PO BOX 299, 2200 AG NOORDWIJK, NETHERLANDS</t>
  </si>
  <si>
    <t>0379-6566</t>
  </si>
  <si>
    <t>978-92-9092-264-3</t>
  </si>
  <si>
    <t>ESA SPEC PUBL</t>
  </si>
  <si>
    <t>Engineering, Aerospace</t>
  </si>
  <si>
    <t>BGZ78</t>
  </si>
  <si>
    <t>WOS:000324759000060</t>
  </si>
  <si>
    <t>Pica, A; Merlino, A; Balsamo, A; Mazzarella, L; Vergara, A</t>
  </si>
  <si>
    <t>Pica, Andrea; Merlino, Antonello; Balsamo, Anna; Mazzarella, Lelio; Vergara, Alessandro</t>
  </si>
  <si>
    <t>Raman assisted X-Ray crystallographic study of nitric oxide binding to deoxygenated hemoglobins</t>
  </si>
  <si>
    <t>ACTA CRYSTALLOGRAPHICA A-FOUNDATION AND ADVANCES</t>
  </si>
  <si>
    <t>hemoglobin; binding; raman</t>
  </si>
  <si>
    <t>[Pica, Andrea; Merlino, Antonello; Balsamo, Anna; Mazzarella, Lelio; Vergara, Alessandro] Univ Naples Federico II, Dept Chem Paolo Corradini, I-80126 Naples, Italy; [Merlino, Antonello; Mazzarella, Lelio; Vergara, Alessandro] CNR, Ist Biostrutture &amp; Bioimmagini, I-80134 Naples, Italy</t>
  </si>
  <si>
    <t>University of Naples Federico II; Consiglio Nazionale delle Ricerche (CNR); Istituto di Biostrutture e Bioimmagini (IBB-CNR)</t>
  </si>
  <si>
    <t>and.pica@studenti.unina.it</t>
  </si>
  <si>
    <t>Merlino, Antonello/AAI-2114-2020; Vergara, Alessandro/C-4435-2013</t>
  </si>
  <si>
    <t>Vergara, Alessandro/0000-0003-4135-0245</t>
  </si>
  <si>
    <t>PNRA (Italian National Program for Antarctic Research)</t>
  </si>
  <si>
    <t>This work was financially supported by PNRA (Italian National Program for Antarctic Research).</t>
  </si>
  <si>
    <t>INT UNION CRYSTALLOGRAPHY</t>
  </si>
  <si>
    <t>CHESTER</t>
  </si>
  <si>
    <t>2 ABBEY SQ, CHESTER, CH1 2HU, ENGLAND</t>
  </si>
  <si>
    <t>2053-2733</t>
  </si>
  <si>
    <t>ACTA CRYSTALLOGR A</t>
  </si>
  <si>
    <t>Acta Crystallogr. Sect. A</t>
  </si>
  <si>
    <t>MS51.P10</t>
  </si>
  <si>
    <t>C553</t>
  </si>
  <si>
    <t>10.1107/S0108767311086016</t>
  </si>
  <si>
    <t>Chemistry, Multidisciplinary; Crystallography</t>
  </si>
  <si>
    <t>Chemistry; Crystallography</t>
  </si>
  <si>
    <t>VI4FT</t>
  </si>
  <si>
    <t>WOS:000484219402385</t>
  </si>
  <si>
    <t>Jacob, U; Thierry, A; Brose, U; Arntz, WE; Berg, S; Brey, T; Fetzer, I; Jonsson, T; Mintenbeck, K; Möllmann, C; Petchey, OL; Riede, JO; Dunne, JA</t>
  </si>
  <si>
    <t>Belgrano, A; Reiss, J</t>
  </si>
  <si>
    <t>Jacob, Ute; Thierry, Aaron; Brose, Ulrich; Arntz, Wolf E.; Berg, Sofia; Brey, Thomas; Fetzer, Ingo; Jonsson, Tomas; Mintenbeck, Katja; Moellmann, Christian; Petchey, Owen L.; Riede, Jens O.; Dunne, Jennifer A.</t>
  </si>
  <si>
    <t>The Role of Body Size in Complex Food Webs: A Cold Case</t>
  </si>
  <si>
    <t>ADVANCES IN ECOLOGICAL RESEARCH, VOL 45: THE ROLE OF BODY SIZE IN MULTISPECIES SYSTEMS</t>
  </si>
  <si>
    <t>Advances in Ecological Research</t>
  </si>
  <si>
    <t>ALLOMETRIC DEGREE DISTRIBUTIONS; FUNCTIONAL DIVERSITY; ECOLOGICAL NETWORKS; TROPHIC POSITION; SECONDARY EXTINCTIONS; INTERACTION STRENGTH; SPECIES ABUNDANCE; SEA OTTERS; BIODIVERSITY; PREDATOR</t>
  </si>
  <si>
    <t>Human-induced habitat destruction, overexploitation, introduction of alien species and climate change are causing species to go extinct at unprecedented rates, from local to global scales. There are growing concerns that these kinds of disturbances alter important functions of ecosystems. Our current understanding is that key parameters of a community (e.g. its functional diversity, species composition, and presence/absence of vulnerable species) reflect an ecological network's ability to resist or rebound from change in response to pressures and disturbances, such as species loss. If the food web structure is relatively simple, we can analyse the roles of different species interactions in determining how environmental impacts translate into species loss. However, when ecosystems harbour species-rich communities, as is the case in most natural systems, then the complex network of ecological interactions makes it a far more challenging task to perceive how species' functional roles influence the consequences of species loss. One approach to deal with such complexity is to focus on the functional traits of species in order to identify their respective roles: for instance, large species seem to be more susceptible to extinction than smaller species. Here, we introduce and analyse the marine food web from the high Antarctic Weddell Sea Shelf to illustrate the role of species traits in relation to network robustness of this complex food web. Our approach was threefold: firstly, we applied a new classification system to all species, grouping them by traits other than body size; secondly, we tested the relationship between body size and food web parameters within and across these groups and finally, we calculated food web robustness. We addressed questions regarding (i) patterns of species functional/trophic roles, (ii) relationships between species functional roles and body size and (iii) the role of species body size in terms of network robustness. Our results show that when analyzing relationships between trophic structure, body size and network structure, the diversity of predatory species types needs to be considered in future studies.</t>
  </si>
  <si>
    <t>[Jacob, Ute; Moellmann, Christian] Univ Hamburg, Inst Hydrobiol &amp; Fisheries Sci, Hamburg, Germany; [Thierry, Aaron] Univ Sheffield, Dept Anim &amp; Plant Sci, Western Bank, Sheffield S10 2TN, S Yorkshire, England; [Thierry, Aaron] Microsoft Res, Cambridge, England; [Brose, Ulrich; Riede, Jens O.] Univ Gottingen, JF Blumenbach Inst Zool &amp; Anthropol, Syst Conservat Biol Grp, Gottingen, Germany; [Arntz, Wolf E.; Brey, Thomas; Mintenbeck, Katja] Alfred Wegener Inst Polar &amp; Marine Res, Bremerhaven, Germany; [Berg, Sofia; Jonsson, Tomas] Univ Skovde, Ecol Modelling Grp, Syst Biol Res Ctr, Skovde, Sweden; [Fetzer, Ingo] UFZ Helmholtz Ctr Environm Res, Dept Environm Microbiol, Leipzig, Germany; [Petchey, Owen L.] Univ Zurich, Inst Evolutionary Biol &amp; Environm Studies, Zurich, Switzerland; [Dunne, Jennifer A.] Santa Fe Inst, Santa Fe, NM 87501 USA; [Dunne, Jennifer A.] Pacific Ecoinformat &amp; Computat Ecol Lab, Berkeley, CA USA</t>
  </si>
  <si>
    <t>University of Hamburg; University of Sheffield; Microsoft; University of Gottingen; Helmholtz Association; Alfred Wegener Institute, Helmholtz Centre for Polar &amp; Marine Research; University of Skovde; Helmholtz Association; Helmholtz Center for Environmental Research (UFZ); University of Zurich; The Santa Fe Institute</t>
  </si>
  <si>
    <t>Jacob, U (corresponding author), Univ Hamburg, Inst Hydrobiol &amp; Fisheries Sci, Grosse Elbstr 133, Hamburg, Germany.</t>
  </si>
  <si>
    <t>ute.jacob@uni-hamburg.de</t>
  </si>
  <si>
    <t>Jonsson, Tomas/G-1787-2013; Jacob, Ute/H-3089-2018; Brose, Ulrich/AAT-7547-2020; Möllmann, Christian/M-8006-2019; Petchey, Owen/D-8851-2011; Möllmann, Christian/C-4788-2011; Dunne, Jennifer A/C-4714-2008; Brose, Ulrich/I-3488-2014; Fetzer, Ingo/A-6748-2015; Riede, Jens O/C-7168-2009</t>
  </si>
  <si>
    <t>Jonsson, Tomas/0000-0002-5234-9576; Brose, Ulrich/0000-0001-9156-583X; Petchey, Owen/0000-0002-7724-1633; Möllmann, Christian/0000-0001-9161-6342; Fetzer, Ingo/0000-0001-7335-5679; Mintenbeck, Katja/0000-0002-3239-6308; Brey, Thomas/0000-0002-6345-2851</t>
  </si>
  <si>
    <t>Direct For Biological Sciences; Div Of Biological Infrastructure [0850373] Funding Source: National Science Foundation</t>
  </si>
  <si>
    <t>Direct For Biological Sciences; Div Of Biological Infrastructure(National Science Foundation (NSF)NSF - Directorate for Biological Sciences (BIO))</t>
  </si>
  <si>
    <t>0065-2504</t>
  </si>
  <si>
    <t>2163-582X</t>
  </si>
  <si>
    <t>978-0-12-386475-8</t>
  </si>
  <si>
    <t>ADV ECOL RES</t>
  </si>
  <si>
    <t>Adv. Ecol. Res.</t>
  </si>
  <si>
    <t>10.1016/B978-0-12-386475-8.00005-8</t>
  </si>
  <si>
    <t>BZX44</t>
  </si>
  <si>
    <t>WOS:000303215900005</t>
  </si>
  <si>
    <t>Wating, L; France, SC; Pante, E; Simpson, A</t>
  </si>
  <si>
    <t>Wating, Les; France, Scott C.; Pante, Eric; Simpson, Anne</t>
  </si>
  <si>
    <t>BIOLOGY OF DEEP-WATER OCTOCORALS</t>
  </si>
  <si>
    <t>MOLECULAR PHYLOGENETIC ANALYSIS; NORTH-EASTERN ATLANTIC; SOFT-CORAL; REPRODUCTIVE-BIOLOGY; PRIMNOA-RESEDAEFORMIS; ANTARCTIC OCTOCORALS; CNIDARIA ANTHOZOA; MULTIPLE ORIGINS; PRECIOUS CORALS; SEA OCTOCORALS</t>
  </si>
  <si>
    <t>[Wating, Les] Univ Hawaii Manoa, Dept Biol, Honolulu, HI 96822 USA; [Simpson, Anne] Univ Maine, Darling Marine Ctr, Walpole, ME 04573 USA; [France, Scott C.; Pante, Eric] Univ Louisiana Lafayette, Dept Biol, Lafayette, LA USA</t>
  </si>
  <si>
    <t>University of Hawaii System; University of Hawaii Manoa; University of Maine System; University of Maine Orono; University of Louisiana Lafayette</t>
  </si>
  <si>
    <t>Wating, L (corresponding author), Univ Hawaii Manoa, Dept Biol, Honolulu, HI 96822 USA.</t>
  </si>
  <si>
    <t>watling@hawaii.edu</t>
  </si>
  <si>
    <t>Pante, Eric/C-4230-2011</t>
  </si>
  <si>
    <t>Pante, Eric/0000-0001-7680-2112</t>
  </si>
  <si>
    <t>10.1016/B978-0-12-385529-9.00002-0</t>
  </si>
  <si>
    <t>WOS:000301675300002</t>
  </si>
  <si>
    <t>Reisinger, RR; de Bruyn, PJN; Tosh, CA; Oosthuizen, WC; Mufanadzo, NT; Bester, MN</t>
  </si>
  <si>
    <t>Reisinger, R. R.; de Bruyn, P. J. N.; Tosh, C. A.; Oosthuizen, W. C.; Mufanadzo, N. T.; Bester, M. N.</t>
  </si>
  <si>
    <t>Prey and seasonal abundance of killer whales at sub-Antarctic Marion Island</t>
  </si>
  <si>
    <t>Orcinus orca; seals; diet; foraging; Southern Ocean; seasonal occurrence</t>
  </si>
  <si>
    <t>SEALS ARCTOCEPHALUS-TROPICALIS; EASTERN NORTH PACIFIC; PRINCE-EDWARD ISLANDS; SOUTH-AFRICAN WATERS; ORCINUS-ORCA; FUR SEALS; BRITISH-COLUMBIA; FEEDING ECOLOGY; POPULATION; BEHAVIOR</t>
  </si>
  <si>
    <t>The diet of killer whales Orcinus orca was investigated from 48 predation events observed during 823 sightings at sub-Antarctic Marion Island between 2006 and 2009. From these events, there were 10 cases where prey could be identified. Killer whales fed on fur seals Arctocephalus tropicalis, elephant seals Mirounga leonina and penguins. Constant effort (dedicated) observations (259 hours, 2008-2009) showed that the peak in killer whale abundance was between September and December with a secondary peak between April and May, which coincided with peaks in the abundance of seals and penguins.</t>
  </si>
  <si>
    <t>[Reisinger, R. R.; de Bruyn, P. J. N.; Tosh, C. A.; Oosthuizen, W. C.; Mufanadzo, N. T.; Bester, M. N.] Univ Pretoria, Mammal Res Inst, Dept Zool &amp; Entomol, ZA-0028 Hatfield, South Africa</t>
  </si>
  <si>
    <t>Reisinger, RR (corresponding author), Univ Pretoria, Mammal Res Inst, Dept Zool &amp; Entomol, Private Bag X20, ZA-0028 Hatfield, South Africa.</t>
  </si>
  <si>
    <t>rrreisinger@zoology.up.ac.za</t>
  </si>
  <si>
    <t>Oosthuizen, W. Chris/I-2947-2016; Bester, Marthán N/E-5387-2010; de Bruyn, P. J. Nico/E-4176-2010; Tosh, Cheryl/D-5623-2016; Reisinger, Ryan R/D-6151-2014</t>
  </si>
  <si>
    <t>Oosthuizen, W. Chris/0000-0003-2905-6297; de Bruyn, P. J. Nico/0000-0002-9114-9569; Tosh, Cheryl/0000-0003-0243-5422; Reisinger, Ryan R/0000-0002-8933-6875</t>
  </si>
  <si>
    <t>Department of Science and Technology</t>
  </si>
  <si>
    <t>Department of Science and Technology(Department of Science &amp; Technology (India))</t>
  </si>
  <si>
    <t>We thank the South African Department of Environmental Affairs for providing logistical support within the South African National Antarctic Programme, and the Department of Science and Technology (administered through the National Research Foundation) for funding the marine mammal monitoring programme at Marion Island. Various overwintering and relief expedition members recorded their sightings and provided photographs. Two anonymous reviewers provided useful comments on this manuscript.</t>
  </si>
  <si>
    <t>10.2989/1814232X.2011.572356</t>
  </si>
  <si>
    <t>WOS:000291498700009</t>
  </si>
  <si>
    <t>Barendse, J; Best, PB; Thornton, M; Elwen, SH; Rosenbaum, HC; Carvalho, I; Pomilla, C; Collins, TJQ; Meÿer, MA; Leeney, RH</t>
  </si>
  <si>
    <t>Barendse, J.; Best, P. B.; Thornton, M.; Elwen, S. H.; Rosenbaum, H. C.; Carvalho, I.; Pomilla, C.; Collins, T. J. Q.; Meyer, M. A.; Leeney, R. H.</t>
  </si>
  <si>
    <t>Transit station or destination? Attendance patterns, movements and abundance estimate of humpback whales off west South Africa from photographic and genotypic matching</t>
  </si>
  <si>
    <t>abundance; Breeding Stock B; capture heterogeneity; capture-recapture; Chapman's modified Petersen estimate; Megaptera novaeangliae; migration; photo-identification; Program MARK; site fidelity</t>
  </si>
  <si>
    <t>ESTIMATING ANIMAL ABUNDANCE; CAPTURE-RECAPTURE DATA; MEGAPTERA-NOVAEANGLIAE; POPULATION-SIZE; MARK-RECAPTURE; COAST; IDENTIFICATION; ATLANTIC; MIGRATION; DOLPHINS</t>
  </si>
  <si>
    <t>Humpback whales Megaptera novaeangliae found off west South Africa (WSA) are known to display an atypical migration that may include temporary residency and feeding during spring and summer. At a regional scale there is uncertainty about how these whales relate to the greater West African Breeding Stock B as a whole, with evidence both for and against its division into two substocks. A database containing sighting information of humpback whales intercepted by boat in the WSA region from 1983 to 2008 was compiled. It included a total of 1 820 identification images of ventral tail flukes and lateral views of dorsal fins. After systematic within-and between-year matching of images of usable quality, it yielded 154 different individuals identified by tail flukes (TF), 230 by left dorsal fins (LDF), and 237 by right dorsal fins (RDF). Microsatellite (MS) matching of 216 skin biopsies yielded 156 individuals. By linking all possible sightings of the same individuals using all available identification features, the periodicity and seasonality of 281 individual whales were examined. In all, 60 whales were resighted on different days of which 44 were between different calendar years. The most resightings for one individual was 11 times, seen in six different years, and the longest interval between first and last sightings was about 18 years. A resighting rate of 15.6% of whales at intervals of a year or more indicates long-term fidelity to the region. Shorter intervals of 1-6 months between sequential sightings in the same year may suggest temporary residency. The TF image collection from WSA was compared to TF collections from four other regions, namely Gabon, Cabinda (Angola), Namibia and the Antarctic Humpback Whale Catalogue (AHWC). Three matches were detected between WSA (in late spring or summer) and Gabon (in winter), confirming direct movement between these regions. The capture-recapture data of four different identification features (TF, RDF, LDF and MS) from six successive subsets of data from periods with the highest collection effort (2001-2007) were used to calculate the number of whales that utilise the region, using both closed-and open-population models. Dorsal fins have never been used to estimate abundance for humpback whales, so the different identification features were evaluated for potential biases. This revealed 9-14% incidence of missed matches (false negatives) when using dorsal fins that would result in an overestimate, whereas variation in individual fluke-up behaviour may lower estimates by as much as 57-66% due to heterogeneity of individual capture probability. Taking into consideration the small dataset and low number of recaptures, the most consistent and precise results were obtained from a fully time-dependent version of the Jolly-Seber open-population model, with annual survival fixed at 0.96, using the MS dataset. This suggests that the WSA feeding assemblage during the months of spring and summer (September-March) of the study period numbered about 500 animals. The relationship of these whales to those (perhaps strictly migratory) that may occur in other seasons of the year, and their links to possible migratory routes and other feeding or breeding areas, remain uncertain.</t>
  </si>
  <si>
    <t>[Barendse, J.; Best, P. B.; Thornton, M.; Elwen, S. H.] Univ Pretoria, Mammal Res Inst, Iziko S African Museum, ZA-8000 Cape Town, South Africa; [Rosenbaum, H. C.; Carvalho, I.; Collins, T. J. Q.] Wildlife Conservat Soc, Ocean Giants Program, Bronx, NY 10460 USA; [Rosenbaum, H. C.; Carvalho, I.; Pomilla, C.] Amer Museum Nat Hist, Sackler Inst Comparat Genom, New York, NY 10024 USA; [Collins, T. J. Q.] Environm Soc Oman, Ruwi, Oman; [Carvalho, I.] Univ Algarve, Fac Ciencias Mar &amp; Ambiente, P-8000139 Faro, Portugal; [Meyer, M. A.] Dept Environm Affairs, ZA-8012 Cape Town, South Africa; [Leeney, R. H.] Univ Plymouth, Sch Marine Sci &amp; Engn, Plymouth PL4 8AA, Devon, England</t>
  </si>
  <si>
    <t>University of Pretoria; Wildlife Conservation Society; American Museum of Natural History (AMNH); Universidade do Algarve; Department of Environment, Forestry &amp; Fisheries; University of Plymouth</t>
  </si>
  <si>
    <t>Barendse, J (corresponding author), Univ Pretoria, Mammal Res Inst, Iziko S African Museum, POB 61, ZA-8000 Cape Town, South Africa.</t>
  </si>
  <si>
    <t>jaco.barendse@gmail.com</t>
  </si>
  <si>
    <t>Pomilla, Cristina/AAC-4035-2020; Barendse, Jaco/F-7064-2012; Leeney, Ruth H./AAZ-3076-2021; Pomilla, Cristina/GYD-9678-2022; Carvalho, Ines/E-9270-2012</t>
  </si>
  <si>
    <t>Pomilla, Cristina/0000-0002-2581-8365; Barendse, Jaco/0000-0003-2859-4501; Collins, Tim/0000-0002-7124-4876; Elwen, Simon/0000-0002-7467-6121; Carvalho, Ines/0000-0002-4641-8037</t>
  </si>
  <si>
    <t>National Research Foundation (NRF), South Africa [2047517]; Earthwatch Institute; Mazda Wildlife Fund; PADI Project AWARE (UK); Iziko South African Museum; NRF; Society for Marine Mammalogy, University of Pretoria; Wildlife Society of South Africa (Charles Astley Maberley Memorial bursary); Namibian Coastal Conservation and Management Project; Nedbank Go Green Fund, Mohammed bin Zayed Species Conservation Fund; British Ecological Society; Rufford Small Grants Foundation; Namibia Nature Foundation; International Whaling Commission</t>
  </si>
  <si>
    <t>National Research Foundation (NRF), South Africa(National Research Foundation - South Africa); Earthwatch Institute; Mazda Wildlife Fund; PADI Project AWARE (UK); Iziko South African Museum; NRF; Society for Marine Mammalogy, University of Pretoria; Wildlife Society of South Africa (Charles Astley Maberley Memorial bursary); Namibian Coastal Conservation and Management Project; Nedbank Go Green Fund, Mohammed bin Zayed Species Conservation Fund; British Ecological Society; Rufford Small Grants Foundation; Namibia Nature Foundation; International Whaling Commission</t>
  </si>
  <si>
    <t>Research work during the main research project off WSA was supported by the National Research Foundation (NRF), South Africa, under Grant Number 2047517. The following other organisations are thanked: Earthwatch Institute (funding); the Mazda Wildlife Fund (through the provision of a field vehicle); SASOL (through the donation of two four-stroke engines); PADI Project AWARE (UK) (funding); the South African Navy (access to the shore-based look-out); the Military Academy, University of Stellenbosch (accommodation); and Iziko South African Museum (office space and support). JB gratefully received financial support in the form of bursaries from the NRF, the Society for Marine Mammalogy, University of Pretoria, and the Wildlife Society of South Africa (Charles Astley Maberley Memorial bursary). The Namibian Dolphin Project is supported by the Namibian Coastal Conservation and Management Project, the Nedbank Go Green Fund, Mohammed bin Zayed Species Conservation Fund, the British Ecological Society, the Rufford Small Grants Foundation, and the Namibia Nature Foundation. JB and TJQC received funding from the International Whaling Commission to conduct between-region matching. CP, IC and HCR are grateful to the Sackler Institute for Comparative Genomics, American Museum of Natural History, in particular Dr George Amato, Dr Rob DeSalle, Matt Leslie and Jacqueline Ay-Ling Loo. The fieldwork would have been impossible without the enthusiastic assistance of numerous Earthwatch and other volunteers, to all of whom we owe a big debt of gratitude. The following photographers (from various affiliations) took or contributed images in WSA: Blake Abernethy, Meredith Thornton, Ingrid Peters, Desray Reeb, Shaun Dillon, Lisa Mansfield, Tilen Genov, Stephanie Plon, Andre du Randt, Mike Me er, Darell Anders, Sharon du Plessis, and Rob Tarr; and in Namibia: Mike Lloyd, Ute von Ludwiger, Orlanda Sardinha and Francois Visser (Levo Tours). The scanning protocol and photographic database structure was based on one developed by PJ Ersts (later modified by S Cerchio, TJQC and WCS) as part of a regional Atlantic/Indian Ocean humpback whale research collaboration. South African digital coastline data were obtained from the South African National Biodiversity Institute as used for the National Spatial Biodiversity Assessment 2004. Ocean-wide bathymetry shape files were downloaded from Natural Earth (http://www.naturalearthdata.com/). Steve Kirkman, Ingrid Peters and Salvatore Cerchio are thanked for discussions on mark-recapture analyses. An earlier version of the manuscript benefitted greatly from the comments of two anonymous referees. Research in South Africa was authorised by successive annual permits issued to PBB by the Minister for Environmental Affairs, in terms of Regulation 58 of the Marine Living Resources Act, 1998 (Act No. 18 of 1998). Research in Namibia was completed under a permit issued to SE and RL by the Namibian Ministry of Fisheries &amp; Marine Resources. Some of these data and analyses have previously been presented to the IWC Scientific Committee Meeting in Agadir, Morocco, in 2010, and were included in an unpublished report to this meeting; this report can be accessed at http://iwcoffice.org/_documents/sci_com/SC62docs/SC-62-SH2.pdf.</t>
  </si>
  <si>
    <t>10.2989/1814232X.2011.637343</t>
  </si>
  <si>
    <t>875NJ</t>
  </si>
  <si>
    <t>WOS:000299037500003</t>
  </si>
  <si>
    <t>Bester, MN; de Bruyn, PJN; Oosthuizen, WC; Tosh, CA; McIntyre, T; Reisinger, RR; Postma, M; van der Merwe, DS; Wege, M</t>
  </si>
  <si>
    <t>Bester, M. N.; de Bruyn, P. J. N.; Oosthuizen, W. C.; Tosh, C. A.; McIntyre, T.; Reisinger, R. R.; Postma, M.; van der Merwe, D. S.; Wege, M.</t>
  </si>
  <si>
    <t>The Marine Mammal Programme at the Prince Edward Islands: 38 years of research</t>
  </si>
  <si>
    <t>Antarctic fur seal; foraging ecology; killer whale; population dynamics; southern elephant seal; Subantarctic fur seal</t>
  </si>
  <si>
    <t>SOUTHERN ELEPHANT SEALS; ANTARCTIC FUR SEALS; WHALES ORCINUS-ORCA; MIROUNGA-LEONINA; ARCTOCEPHALUS-TROPICALIS; KILLER WHALES; POPULATION REGULATION; MOLECULAR SCATOLOGY; ATTENDANCE PATTERNS; DIVING BEHAVIOR</t>
  </si>
  <si>
    <t>The Marine Mammal Programme (MMP) conducts research on pinnipeds and killer whales Orcinus orca at Marion Island, Prince Edward Islands, under the auspices of the Mammal Research Institute, Department of Zoology and Entomology, University of Pretoria. The history of the MMP, which has benefited from collaboration with leading national and international researchers, is described from its start through to current research. The setting up of long-term studies such as the mark-resighting of southern elephant seals Mirounga leonina commenced in 1983. The elephant seal population declined by 87% between an initial census in 1951 and 2004. This was followed by a stabilisation period and a current increase. The recovery, and subsequent increase of sympatric populations of Subantarctic fur seals Arctocephalus tropicalis and Antarctic fur seals A. gazella (following cessation of commercial sealing), are documented. Insights into many aspects of elephant seal and fur seal biology, including life history, demography, diet, growth, foraging and ranging behaviour are described. Ancillary work on morphology, genetics, anthropogenic influences and rare events are mentioned, as well as the extent of current research that addresses population dynamics in an ecosystem context. Opportunistic photographic identification of killer whales and recent dedicated observations at Marion Island are used to determine population size, seasonal abundance and sociality of this population, and to further understanding of its potential impact on resident pinniped populations.</t>
  </si>
  <si>
    <t>[Bester, M. N.; de Bruyn, P. J. N.; Oosthuizen, W. C.; Tosh, C. A.; McIntyre, T.; Reisinger, R. R.; Postma, M.; van der Merwe, D. S.; Wege, M.] Univ Pretoria, Dept Zool &amp; Entomol, Mammal Res Inst, ZA-0028 Hatfield, South Africa</t>
  </si>
  <si>
    <t>Bester, MN (corresponding author), Univ Pretoria, Dept Zool &amp; Entomol, Mammal Res Inst, Private Bag X20, ZA-0028 Hatfield, South Africa.</t>
  </si>
  <si>
    <t>mnbester@zoology.up.ac.za</t>
  </si>
  <si>
    <t>Reisinger, Ryan R/D-6151-2014; Bester, Marthán N/E-5387-2010; Tosh, Cheryl/D-5623-2016; McIntyre, Trevor/E-6846-2010; Oosthuizen, W. Chris/I-2947-2016; de Bruyn, P. J. Nico/E-4176-2010; Wege, Mia/B-1103-2016</t>
  </si>
  <si>
    <t>Reisinger, Ryan R/0000-0002-8933-6875; Tosh, Cheryl/0000-0003-0243-5422; McIntyre, Trevor/0000-0001-8395-7550; Oosthuizen, W. Chris/0000-0003-2905-6297; de Bruyn, P. J. Nico/0000-0002-9114-9569; Wege, Mia/0000-0002-9022-3069</t>
  </si>
  <si>
    <t>Department of Transport; Department of Environmental Affairs and Tourism; South African Department of Science and Technology</t>
  </si>
  <si>
    <t>Research at the PEIA was first funded by the Department of Transport, which also provided the logistics, and later by the Department of Environmental Affairs and Tourism, under the auspices of various research committees. Currently, funding is provided by the South African Department of Science and Technology, administered by the National Research Foundation, while the Department of Environmental Affairs provides the logistics. We are indebted to numerous personnel for their dedicated work on Marion Island when we were not in the field (see http://marion.sanap.org.za/index2.html), and to Azwianewi Makhado for setting the standard for students from the University of Venda that came after him. Richard Laws, Donald Siniff, John Bengtson and Ian Boyd, then members of the Scientific Committee for Antarctic Research Group of Specialists on Seals, provided their individual support in the 1990s when the long-term elephant seal mark-resighting progamme at the PEIA was under threat of being discontinued. Clarke Scholtz and Sue Nicolson as heads of department, and Johan du Toit and Elissa Cameron as directors of the MRI, were supportive throughout their tenures. Harry Burton, Joachim Plotz, Brent Stewart, John Arnould and Martin Haupt provided materially and spiritually, and Horst Bornemann, Alejandro Carlini, Mark Hindell and Mirtha Lewis made meaningful collaboration possible. Graham Kerley, Ian Wilkinson, Greg Hofmeyr, Steve Kirkman, Pierre Pistorius (Marion Island expeditioners, students and friends all rolled into one), and Clive McMahon (Marion cat hunter, Macquarie sealer, student and friend), contributed enormously to the productivity of the MMP, each spending at least two seasons in the field and producing dissertations/theses and papers while at home base. We dedicate this paper to the memory of Alejandro Carlini, valued friend and colleague at IAA, who tragically passed away in the prime of his life in December 2010.</t>
  </si>
  <si>
    <t>10.2989/1814232X.2011.637356</t>
  </si>
  <si>
    <t>WOS:000299037500014</t>
  </si>
  <si>
    <t>Pistorius, PA; de Bruyn, PJN; Bester, MN</t>
  </si>
  <si>
    <t>Pistorius, P. A.; de Bruyn, P. J. N.; Bester, M. N.</t>
  </si>
  <si>
    <t>Population dynamics of southern elephant seals: a synthesis of three decades of demographic research at Marion Island</t>
  </si>
  <si>
    <t>environmental change; fecundity; growth; mark-recapture; Mirounga leonina; population regulation; survival</t>
  </si>
  <si>
    <t>ANTARCTIC FUR SEALS; PRINCE EDWARD ISLANDS; AGE-SPECIFIC SURVIVAL; KING GEORGE ISLAND; MIROUNGA-LEONINA; DENSITY-DEPENDENCE; DECLINING POPULATION; JUVENILE SURVIVAL; TIME-SERIES; TAG-LOSS</t>
  </si>
  <si>
    <t>Southern elephant seal Mirounga leonina numbers declined precipitously throughout most of their circumpolar distribution since the 1950s. A long-term intensive demographic programme was initiated in 1983 on the relatively small population of southern elephant seals at sub-Antarctic Marion Island in an attempt to identify causative mechanisms associated with this decline. Weaned pups have been tagged annually since 1983, and this has produced a large number of individuals of known identity. A regular resighting programme yielded a mark-recapture dataset that has been subjected to numerous survival-based models. This ongoing programme produced a substantial body of scientific literature on population growth patterns, vital rates (survival and fecundity) and population regulation in southern elephant seals, which are reviewed in this synthesis. We briefly describe the analytical framework common to much of the demographic research, highlight important conclusions concerning population regulation of elephant seals at Marion Island, and discuss priorities for future research.</t>
  </si>
  <si>
    <t>[Pistorius, P. A.] Nelson Mandela Metropolitan Univ, Dept Zool, ZA-6031 Port Elizabeth, South Africa; [de Bruyn, P. J. N.; Bester, M. N.] Univ Pretoria, Dept Zool &amp; Entomol, Mammal Res Inst, ZA-0028 Hatfield, South Africa</t>
  </si>
  <si>
    <t>Nelson Mandela University; University of Pretoria</t>
  </si>
  <si>
    <t>Pistorius, PA (corresponding author), Nelson Mandela Metropolitan Univ, Dept Zool, POB 77000, ZA-6031 Port Elizabeth, South Africa.</t>
  </si>
  <si>
    <t>pierre.pistorius@nmmu.ac.za</t>
  </si>
  <si>
    <t>Bester, Marthán N/E-5387-2010; de Bruyn, P. J. Nico/E-4176-2010</t>
  </si>
  <si>
    <t>de Bruyn, P. J. Nico/0000-0002-9114-9569; Pistorius, Pierre/0000-0001-6561-7069</t>
  </si>
  <si>
    <t>Department of Environmental Affairs, Marion Island; Department of Science and Technology</t>
  </si>
  <si>
    <t>Department of Environmental Affairs, Marion Island; Department of Science and Technology(Department of Science &amp; Technology (India))</t>
  </si>
  <si>
    <t>The Department of Environmental Affairs provided both financial and logistical support for research at Marion Island in earlier years. More recently the Department of Science and Technology provided the funding, managed by the National Research Foundation. We are indebted to numerous field personnel for their dedicated marking and resighting of elephant seals on Marion Island when we were not in the field. Clive McMahon and an anonymous reviewer are thanked for their comments on the submitted version of the manuscript.</t>
  </si>
  <si>
    <t>10.2989/1814232X.2011.637357</t>
  </si>
  <si>
    <t>WOS:000299037500015</t>
  </si>
  <si>
    <t>Cantrill, DJ; Tosolini, AMP; Francis, JE</t>
  </si>
  <si>
    <t>Cantrill, David J.; Tosolini, Anne-Marie P.; Francis, Jane E.</t>
  </si>
  <si>
    <t>Paleocene flora from Seymour Island, Antarctica: revision of Dusen's (1908) pteridophyte and conifer taxa</t>
  </si>
  <si>
    <t>ALCHERINGA</t>
  </si>
  <si>
    <t>Paleogene; Antarctica; Antarctic Peninsula; Gondwana; polar; ferns; conifers; palaeobotany</t>
  </si>
  <si>
    <t>GONDWANAN POLAR FORESTS; LATE ALBIAN CONIFERALES; EARLY TERTIARY; CRETACEOUS STRATIGRAPHY; ALEXANDER ISLAND; PLANT DIVERSITY; WOOD; PATAGONIA; POLLEN; VALLEY</t>
  </si>
  <si>
    <t>The Paleocene flora from Seymour Island, Antarctica, first collected by Nordenskjold on the Swedish South Polar Expedition (1901-1903), was described by Dusen (1908) as having 87 leaf taxa making it one of the most diverse floras of this age in the Southern Hemisphere. The original descriptions of these leaf impressions included 37 pteridophytes and one conifer. Many species identified by Dusen were based on single fragmentary specimens. Major new collections housed at the British Antarctic Survey (Cambridge, UK), together with the original collections held at The Swedish Museum of Natural History, form the basis for a taxonomic revision of the flora. This paper concentrates on the pteridophytes and conifers. The diversity is considerably reduced from Dusen's estimates with just three ferns (Cladophlebis aemulans, Cladophlebis seymourensis, Sphenopteris angustiloba) and two conifers (Araucaria imponens, Elatocladus seymourensis) recognized.</t>
  </si>
  <si>
    <t>[Cantrill, David J.] Royal Bot Gardens Melbourne, Natl Herbarium Victoria, S Yarra, Vic 3141, Australia; [Tosolini, Anne-Marie P.; Francis, Jane E.] Univ Leeds, Dept Earth Sci, Leeds LS2 9JT, W Yorkshire, England; [Tosolini, Anne-Marie P.] La Trobe Univ, Bundoora, Vic 3086, Australia</t>
  </si>
  <si>
    <t>University of Leeds; La Trobe University</t>
  </si>
  <si>
    <t>Cantrill, DJ (corresponding author), Royal Bot Gardens Melbourne, Natl Herbarium Victoria, Private Bag 2000,Birdwood Ave, S Yarra, Vic 3141, Australia.</t>
  </si>
  <si>
    <t>david.cantrill@rbg.vic.gov.au; a.tosolini@unimelb.edu.au; j.francis@earth.leeds.ac.uk</t>
  </si>
  <si>
    <t>Cantrill, David/R-1415-2019; Tosolini, Anne-Marie P/C-5076-2012</t>
  </si>
  <si>
    <t>Cantrill, David/0000-0002-1185-4015; Tosolini, Anne-Marie/0000-0001-7341-0703</t>
  </si>
  <si>
    <t>JEF; DJC; NERC-BAS Antarctic Funding Initiative [GR3/G0001]; NERC [NE/I00582X/1] Funding Source: UKRI; Natural Environment Research Council [NE/I00582X/1] Funding Source: researchfish</t>
  </si>
  <si>
    <t>JEF; DJC; NERC-BAS Antarctic Funding Initiative; NERC(UK Research &amp; Innovation (UKRI)Natural Environment Research Council (NERC)); Natural Environment Research Council(UK Research &amp; Innovation (UKRI)Natural Environment Research Council (NERC))</t>
  </si>
  <si>
    <t>Funding of JEF, DJC and the postdoctoral position of A-M.P.T. was derived from the NERC-BAS Antarctic Funding Initiative grant GR3/G0001. All fieldwork to Antarctica was supported by this funding initiative, although specimens from many BAS trips to the region were also analysed. We would like to thank Dr I. Poole and Crispin Day for helping to collect material in 1999, to Rob Scott in 2000, and also to past BAS (FIDS) geologists for their collections of the Cross Valley flora. Dr Richard Hunt is thanked for assistance with leaf architecture analysis, and drawing and photographic techniques. DJC would like to acknowledge that part of this work was supported when he was employed at the British Antarctic Survey and at the Swedish Museum of Natural History. The Swedish Museum of Natural History is thanked for giving assistance and access to the Nordenskjold Collection. Reviewers are acknowledged for helpful comments on the manuscript.</t>
  </si>
  <si>
    <t>0311-5518</t>
  </si>
  <si>
    <t>1752-0754</t>
  </si>
  <si>
    <t>Alcheringa</t>
  </si>
  <si>
    <t>PII 937569509</t>
  </si>
  <si>
    <t>10.1080/03115518.2011.565214</t>
  </si>
  <si>
    <t>Paleontology</t>
  </si>
  <si>
    <t>765AJ</t>
  </si>
  <si>
    <t>WOS:000290675500007</t>
  </si>
  <si>
    <t>Hospitaleche, CA; Reguero, M</t>
  </si>
  <si>
    <t>Acosta Hospitaleche, Carolina; Reguero, Marcelo</t>
  </si>
  <si>
    <t>Taxonomic status of the Eocene penguins Orthopteryx gigas Wiman, 1905 and Ichtyopteryx gracilis Wiman, 1905 from Antarctica</t>
  </si>
  <si>
    <t>taxonomy; Antarctica; Seymour Island; Paleogene; fossil Spheniscidae</t>
  </si>
  <si>
    <t>FOSSILS</t>
  </si>
  <si>
    <t>Traditionally, the systematics of the Seymour Island fossil penguins has been based on Wiman's groups defined by the robustness and size of isolated post-cranial bones. However, current evaluations of fossil penguins necessitate that new species be established when the specimens include at least a tarsometatarsus or in some cases a humerus. Accordingly, neither of the two species reviewed herein (Orthopteryx gigas and Ichtyopteryx gracilis) are represented by remains sufficiently complete to validate a new taxon. Orthopteryx gigas is based on an isolated synsacrum lacking diagnostic characters. Ichtyopteryx gracilis is based on a tarsometatarsus but with insufficient preservational quality to justify discrimination of the species. For these reasons both Orthopteryx gigas and Ichtyopteryx gracilis should be considered nomen dubia.</t>
  </si>
  <si>
    <t>[Acosta Hospitaleche, Carolina; Reguero, Marcelo] Museo La Plata, Div Paleontol Vertebrados, La Plata, Buenos Aires, Argentina</t>
  </si>
  <si>
    <t>National University of La Plata; Museo La Plata</t>
  </si>
  <si>
    <t>Hospitaleche, CA (corresponding author), Museo La Plata, Div Paleontol Vertebrados, Paseo Bosque S-N,B1900FWA, La Plata, Buenos Aires, Argentina.</t>
  </si>
  <si>
    <t>acostacaro@fcnym.unlp.edu.ar; regui@fcnym.unlp.edu.ar</t>
  </si>
  <si>
    <t>Acosta Hospitaleche, Carolina/E-5740-2017; Reguero, Marcelo A./JHS-4893-2023</t>
  </si>
  <si>
    <t>Acosta Hospitaleche, Carolina/0000-0002-2614-1448; Reguero, Marcelo A./0000-0003-0875-8484</t>
  </si>
  <si>
    <t>Agencia Nacional de Promocion Cientifica y Tecnologica; Consejo Nacional de Investigaciones Cientificas y Tecnicas; Instituto Antartico Argentino</t>
  </si>
  <si>
    <t>Agencia Nacional de Promocion Cientifica y Tecnologica(ANPCyTSpanish Government); Consejo Nacional de Investigaciones Cientificas y Tecnicas(Consejo Nacional de Investigaciones Cientificas y Tecnicas (CONICET)); Instituto Antartico Argentino</t>
  </si>
  <si>
    <t>We thank the Agencia Nacional de Promocion Cientifica y Tecnologica, Consejo Nacional de Investigaciones Cientificas y Tecnicas and Instituto Antartico Argentino for financial support. We also thank Dr Thomas Mors, for access to the Antarctic materials; Dr Claudia Tambussi, for her revision of the manuscript; Lic. Pablo Motta, for drawing and compiling the figure; and the reviewers Tatsuro Ando and Trevor Worthy, for their useful comments.</t>
  </si>
  <si>
    <t>10.1080/03115518.2011.527476</t>
  </si>
  <si>
    <t>880QS</t>
  </si>
  <si>
    <t>WOS:000299422600012</t>
  </si>
  <si>
    <t>Wagstaff, SJ; Breitwieser, I; Ito, M</t>
  </si>
  <si>
    <t>Wagstaff, Steven J.; Breitwieser, Ilse; Ito, Motomi</t>
  </si>
  <si>
    <t>EVOLUTION AND BIOGEOGRAPHY OF PLEUROPHYLLUM (ASTEREAE, ASTERACEAE), A SMALL GENUS OF MEGAHERBS ENDEMIC TO THE SUBANTARCTIC ISLANDS</t>
  </si>
  <si>
    <t>AMERICAN JOURNAL OF BOTANY</t>
  </si>
  <si>
    <t>Antarctica; Astereae; divergence estimate; megaherb; phylogenetic inference; Pleurophyllum; subantarctic islands</t>
  </si>
  <si>
    <t>MULTIPLE SEQUENCE ALIGNMENT; ZEALAND MOUNTAIN FLORA; FOSSIL POLLEN; MOLECULAR EVIDENCE; EARLY HISTORY; VEGETATION; INCONGRUENCE; PHYLOGENIES; INFERENCE; PATAGONIA</t>
  </si>
  <si>
    <t>Premise of the study : The abundance of fossils in Antarctica suggests this continent was a center of diversification and a corridor for migration for many austral plant groups until the late Tertiary and may have played a pivotal role in shaping plant distributions in the southern hemisphere. Although the Antarctic flora was largely erased by glaciation during the Pleistocene, at least some Antarctic plant species found refuge on the subantarctic islands. Methods : We used independent and combined analyses of ITS, ETS, trnK, and trnL DNA sequences to infer phylogenetic relations in Pleurophyllum, a small genus of three species that are endemic to the subantarctic islands of Australia and New Zealand. The inferred phylogeny provided a framework to reconstruct the origin and patterns of diversification in the genus. Key results : We summarize support for the hypothesis that Pleurophyllum survived episodes of Pleistocene glaciation in the subantarctic islands and that its sisters dispersed northward in response to glacial advance. Conclusions : The distinctive flora of the subantarctic islands includes some of the last remnants of a once-diverse Antarctic flora. These plants may still retain distinctive features of their ancestors. Studies of endemic plants such as Pleurophyllum are the key to resolving this puzzle.</t>
  </si>
  <si>
    <t>[Wagstaff, Steven J.; Breitwieser, Ilse] Landcare Res, Allan Herbarium, Lincoln 7640, New Zealand; [Ito, Motomi] Univ Tokyo, Dept Syst Sci Biol, Meguro Ku, Tokyo 1538902, Japan</t>
  </si>
  <si>
    <t>Landcare Research - New Zealand; University of Tokyo</t>
  </si>
  <si>
    <t>Wagstaff, SJ (corresponding author), Landcare Res, Allan Herbarium, POB 40, Lincoln 7640, New Zealand.</t>
  </si>
  <si>
    <t>wagstaffs@landcareresearch.co.nz</t>
  </si>
  <si>
    <t>Breitwieser, Ilse/AAC-4480-2019; Wagstaff, Steven/E-3847-2014</t>
  </si>
  <si>
    <t>Breitwieser, Ilse/0000-0003-3208-7000; Wagstaff, Steven/0000-0002-9066-8869</t>
  </si>
  <si>
    <t>New Zealand Foundation for Research, Science and Technology through the Defining New Zealand's Land Biota OBI; 50 Degrees South Trust</t>
  </si>
  <si>
    <t>New Zealand Foundation for Research, Science and Technology through the Defining New Zealand's Land Biota OBI(New Zealand Foundation for Research, Science and Technology); 50 Degrees South Trust</t>
  </si>
  <si>
    <t>The authors thank the following for their assistance. P. Garnock-Jones, C. Meurk, and D. Norton shared images of Campbell Island and Pleurophyllum. C. Meurk, R. Leschen, and P. de Lange collected important plant specimens for us. Earlier versions of this manuscript were kindly reviewed by C. Bezar, T. Buckley, C. Quinn, and D. Norton. Funding for this research was provided by the New Zealand Foundation for Research, Science and Technology through the Defining New Zealand's Land Biota OBI. Support from the 50 Degrees South Trust (http://www.50south.org.nz/) is also gratefully acknowledged.</t>
  </si>
  <si>
    <t>0002-9122</t>
  </si>
  <si>
    <t>1537-2197</t>
  </si>
  <si>
    <t>AM J BOT</t>
  </si>
  <si>
    <t>Am. J. Bot.</t>
  </si>
  <si>
    <t>10.3732/ajb.1000238</t>
  </si>
  <si>
    <t>700MT</t>
  </si>
  <si>
    <t>WOS:000285747900012</t>
  </si>
  <si>
    <t>Doria, G; Royer, DL; Wolfe, AP; Fox, A; Westgate, JA; Beerling, DJ</t>
  </si>
  <si>
    <t>Doria, Gabriela; Royer, Dana L.; Wolfe, Alexander P.; Fox, Andrew; Westgate, John A.; Beerling, David J.</t>
  </si>
  <si>
    <t>DECLINING ATMOSPHERIC CO2 DURING THE LATE MIDDLE EOCENE CLIMATE TRANSITION</t>
  </si>
  <si>
    <t>AMERICAN JOURNAL OF SCIENCE</t>
  </si>
  <si>
    <t>Paleoclimate; carbon dioxide; stomata; Eocene; kimberlite; Metasequoia</t>
  </si>
  <si>
    <t>ANTARCTIC ICE-SHEET; STOMATAL FREQUENCY; CARBON-DIOXIDE; ISOTOPE FRACTIONATION; PEDOGENIC CARBONATE; BIPOLAR GLACIATION; C-13/C-12 RATIOS; FOSSIL LEAVES; DENSITY; RECORD</t>
  </si>
  <si>
    <t>The transition from the extreme greenhouse of the early Paleogene (similar to 52 Ma) to the present-day icehouse is the most prominent change in Earth's Cenozoic climate history. During the late Middle Eocene climate transition (42-38 Ma), which preceded the onset of long-lived, continental-scale ice sheets, there is concordant evidence for brief pulses (&lt;1 m.y. in length) of global warmth and ice sheet growth but few constraints on atmospheric CO2. Here we estimate the concentration of atmospheric CO2 during this critical interval using stomatal indices of fossil Metasequoia needles from ten levels in an exceptionally well-preserved core from the Giraffe kimberlite locality in northwestern Canada. Reconstructed CO2 concentrations are mainly between 700 to 1000 ppm, but include a secular decline to 450 ppm towards the top of the investigated section. Because the CO2 threshold for nucleating continental ice sheets at this time was similar to 500 to 750 ppm, the CO2 decline is compatible with a rapid (&lt;10(4) yrs) transition from warm, largely ice-free conditions to cooler climates with ice sheets. These fossils provide direct evidence that high-latitude deciduous forests thrived in the geological past under CO2 concentrations that will likely be reached within the 21(st) century (500-1000 ppm).</t>
  </si>
  <si>
    <t>[Doria, Gabriela; Royer, Dana L.] Wesleyan Univ, Dept Earth &amp; Environm Sci, Middletown, CT 06459 USA; [Wolfe, Alexander P.] Univ Alberta, Dept Earth &amp; Atmospher Sci, Edmonton, AB T6G 2E3, Canada; [Fox, Andrew; Beerling, David J.] Univ Sheffield, Dept Anim &amp; Plant Sci, Sheffield S10 2TN, S Yorkshire, England; [Westgate, John A.] Univ Toronto, Dept Geol, Toronto, ON M5S 3B1, Canada</t>
  </si>
  <si>
    <t>Wesleyan University; University of Alberta; University of Sheffield; University of Toronto</t>
  </si>
  <si>
    <t>Royer, DL (corresponding author), Wesleyan Univ, Dept Earth &amp; Environm Sci, Middletown, CT 06459 USA.</t>
  </si>
  <si>
    <t>droyer@wesleyan.edu</t>
  </si>
  <si>
    <t>Doria, Gabriela/ABC-6325-2020; Wolfe, Alexander P/G-6867-2011; Beerling, David/C-2840-2009</t>
  </si>
  <si>
    <t>Beerling, David/0000-0003-1869-4314</t>
  </si>
  <si>
    <t>Natural Sciences and Engineering Research Council of Canada; Leverhulme Trust; Royal Society</t>
  </si>
  <si>
    <t>Natural Sciences and Engineering Research Council of Canada(Natural Sciences and Engineering Research Council of Canada (NSERC)CGIAR); Leverhulme Trust(Leverhulme Trust); Royal Society(Royal Society)</t>
  </si>
  <si>
    <t>We thank BHP Billiton Diamond Inc. and the Geological Survey of Canada (Calgary) for archiving material, David Wilton for technical support, Ben Palmer for isotopic determinations of the fossil needles, Gary Upchurch for advice about cuticle preparation, and Ben LePage, Barry Chernoff, and Fernando Vargas for helpful discussions. We thank two anonymous reviewers whose comments helped improve the manuscript. A.P.W. and J.A.W. were supported by the Natural Sciences and Engineering Research Council of Canada. D.J.B. gratefully acknowledges funding from the Leverhulme Trust and through a Royal Society-Wolfson Research Merit Award.</t>
  </si>
  <si>
    <t>AMER JOURNAL SCIENCE</t>
  </si>
  <si>
    <t>NEW HAVEN</t>
  </si>
  <si>
    <t>YALE UNIV, PO BOX 208109, NEW HAVEN, CT 06520-8109 USA</t>
  </si>
  <si>
    <t>0002-9599</t>
  </si>
  <si>
    <t>1945-452X</t>
  </si>
  <si>
    <t>AM J SCI</t>
  </si>
  <si>
    <t>Am. J. Sci.</t>
  </si>
  <si>
    <t>10.2475/01.2011.03</t>
  </si>
  <si>
    <t>765HO</t>
  </si>
  <si>
    <t>WOS:000290696300003</t>
  </si>
  <si>
    <t>Eppler, DB</t>
  </si>
  <si>
    <t>Garry, WB; Bleacher, JE</t>
  </si>
  <si>
    <t>Eppler, Dean B.</t>
  </si>
  <si>
    <t>Analysis of Antarctic logistics and operations data: Results from the Antarctic Search for Meteorites (ANSMET), austral summer season, 2002-2003, with implications for planetary surface operations</t>
  </si>
  <si>
    <t>ANALOGS FOR PLANETARY EXPLORATION</t>
  </si>
  <si>
    <t>Geological Society of America Special Papers</t>
  </si>
  <si>
    <t>The operational and logistical burden associated with putting a team of four scientists in a hostile environment was investigated as part of the Antarctic Search for Meteorites (ANSMET) Project during the austral summer of 2002-2003. Operational time data, when compared with similar data from the Apollo J-series missions, suggest that crew time available to science on future exploration missions will be no more than 20% of the total available surface time, due to the time demands associated with operating in a hostile environment. A comparison of time-distance statistics derived from ANSMET meteorite search traverses to similar traverses from Apollo was inconclusive-there was no clear pattern of similarity or dissimilarity between the two data sets. However, both data sets reinforce the benefits of robust rover capability over simple walking because rovers allow exploration of a wider area for a given period of time when compared to walking. Lastly, mass data for equipment and supplies for a four-person team on the Antarctic polar plateau suggest that supplying a Mars or lunar mission with the necessary supplies for nominal surface operations would take up a significant amount of the mass-to-orbit prior to initiating trans-Mars or lunar injection.</t>
  </si>
  <si>
    <t>NASA, Astromat Res &amp; Explorat Sci Directorate, Explorat Sci Off, Johnson Space Ctr, Houston, TX 77058 USA</t>
  </si>
  <si>
    <t>National Aeronautics &amp; Space Administration (NASA)</t>
  </si>
  <si>
    <t>Eppler, DB (corresponding author), NASA, Astromat Res &amp; Explorat Sci Directorate, Explorat Sci Off, Johnson Space Ctr, Houston, TX 77058 USA.</t>
  </si>
  <si>
    <t>GEOLOGICAL SOC AMER INC</t>
  </si>
  <si>
    <t>3300 PENROSE PL, PO BOX 9140, BOULDER, CO 80301 USA</t>
  </si>
  <si>
    <t>0072-1077</t>
  </si>
  <si>
    <t>978-0-8137-2483-6</t>
  </si>
  <si>
    <t>GEOL SOC AM SPEC PAP</t>
  </si>
  <si>
    <t>10.1130/2011.2483(06)</t>
  </si>
  <si>
    <t>10.1130/9780813724836</t>
  </si>
  <si>
    <t>BHX33</t>
  </si>
  <si>
    <t>WOS:000326925100007</t>
  </si>
  <si>
    <t>Hauber, E; Reiss, D; Ulrich, M; Preusker, F; Trauthan, F; Zanetti, M; Hiesinger, H; Jaumann, R; Johansson, L; Johnsson, A; Olvmo, M; Carlsson, E; Johansson, HAB; McDaniel, S</t>
  </si>
  <si>
    <t>Hauber, E.; Reiss, D.; Ulrich, M.; Preusker, F.; Trauthan, F.; Zanetti, M.; Hiesinger, H.; Jaumann, R.; Johansson, L.; Johnsson, A.; Olvmo, M.; Carlsson, E.; Johansson, H. A. B.; McDaniel, S.</t>
  </si>
  <si>
    <t>Periglacial landscapes on Svalbard: Terrestrial analogs for cold-climate landforms on Mars</t>
  </si>
  <si>
    <t>WESTERN-ARCTIC-COAST; ANTARCTIC DRY VALLEYS; POLAR DESERT SOILS; EXPRESS HRSC DATA; GROUND-ICE; ROCK GLACIERS; MICROBIAL LIFE; PINGO GROWTH; GLOBAL DISTRIBUTION; FRACTAL DIMENSIONS</t>
  </si>
  <si>
    <t>We present landforms on Svalbard (Norway) as terrestrial analogs for possible Martian periglacial surface features. While there are closer climatic analogs for Mars, e. g., the Antarctic Dry Valleys, Svalbard has unique advantages that make it a very useful study area. Svalbard is easily accessible and offers a periglacial landscape where many different landforms can be encountered in close spatial proximity. These landforms include thermal contraction cracks, slope stripes, rock glaciers, protalus ramparts, and pingos, all of which have close morphological analogs on Mars. The combination of remote-sensing data, in particular images and digital elevation models, with field work is a promising approach in analog studies and facilitates acquisition of first-hand experience with permafrost environments. Based on the morphological ambiguity of certain landforms such as pingos, we recommend that Martian cold-climate landforms should not be investigated in isolation, but as part of a landscape system in a geological context.</t>
  </si>
  <si>
    <t>[Hauber, E.; Preusker, F.; Trauthan, F.; Jaumann, R.] Deutsch Zentrum Luft &amp; Raumfahrt DLR, Inst Planetenforsch, D-12489 Berlin, Germany; [Reiss, D.; Zanetti, M.; Hiesinger, H.] Univ Munster, Inst Planetol, D-48149 Munster, Germany; [Ulrich, M.] Alfred Wegener Inst, D-14473 Potsdam, Germany; [Johansson, L.; Johnsson, A.] Univ Gothenburg, Dept Earth Sci, SE-40530 Gothenburg, Sweden; [Carlsson, E.] Swedish Inst Space Phys, SE-98128 Kiruna, Sweden; [Johansson, H. A. B.] Stockholm Univ, Dept Earth Sci, S-10691 Stockholm, Sweden; [McDaniel, S.] React Surfaces Ltd, Austin, TX 78701 USA</t>
  </si>
  <si>
    <t>Helmholtz Association; German Aerospace Centre (DLR); University of Munster; Helmholtz Association; Alfred Wegener Institute, Helmholtz Centre for Polar &amp; Marine Research; University of Gothenburg; Stockholm University</t>
  </si>
  <si>
    <t>Hauber, E (corresponding author), Deutsch Zentrum Luft &amp; Raumfahrt DLR, Inst Planetenforsch, Rutherfordstr 2, D-12489 Berlin, Germany.</t>
  </si>
  <si>
    <t>ernst.hauber@dlr.de</t>
  </si>
  <si>
    <t>Ulrich, Mathias/R-1261-2019; Reiss, Dennis/B-6211-2008; Jaumann, Ralf/N-1001-2018; Johnsson, Andreas/ADG-9705-2022</t>
  </si>
  <si>
    <t>Ulrich, Mathias/0000-0002-1337-252X; Reiss, Dennis/0000-0002-1836-596X; Zanetti, Michael/0000-0003-2647-5461</t>
  </si>
  <si>
    <t>10.1130/2011.2483(12)</t>
  </si>
  <si>
    <t>WOS:000326925100013</t>
  </si>
  <si>
    <t>Soare, RJ; Séjourné, A; Pearce, G; Costard, F; Osinski, GR</t>
  </si>
  <si>
    <t>Soare, Richard J.; Sejourne, Antoine; Pearce, Geoffrey; Costard, Francois; Osinski, Gordon R.</t>
  </si>
  <si>
    <t>The Tuktoyaktuk Coastlands of northern Canada: A possible wet periglacial analog of Utopia Planitia, Mars</t>
  </si>
  <si>
    <t>WESTERN ARCTIC COAST; VASTITAS BOREALIS FORMATION; THERMAL CONTRACTION CRACKS; RETROGRESSIVE THAW SLUMP; ORBITER LASER ALTIMETER; NORTHWEST-TERRITORIES; LIQUID WATER; THERMOKARST PROCESSES; FOSHEIM PENINSULA; POLYGONAL TERRAIN</t>
  </si>
  <si>
    <t>Numerous landforms with traits that are suggestive of formation by periglacial processes have been observed in Utopia Planitia, Mars. They include: small-sized polygons, flat-floored depressions, and polygon trough or junction pits. Most workers agree that these landforms are late Amazonian and mark the occurrence of near-surface regolith that is (was) ice rich. The evolution of the Martian landforms has been explained principally by two disparate hypotheses. The first is the wet hypothesis. It is derived from the boundary conditions and ice-rich landscape of regions such as the Tuktoyaktuk Coastlands, Canada, where stable liquid water is freely available as an agent of landscape modification. The second is the dry hypothesis. It is adapted from the boundary conditions and landscape-modification processes in the glacial Dry Valleys of the Antarctic, where mean temperatures are much colder than in the Tuktoyaktuk Coastlands, liquid water at or near the surface is rare, and sublimation is the principal agent of glacial mass loss. Here, we (1) describe the ice-rich landscape of the Tuktoyaktuk Coastlands and their principal periglacial features; (2) show that these features constitute a coherent assemblage produced by thaw-freeze cycles; (3) describe the landforms of Utopia Planitia and evaluate the extent to which wet or dry periglacial processes could have contributed to their formation; and (4) suggest that even if questions concerning the wet or dry origin of the Martian landforms remain open, dry processes are incapable of explaining the origin of the ice-rich regolith itself, from which the landforms evolved.</t>
  </si>
  <si>
    <t>[Soare, Richard J.] Dawson Coll, Dept Geog, Montreal, PQ H3Z 1A4, Canada; [Soare, Richard J.; Sejourne, Antoine; Costard, Francois] Univ Paris 11, F-91400 Orsay, France; [Pearce, Geoffrey; Osinski, Gordon R.] Univ Western Ontario, Dept Earth Sci, London, ON N6A 5B7, Canada</t>
  </si>
  <si>
    <t>Universite Paris Saclay; Western University (University of Western Ontario)</t>
  </si>
  <si>
    <t>Soare, RJ (corresponding author), Dawson Coll, Dept Geog, 3040 Sherbrooke St, Montreal, PQ H3Z 1A4, Canada.</t>
  </si>
  <si>
    <t>Osinski, Gordon/0000-0002-1832-5925; Soare, Richard/0000-0002-5148-0038</t>
  </si>
  <si>
    <t>10.1130/2011.2483(13)</t>
  </si>
  <si>
    <t>WOS:000326925100014</t>
  </si>
  <si>
    <t>Bechstein, K; Michels, J; Vogt, J; Schwartze, GC; Vogt, C</t>
  </si>
  <si>
    <t>Bechstein, Kai; Michels, Jan; Vogt, Juergen; Schwartze, Gregor C.; Vogt, Carla</t>
  </si>
  <si>
    <t>Position-resolved determination of trace elements in mandibular gnathobases of the Antarctic copepod Calanoides acutus using a multimethod approach</t>
  </si>
  <si>
    <t>ANALYTICAL AND BIOANALYTICAL CHEMISTRY</t>
  </si>
  <si>
    <t>Copepods; Mandibular gnathobase; mu-PIXE; LA-ICP-MS; Calibration</t>
  </si>
  <si>
    <t>ABLATION ICP-MS; MUSSEL SHELLS; WORM JAWS; METALS; TEETH</t>
  </si>
  <si>
    <t>Previous studies have revealed silica formation in the teeth of mandibular gnathobases of copepods while significant amounts of zinc and copper are present, which might improve mechanical stability of the teeth and represent an adaptation to compact food particles. The present study aimed at analysing the distribution and concentration of trace elements in the mandibular gnathobases of females of the Antarctic copepod species Calanoides acutus. Because of the low overall masses of few micrograms per specimen the application of a combination of position-resolved micro-beam techniques was necessary and micro-particle-induced X-ray emission spectrometry and laser ablation inductively coupled plasma mass spectrometry were used to determine Ba, Br, Ca, Cl, Cu, Fe, K, Mg, Na, Ni, P, S, Si and Zn in the samples with mu m to sub-mu m resolution. Calibration strategies were optimised to fit for the carbonate matrix. The analyses revealed a distinct enrichment of Br, Ca, Fe, K, S, Si and Zn in the teeth of the gnathobases.</t>
  </si>
  <si>
    <t>[Bechstein, Kai; Schwartze, Gregor C.; Vogt, Carla] Leibniz Univ Hannover, Inst Inorgan Chem, D-30167 Hannover, Germany; [Michels, Jan] Alfred Wegener Inst Polar &amp; Marine Res, D-27570 Bremerhaven, Germany; [Vogt, Juergen] Univ Leipzig, Inst Expt Phys 2, D-04103 Leipzig, Germany</t>
  </si>
  <si>
    <t>Leibniz University Hannover; Helmholtz Association; Alfred Wegener Institute, Helmholtz Centre for Polar &amp; Marine Research; Leipzig University</t>
  </si>
  <si>
    <t>Vogt, C (corresponding author), Leibniz Univ Hannover, Inst Inorgan Chem, Callinstr 9, D-30167 Hannover, Germany.</t>
  </si>
  <si>
    <t>vogt@acc.uni-hannover.de</t>
  </si>
  <si>
    <t>Michels, Jan/B-1023-2014</t>
  </si>
  <si>
    <t>virtual institute PlanktonTech of the Helmholtz Society</t>
  </si>
  <si>
    <t>Jan Michels received financial support from the virtual institute PlanktonTech of the Helmholtz Society.</t>
  </si>
  <si>
    <t>1618-2642</t>
  </si>
  <si>
    <t>ANAL BIOANAL CHEM</t>
  </si>
  <si>
    <t>Anal. Bioanal. Chem.</t>
  </si>
  <si>
    <t>10.1007/s00216-010-4373-5</t>
  </si>
  <si>
    <t>Biochemical Research Methods; Chemistry, Analytical</t>
  </si>
  <si>
    <t>Biochemistry &amp; Molecular Biology; Chemistry</t>
  </si>
  <si>
    <t>700YJ</t>
  </si>
  <si>
    <t>WOS:000285781200047</t>
  </si>
  <si>
    <t>Annibaldi, A; Truzzi, C; Illuminati, S; Scarponi, G</t>
  </si>
  <si>
    <t>Annibaldi, Anna; Truzzi, Cristina; Illuminati, Silvia; Scarponi, Giuseppe</t>
  </si>
  <si>
    <t>Direct Gravimetric Determination of Aerosol Mass Concentration in Central Antarctica</t>
  </si>
  <si>
    <t>ANALYTICAL CHEMISTRY</t>
  </si>
  <si>
    <t>SEA SALT SULFATE; TERRA-NOVA BAY; SOUTH-POLE; CHEMICAL-COMPOSITION; TRACE-ELEMENTS; DOME-C; STATION; SNOW; AIR; ATMOSPHERE</t>
  </si>
  <si>
    <t>In Antarctica, experimental difficulties due to extreme conditions have meant that aerosol mass has rarely been measured directly by gravimetry, and only in coastal areas where concentrations were in the range of 1-7 mu g m(-3). The present work reports on a careful differential weighing methodology carried out for the first time on the plateau of central Antarctica (Dome C, East Antarctica). To solve problems of accurate aerosol mass measurements, a climatic room was used for conditioning and weighing filters. Measurements were carried out in long stages of several hours of readings with automatic recording of temperature/humidity and mass. This experimental scheme allowed us to sample from all the measurements (up to 2000) carried out before and after exposure, those which were recorded under the most stable humidity conditions and, even more importantly, as close to each other as possible. The automatic reading of the mass allowed us in any case to obtain hundreds of measurements from which to calculate average values with uncertainties sufficiently low to meet the requirements of the differential weighing procedure (+/- 0.2 mg in filter weighing, between +/- 7% and +/- 16% both in aerosol mass and concentration measurements). The results show that the average summer aerosol mass concentration (aerodynamic size :&lt;= 10 mu m) in central Antarctica is about 0.1 mu g m(-3), i.e., about 1/10 of that of coastal Antarctic areas. The concentration increases by about 4-5 times at a site very close to the station.</t>
  </si>
  <si>
    <t>[Annibaldi, Anna; Truzzi, Cristina; Illuminati, Silvia; Scarponi, Giuseppe] Polytech Univ Marche Ancona, Dept Marine Sci, I-60131 Ancona, Italy</t>
  </si>
  <si>
    <t>Marche Polytechnic University</t>
  </si>
  <si>
    <t>Annibaldi, A (corresponding author), Polytech Univ Marche Ancona, Dept Marine Sci, Via Brecce Bianche, I-60131 Ancona, Italy.</t>
  </si>
  <si>
    <t>a.annibaldi@univpm.it</t>
  </si>
  <si>
    <t>Illuminati, Silvia/GXZ-5038-2022; Scarponi, Giuseppe/AAQ-6394-2021; Illuminati, Silvia/T-7873-2019</t>
  </si>
  <si>
    <t>Scarponi, Giuseppe/0000-0003-2932-0596; Illuminati, Silvia/0000-0001-6465-5477</t>
  </si>
  <si>
    <t>We thank all the logistic personnel of the Concordia Station of the summer 2005-2006 (led by C. Malagoli and G. Venturi) for their cooperation in all phases of the field scientific activity, in particular to G. Bonanno for the repair on site of the microbalance, and to L. Colturi and L. Bonetti for setting up the climatic chamber, the installation of aerosol samplers, and the construction on-site of the heating system for the manometer of the calibration kit. Thanks are also due to M. Scaleggi (HSP srl, Porto Recanati, Italy) for the hardware/software, set up in Italy, of the procedure of data transmission from the microbalance to the PC. This work was supported by financial support from the Italian Programma Nazionale di Ricerche in Antartide under the projects on Physics and Chemistry of the Atmosphere (line 6.4/2004, Climatic Effects of Aerosol Particles and Thin Clouds over the East Antarctic Plateau), Chemical Contamination, and Study of Sources and Transfer Processes of the Antarctic Aerosol.</t>
  </si>
  <si>
    <t>AMER CHEMICAL SOC</t>
  </si>
  <si>
    <t>1155 16TH ST, NW, WASHINGTON, DC 20036 USA</t>
  </si>
  <si>
    <t>0003-2700</t>
  </si>
  <si>
    <t>1520-6882</t>
  </si>
  <si>
    <t>ANAL CHEM</t>
  </si>
  <si>
    <t>Anal. Chem.</t>
  </si>
  <si>
    <t>10.1021/ac102026w</t>
  </si>
  <si>
    <t>Chemistry, Analytical</t>
  </si>
  <si>
    <t>Chemistry</t>
  </si>
  <si>
    <t>698DB</t>
  </si>
  <si>
    <t>WOS:000285570600021</t>
  </si>
  <si>
    <t>Annibaldi, A; Truzzi, C; Illuminati, S; Bassotti, E; Finale, C; Scarponi, G</t>
  </si>
  <si>
    <t>Annibaldi, Anna; Truzzi, Cristina; Illuminati, Silvia; Bassotti, Elisa; Finale, Carolina; Scarponi, Giuseppe</t>
  </si>
  <si>
    <t>FIRST SYSTEMATIC VOLTAMMETRIC MEASUREMENTS OF Cd, Pb, AND Cu IN HYDROFLUORIC ACID-DISSOLVED SILICEOUS SPICULES OF MARINE SPONGES: APPLICATION TO ANTARCTIC SPECIMENS</t>
  </si>
  <si>
    <t>ANALYTICAL LETTERS</t>
  </si>
  <si>
    <t>Antarctica; Heavy metals; Hydrofluoric acid; Marine sponges; Mediterranean Sea; Siliceous spicules; Voltammetry</t>
  </si>
  <si>
    <t>HALICHONDRIA-PANICEA PALLAS; ENVIRONMENTAL CONTAMINATION; COASTAL WATERS; MCMURDO SOUND; LIGURIAN SEA; HEAVY-METALS; CADMIUM; ACCUMULATION; DEMOSPONGIAE; SEAWATER</t>
  </si>
  <si>
    <t>Ultrasensitive Square Wave Anodic Stripping Voltammetry is used for the first time for the systematic determination of Cd, Pb, and Cu in siliceous spicules of marine sponges; the procedure is performed directly in hydrofluoric acid solution, according to a procedure previously established in our laboratory, with the aim of demonstrating the feasibility of such measurements and to improve knowledge of heavy metal distribution in Porifera. The following Demospongiae species are considered: Sphaerotylus antarcticus, Haliclona sp., Kirkpatrickia coulmani, and Inflatella belli from the Ross Sea, Antarctica, and Petrosia ficiformis from the Mediterranean Sea, Italy. The method shows a good accuracy; the analytical variability is approximately +/- 10% for all the metals studied and for all the measurements performed, showing a good repeatability of the method in consideration of low metal concentrations (order of tenths of mu g g(-1) dry weight, i.e., of hundreds of ng L(-1) in the HF solution). In particular, the concentrations of heavy metals in the body of the sponge vary in the range 0.038-0.93 mu g g(-1) dry weight (d.w.) for Cd, 0.024-0.52 mu g g(-1) d.w. for Pb, and 0.32-1.3 mu g g(-1) d.w. for Cu. Similar ranges of concentration were recorded in the oscula of S. antarcticus and I. belli. Heavy metal concentration in the spicules can vary within and between specimens and, in particular, siliceous spicules of Antarctic sponges show higher concentrations of Cd and Pb and lower concentrations of Cu than those from the Mediterranean.</t>
  </si>
  <si>
    <t>[Annibaldi, Anna; Truzzi, Cristina; Illuminati, Silvia; Bassotti, Elisa; Finale, Carolina; Scarponi, Giuseppe] Polytech Univ Marche, Dept Marine Sci, I-60131 Ancona, Italy</t>
  </si>
  <si>
    <t>Truzzi, C (corresponding author), Polytech Univ Marche, Dept Marine Sci, Via Brecce Bianche, I-60131 Ancona, Italy.</t>
  </si>
  <si>
    <t>c.truzzi@univpm.it</t>
  </si>
  <si>
    <t>Financial support from the Italian Programma Nazionale di Ricerche in Antartide in the framework of the project of Chemical Contamination titled Approaches and means for monitoring of chemical pollution: Environmental indicators, Antarctic Environmental Specimen Bank and certified reference materials is gratefully acknowledged. The authors are grateful to Prof. G. Bavestrello for spongiological advice and for stimulating discussion, to the technical personnel of ENEA (Ente Nazionale Energia e Ambiente) at Terra Nova Bay, and to the scientists of the 2005-2006 expedition (especially Stefano Schiaparelli) for the sampling activities performed on-site.</t>
  </si>
  <si>
    <t>325 CHESTNUT ST, SUITE 800, PHILADELPHIA, PA 19106 USA</t>
  </si>
  <si>
    <t>0003-2719</t>
  </si>
  <si>
    <t>ANAL LETT</t>
  </si>
  <si>
    <t>Anal. Lett.</t>
  </si>
  <si>
    <t>10.1080/00032719.2011.565450</t>
  </si>
  <si>
    <t>862HH</t>
  </si>
  <si>
    <t>WOS:000298080200006</t>
  </si>
  <si>
    <t>Chaubey, JP; Moorthy, KK; Babu, SS; Nair, VS</t>
  </si>
  <si>
    <t>Chaubey, Jai Prakash; Moorthy, K. Krishna; Babu, S. Suresh; Nair, Vijayakumar S.</t>
  </si>
  <si>
    <t>The optical and physical properties of atmospheric aerosols over the Indian Antarctic stations during southern hemispheric summer of the International Polar Year 2007-2008</t>
  </si>
  <si>
    <t>Atmospheric composition and structure; Aerosols and particles</t>
  </si>
  <si>
    <t>SEA-SALT AEROSOL; SUN PHOTOMETER; ATLANTIC-OCEAN; BLACK CARBON; SIZE DISTRIBUTIONS; MCMURDO STATION; MARINE AEROSOLS; ARABIAN SEA; DOME-C; SULFUR</t>
  </si>
  <si>
    <t>The properties of background aerosols and their dependence on meteorological, geographical and human influence are examined using measured spectral aerosol optical depth (AOD), total mass concentration (M-T) and derived number size distribution (NSD) over two distinct coastal locations of Antarctica; Maitri (70 degrees S, 12 degrees E, 123 m m.s.l.) and Larsemann Hills (LH; 69 degrees S, 77 degrees E, 48 m m.s.l.) during southern hemispheric summer of 2007-2008 as a part of the 27th Indian Scientific Expedition to Antarctica (ISEA) during International Polar Year (IPY). Our investigations showed comparable values for the mean columnar AOD at 500 nm over Maitri (0.034 +/- 0.005) and LH (0.032 +/- 0.006) indicating good spatial homogeneity in the columnar aerosol properties over the coastal Antarctica. Estimation of Angstrom exponent alpha showed accumulation mode dominance at Maitri (alpha similar to 1.2 +/- 0.3) and coarse mode dominance at LH (0.7 +/- 0.2). On the other hand, mass concentration (M-T) of ambient aerosols showed relatively high values (approximate to 8.25 +/- 2.87 mu g m(-3)) at Maitri in comparison to LH (6.03 +/- 1.33 mu g m(-3)).</t>
  </si>
  <si>
    <t>[Chaubey, Jai Prakash; Moorthy, K. Krishna; Babu, S. Suresh; Nair, Vijayakumar S.] Vikram Sarabhai Space Ctr, Space Phys Lab, Thiruvananthapuram 695022, Kerala, India</t>
  </si>
  <si>
    <t>Department of Space (DoS), Government of India; Indian Space Research Organisation (ISRO); Vikram Sarabhai Space Center (VSSC)</t>
  </si>
  <si>
    <t>Babu, SS (corresponding author), Vikram Sarabhai Space Ctr, Space Phys Lab, Thiruvananthapuram 695022, Kerala, India.</t>
  </si>
  <si>
    <t>s_sureshbabu@vssc.gov.in</t>
  </si>
  <si>
    <t>MOORTHY, KRISHNA/AAG-6807-2019</t>
  </si>
  <si>
    <t>10.5194/angeo-29-109-2011</t>
  </si>
  <si>
    <t>713GM</t>
  </si>
  <si>
    <t>WOS:000286723200010</t>
  </si>
  <si>
    <t>Bageston, JV; Wrasse, CM; Hibbins, RE; Batista, PP; Gobbi, D; Takahashi, H; Fritts, DC; Andrioli, VF; Fechine, J; Denardini, CM</t>
  </si>
  <si>
    <t>Bageston, J. V.; Wrasse, C. M.; Hibbins, R. E.; Batista, P. P.; Gobbi, D.; Takahashi, H.; Fritts, D. C.; Andrioli, V. F.; Fechine, J.; Denardini, C. M.</t>
  </si>
  <si>
    <t>Case study of a mesospheric wall event over Ferraz station, Antarctica (62° S)</t>
  </si>
  <si>
    <t>Atmospheric composition and structure; Airglow and aurora; Meteorology and atmospheric dynamics; Middle atmosphere dynamics; Waves and tides</t>
  </si>
  <si>
    <t>LIDAR OBSERVATION; BORE EVENT; OH; CLIMATOLOGY; REGION; TIDES</t>
  </si>
  <si>
    <t>On 16-17 July 2007 during an observational campaign at Comandante Ferraz Antarctic Station (62 degrees S, 58 degrees W), a mesospheric wall was observed with an airglow all-sky imager. The wave appeared like an extensive dark region in the all-sky airglow images, with a large depletion in the OH emission. Simultaneous mesospheric winds measured with a MF radar at Rothera station and temperature profiles from SABER instrument, on board of TIMED satellite, were used to obtain the propagation condition of the wave. Wind measurements during four days, around the time of observation of the wave, are presented in order to discuss the type and consistence of the duct in which this wave was propagating. By using wavelet analysis and tidal amplitude components we found that 12 and 8 h components were the most important periodicities around the time interval of the wave observation. A collocated imaging spectrometer, for mesospheric temperature measurements, has been operated simultaneously with the all-sky imager. Direct effects of the mesospheric front have been seen in the spectrometric measurements, showing an abrupt decrease in both OH intensity and rotational temperature when the wave front passes overhead. The main contribution of the present work is the investigation of the type of duct in which the wall event was propagating. We found evidences for a thermal duct structure to support the mesospheric wall propagation. This result was obtained by two types of analysis: (a) the tidal components analysis and winds filtering (harmonic analysis), and (b) comparison between the terms of the m(2) dispersion relation.</t>
  </si>
  <si>
    <t>[Bageston, J. V.; Batista, P. P.; Gobbi, D.; Takahashi, H.; Andrioli, V. F.; Denardini, C. M.] INPE, Sao Jose Dos Campos, Brazil; [Wrasse, C. M.] VSE, Sao Jose Dos Campos, Brazil; [Hibbins, R. E.] BAS, Cambridge, England; [Hibbins, R. E.] Norwegian Univ Sci &amp; Technol, N-7034 Trondheim, Norway; [Fechine, J.] Univ Fed Campina Grande, Campina Grande, Brazil; [Fritts, D. C.] NWRA, CoRA, Boulder, CO USA</t>
  </si>
  <si>
    <t>Instituto Nacional de Pesquisas Espaciais (INPE); UK Research &amp; Innovation (UKRI); Natural Environment Research Council (NERC); NERC British Antarctic Survey; Norwegian University of Science &amp; Technology (NTNU); Universidade Federal de Campina Grande; NorthWest Research Associates</t>
  </si>
  <si>
    <t>Bageston, JV (corresponding author), INPE, Sao Jose Dos Campos, Brazil.</t>
  </si>
  <si>
    <t>bageston@gmail.com</t>
  </si>
  <si>
    <t>Andrioli, Vania F/C-9976-2012; De Nardin, Clezio Marcos/C-4103-2012; Gobbi, Delano/J-2380-2018; Wrasse, Cristiano C. M./N-6556-2013; BATISTA, PAULO PRADO/C-2616-2009; Wrasse, Cristiano Max/HRA-3982-2023; Takahashi, Hisao/C-5299-2013; Bageston, Jose Valentin/F-1269-2018; Wrasse, Cristiano Max/U-6351-2017</t>
  </si>
  <si>
    <t>De Nardin, Clezio Marcos/0000-0002-3624-2461; BATISTA, PAULO PRADO/0000-0002-5448-5803; Wrasse, Cristiano Max/0000-0001-8026-3625; Hibbins, Robert/0000-0002-6867-2255; Bageston, Jose V/0000-0003-2931-8488; Andrioli, Vania Fatima/0000-0001-9065-2122; Gobbi, Delano/0000-0002-8260-1007</t>
  </si>
  <si>
    <t>National Science Foundation [OPP-0438777]; UK Natural Environment Research Council; CNPq [305923/2008-0, 304277/2008-8]; Natural Environment Research Council [bas0100023] Funding Source: researchfish; NERC [bas0100023] Funding Source: UKRI</t>
  </si>
  <si>
    <t>National Science Foundation(National Science Foundation (NSF)); UK Natural Environment Research Council(UK Research &amp; Innovation (UKRI)Natural Environment Research Council (NERC)); CNPq(Conselho Nacional de Desenvolvimento Cientifico e Tecnologico (CNPQ)); Natural Environment Research Council(UK Research &amp; Innovation (UKRI)Natural Environment Research Council (NERC)); NERC(UK Research &amp; Innovation (UKRI)Natural Environment Research Council (NERC))</t>
  </si>
  <si>
    <t>The present research combines results of the NCT-APA (CNPq process no. 574018/2008-5, FAPERJ process no. E-26/170.023/2008) in the project Study of the Mesosphere, Stratosphere and Troposphere over Antarctica and its connections with the Southern America (ATMANTAR), under process no. 52.0182/2006-5, Proantar/MCT/CNPq. The authors thank the Secretariat of the Interministerial Commission for the Resources of the Sea (SECIRM). The Rothera MF radar was jointly supported by National Science Foundation grant OPP-0438777 and by the UK Natural Environment Research Council. We thank also the TIMED/SABER team and M. G. Mlynczak and J. M. Russell for providing the SABER data. Wavelet software used in the present work was provided by C. Torrence and G. Compo and is available at http://paos.colorado.edu/research/wavelets/. J. V. Bageston thanks to CNPq for post-doctorate project, process no. 151593/2009-4, and also to FAPESP, process no. 2010/06608-2, for the support during the time expended for the corrections on this paper. C. M. Denardini and C. M. Wrasse thank to CNPq for the grants 305923/2008-0 and 304277/2008-8, respectively.</t>
  </si>
  <si>
    <t>1432-0576</t>
  </si>
  <si>
    <t>10.5194/angeo-29-209-2011</t>
  </si>
  <si>
    <t>Green Submitted, Green Accepted, gold</t>
  </si>
  <si>
    <t>WOS:000286723200018</t>
  </si>
  <si>
    <t>Tomita, S; Nosé, M; Iyemori, T; Toh, H; Takeda, M; Matzka, J; Bjornsson, G; Saemundsson, T; Janzhura, A; Troshichev, O; Schwarz, G</t>
  </si>
  <si>
    <t>Tomita, S.; Nose, M.; Iyemori, T.; Toh, H.; Takeda, M.; Matzka, J.; Bjornsson, G.; Saemundsson, T.; Janzhura, A.; Troshichev, O.; Schwarz, G.</t>
  </si>
  <si>
    <t>Magnetic local time dependence of geomagnetic disturbances contributing to the AU and AL indices</t>
  </si>
  <si>
    <t>Magnetospheric physics; Auroral phenomena; Storms and substorms</t>
  </si>
  <si>
    <t>ELECTROJET; FLUCTUATIONS; AE</t>
  </si>
  <si>
    <t>The Auroral Electrojet (AE) indices, which are composed of four indices (AU, AL, AE, and AO), are calculated from the geomagnetic field data obtained at 12 geomagnetic observatories that are located in geomagnetic latitude (GMLAT) of 61.7 degrees-70 degrees. The indices have been widely used to study magnetic activity in the auroral zone. In the present study, we examine magnetic local time (MLT) dependence of geomagnetic field variations contributing to the AU and AL indices. We use 1-min geomagnetic field data obtained in 2003. It is found that both AU and AL indices have two ranges of MLT (AU: 15:00-22:00 MLT, similar to 06:00 MLT; and AL: similar to 02:00 MLT, 09:00-12:00 MLT) contributing to the index during quiet periods and one MLT range (AU: 15:00-20:00 MLT, and AL: 00:00-06:00 MLT) during disturbed periods. These results are interpreted in terms of various ionospheric current systems, such as, S(q)(p), S(q), and DP2.</t>
  </si>
  <si>
    <t>[Tomita, S.; Nose, M.; Iyemori, T.; Toh, H.; Takeda, M.] Kyoto Univ, Grad Sch Sci, Kyoto 6068501, Japan; [Matzka, J.] Tech Univ Denmark, DTU Space, Copenhagen, Denmark; [Bjornsson, G.; Saemundsson, T.] Univ Iceland, IS-101 Reykjavik, Iceland; [Janzhura, A.; Troshichev, O.] Arctic &amp; Antarctic Res Inst, St Petersburg, Russia; [Schwarz, G.] Geol Survey Sweden, Uppsala, Sweden</t>
  </si>
  <si>
    <t>Kyoto University; Technical University of Denmark; University of Iceland; Arctic &amp; Antarctic Research Institute</t>
  </si>
  <si>
    <t>Tomita, S (corresponding author), Kyoto Univ, Grad Sch Sci, Kyoto 6068501, Japan.</t>
  </si>
  <si>
    <t>subaru@kugi.kyoto-u.ac.jp</t>
  </si>
  <si>
    <t>Nose, Masahito/B-1900-2015; Nose, Masahito/ISU-3248-2023; Matzka, Jurgen/J-9420-2014</t>
  </si>
  <si>
    <t>Nose, Masahito/0000-0002-2789-3588; Matzka, Jurgen/0000-0001-9926-2796</t>
  </si>
  <si>
    <t>Grants-in-Aid for Scientific Research [22740322] Funding Source: KAKEN</t>
  </si>
  <si>
    <t>10.5194/angeo-29-673-2011</t>
  </si>
  <si>
    <t>756NC</t>
  </si>
  <si>
    <t>WOS:000290018000006</t>
  </si>
  <si>
    <t>Troshichev, OA; Podorozhkina, NA; Janzhura, AS</t>
  </si>
  <si>
    <t>Troshichev, O. A.; Podorozhkina, N. A.; Janzhura, A. S.</t>
  </si>
  <si>
    <t>Invariability of relationship between the polar cap magnetic activity and geoeffective interplanetary electric field</t>
  </si>
  <si>
    <t>INDEX; PC</t>
  </si>
  <si>
    <t>The PC (polar cap) index characterizing the solar wind energy input into the magnetosphere is calculated with use of parameters alpha, beta, and phi, determining the relationship between the interplanetary electric field (E-KL) and the value of magnetic activity delta F in the polar caps. These parameters were noted as valid for large and small EKL values, and as a result the suggestion was made (Troshichev et al., 2006) that the parameters should remain invariant irrespective of solar activity. To verify this suggestion, the independent sets of calibration parameters alpha, beta, and phi were derived separately for the solar maximum (1998-2001) and solar minimum (1997, 2007-2009) epochs, with a proper choice of a quiet daily variation (QDC) as a level of reference for the polar cap magnetic activity value. The results presented in this paper demonstrate that parameters alpha, beta, and phi, derived under conditions of solar maximum and solar minimum, are indeed in general conformity and provide consistent (within 10% uncertainty) estimations of the PC index. It means that relationship between the geoeffective solar wind variations and the polar cap magnetic activity responding to these variations remains invariant irrespective of solar activity. The conclusion is made that parameters alpha, beta, and phi derived in AARI#3 version for complete cycle of solar activity (1995-2005) can be regarded as forever valid.</t>
  </si>
  <si>
    <t>[Troshichev, O. A.; Podorozhkina, N. A.; Janzhura, A. S.] Arctic &amp; Antarctic Res Inst, St Petersburg 199397, Russia</t>
  </si>
  <si>
    <t>Troshichev, OA (corresponding author), Arctic &amp; Antarctic Res Inst, St Petersburg 199397, Russia.</t>
  </si>
  <si>
    <t>10.5194/angeo-29-1479-2011</t>
  </si>
  <si>
    <t>WOS:000294455800014</t>
  </si>
  <si>
    <t>Hibbins, RE; Freeman, MP; Milan, SE; Ruohoniemi, JM</t>
  </si>
  <si>
    <t>Hibbins, R. E.; Freeman, M. P.; Milan, S. E.; Ruohoniemi, J. M.</t>
  </si>
  <si>
    <t>Winds and tides in the mid-latitude Southern Hemisphere upper mesosphere recorded with the Falkland Islands SuperDARN radar</t>
  </si>
  <si>
    <t>Meteorology and atmospheric dynamics; Climatology; Middle atmosphere dynamics; Waves and tides</t>
  </si>
  <si>
    <t>LOWER THERMOSPHERE; MIDDLE ATMOSPHERE; METEOR RADAR; MEAN WINDS; MF RADAR; NORTHERN-HEMISPHERE; QUASI-2-DAY WAVE; PLANETARY-WAVES; SEMIDIURNAL TIDE; GRAVITY-WAVES</t>
  </si>
  <si>
    <t>Meteor wind data from the first year of operation of the Falkland Islands SuperDARN radar (52 degrees S, 59 degrees W) are used to characterize the atmospheric tides and background winds in the upper mesosphere above the South Atlantic. Strong (&gt;40 ms(-1)) semidiurnal tides are observed in the winter time and large amplitude (&gt;60 ms(-1)) bursts of quasi two-day wave activity are seen in January 2011. Data are in good agreement with those presented from the SAAMER meteor radar (54 degrees S, 68 degrees W). Comparison with SuperDARN meteor wind data from a geographically similar Northern Hemisphere site at Goose Bay (53 degrees N 60 degrees W) reveal clear interhemispheric differences especially in the semidiurnal and terdiurnal components of the tides. The winter time amplitudes of the tides are much stronger in the Southern Hemisphere than in the north. Background winds are observed to be significantly more polewards and westwards throughout the year than those predicted by the empirical horizontal wind model HWM07.</t>
  </si>
  <si>
    <t>[Hibbins, R. E.] Norwegian Univ Sci &amp; Technol NTNU, Dept Phys, Trondheim, Norway; [Hibbins, R. E.; Freeman, M. P.] British Antarctic Survey, Cambridge, England; [Milan, S. E.] Univ Leicester, Dept Phys &amp; Astron, Leicester, Leics, England; [Ruohoniemi, J. M.] Virginia Tech, Blacksburg, VA 24061 USA</t>
  </si>
  <si>
    <t>Norwegian University of Science &amp; Technology (NTNU); UK Research &amp; Innovation (UKRI); Natural Environment Research Council (NERC); NERC British Antarctic Survey; University of Leicester; Virginia Polytechnic Institute &amp; State University</t>
  </si>
  <si>
    <t>Hibbins, RE (corresponding author), Norwegian Univ Sci &amp; Technol NTNU, Dept Phys, Trondheim, Norway.</t>
  </si>
  <si>
    <t>robert.hibbins@ntnu.no</t>
  </si>
  <si>
    <t>Freeman, Mervyn/E-5687-2019</t>
  </si>
  <si>
    <t>Freeman, Mervyn/0000-0002-8653-8279; Hibbins, Robert/0000-0002-6867-2255; Milan, Steve/0000-0001-5050-9604</t>
  </si>
  <si>
    <t>UK Natural Environment Research Council [NE/G018707/1, NE/G019665/1]; Goose Bay radar operations; SuperDARN Upper Atmosphere Facility under US National Science Foundation [AGS-0849031, AGS-0946900]; Natural Environment Research Council [NE/G019665/1, bas0100023, bas0100026, NE/G018707/1] Funding Source: researchfish; Science and Technology Facilities Council [ST/H002480/1] Funding Source: researchfish; NERC [NE/G018707/1, NE/G019665/1, bas0100026, bas0100023] Funding Source: UKRI; STFC [ST/H002480/1] Funding Source: UKRI</t>
  </si>
  <si>
    <t>UK Natural Environment Research Council(UK Research &amp; Innovation (UKRI)Natural Environment Research Council (NERC)); Goose Bay radar operations; SuperDARN Upper Atmosphere Facility under US National Science Foundation;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</si>
  <si>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Funding for the Falkland Islands radar was provided by the UK Natural Environment Research Council (grant numbers NE/G018707/1 and NE/G019665/1). We would like to thank the many people in the Falkland Islands and the UK who have contributed to the FIR project in many different ways, including Nick Alford, Paul Breen, Neil Cobbett, Steve Lucas, Diane McGill, Kath Nicholson, Pauline Sackett, and Jill Thompson (BAS), Mick Parsons, Chris Thomas, and Julian Thornhill (U. Leicester), Mario and Sharon Zuvic-Bulic (KTV Ltd), Andrew Newman, Anthony Payne and Fiona Wallace-Nannig (Falkland Islands Government), Owen Summers (Falklands Landholdings), and Trudy Lee (Goose Green). We acknowledge the support of Goose Bay radar operations and the SuperDARN Upper Atmosphere Facility under US National Science Foundation Grant No. AGS-0849031 and Grant No. AGS-0946900.</t>
  </si>
  <si>
    <t>10.5194/angeo-29-1985-2011</t>
  </si>
  <si>
    <t>863AL</t>
  </si>
  <si>
    <t>Green Submitted, gold, Green Accepted</t>
  </si>
  <si>
    <t>WOS:000298135100002</t>
  </si>
  <si>
    <t>Prikryl, P; Spogli, L; Jayachandran, PT; Kinrade, J; Mitchell, CN; Ning, B; Li, G; Cilliers, PJ; Terkildsen, M; Danskin, DW; Spanswick, E; Donovan, E; Weatherwax, AT; Bristow, WA; Alfonsi, L; De Franceschi, G; Romano, V; Ngwira, CM; Opperman, BDL</t>
  </si>
  <si>
    <t>Prikryl, P.; Spogli, L.; Jayachandran, P. T.; Kinrade, J.; Mitchell, C. N.; Ning, B.; Li, G.; Cilliers, P. J.; Terkildsen, M.; Danskin, D. W.; Spanswick, E.; Donovan, E.; Weatherwax, A. T.; Bristow, W. A.; Alfonsi, L.; De Franceschi, G.; Romano, V.; Ngwira, C. M.; Opperman, B. D. L.</t>
  </si>
  <si>
    <t>Interhemispheric comparison of GPS phase scintillation at high latitudes during the magnetic-cloud-induced geomagnetic storm of 5-7 April 2010</t>
  </si>
  <si>
    <t>Ionosphere; Ionospheric irregularities; Magnetospheric physics; Storms and substorms; Radio science; Space and satellite communication</t>
  </si>
  <si>
    <t>DENSITY STRUCTURES; POLAR IONOSPHERE; JANUARY 10; DYNAMICS; OCTOBER; TEC; GEOEFFECTIVENESS; FLUCTUATIONS; CLIMATOLOGY; SUPERDARN</t>
  </si>
  <si>
    <t>Arrays of GPS Ionospheric Scintillation and TEC Monitors (GISTMs) are used in a comparative scintillation study focusing on quasi-conjugate pairs of GPS receivers in the Arctic and Antarctic. Intense GPS phase scintillation and rapid variations in ionospheric total electron content (TEC) that can result in cycle slips were observed at high latitudes with dual-frequency GPS receivers during the first significant geomagnetic storm of solar cycle 24 on 5-7 April 2010. The impact of a bipolar magnetic cloud of north-south (NS) type embedded in high speed solar wind from a coronal hole caused a geomagnetic storm with maximum 3-hourly Kp = 8- and hourly ring current Dst = -73 nT. The interhemispheric comparison of phase scintillation reveals similarities but also asymmetries of the ionospheric response in the northern and southern auroral zones, cusps and polar caps. In the nightside auroral oval and in the cusp/cleft sectors the phase scintillation was observed in both hemispheres at about the same times and was correlated with geomagnetic activity. The scintillation level was very similar in approximately conjugate locations in Qiqiktarjuaq (75.4 degrees N; 23.4 degrees E CGM lat. and lon.) and South Pole (74.1 degrees S; 18.9 degrees E), in Longyearbyen (75.3 degrees N; 111.2 degrees E) and Zhongshan (74.7 degrees S; 96.7 degrees E), while it was significantly higher in Cambridge Bay (77.0 degrees N; 310.1 degrees E) than at Mario Zucchelli (80.0 degrees S; 307.7 degrees E). In the polar cap, when the interplanetary magnetic field (IMF) was strongly northward, the ionization due to energetic particle precipitation was a likely cause of scintillation that was stronger at Concordia (88.8 degrees S; 54.4 degrees E) in the dark ionosphere than in the sunlit ionosphere over Eureka (88.1 degrees N; 333.4 degrees E), due to a difference in ionospheric conductivity. When the IMF tilted southward, weak or no significant scintillation was detected in the northern polar cap, while in the southern polar cap rapidly varying TEC and strong phase scintillation persisted for many hours. This interhemispheric asymmetry is explained by the difference in the location of solar terminator relative to the cusps in the Northern and Southern Hemisphere. Solar terminator was in the immediate proximity of the cusp in the Southern Hemisphere where sunlit ionospheric plasma was readily convected into the central polar cap and a long series of patches was observed. In contrast, solar terminator was far poleward of the northern cusp thus reducing the entry of sunlit plasma and formation of dense patches. This is consistent with the observed and modeled seasonal variation in occurrence of polar cap patches. The GPS scintillation and TEC data analysis is supported by data from ground- based networks of magnetometers, riometers, ionosondes, HF radars and all- sky imagers, as well as particle flux measurements by DMSP satellites.</t>
  </si>
  <si>
    <t>[Prikryl, P.] Commun Res Ctr Canada, Ottawa, ON, Canada; [Spogli, L.; Alfonsi, L.; De Franceschi, G.; Romano, V.] Ist Nazl Geofis &amp; Vulcanol, Rome, Italy; [Jayachandran, P. T.] Univ New Brunswick, Dept Phys, Fredericton, NB E3B 5A3, Canada; [Kinrade, J.; Mitchell, C. N.] Univ Bath, Dept Elect &amp; Elect Engn, Bath BA2 7AY, Avon, England; [Ning, B.; Li, G.] Chinese Acad Sci, Inst Geol &amp; Geophys, Beijing, Peoples R China; [Cilliers, P. J.; Ngwira, C. M.; Opperman, B. D. L.] S African Natl Space Agcy, Hermanus, South Africa; [Terkildsen, M.] Bur Meteorol, IPS Radio &amp; Space Serv, Haymarket, NSW, Australia; [Danskin, D. W.] Nat Resources Canada, Geomagnet Lab, Toronto, ON, Canada; [Spanswick, E.; Donovan, E.] Univ Calgary, Dept Phys &amp; Astron, Calgary, AB T2N 1N4, Canada; [Weatherwax, A. T.] Siena Coll, Dept Phys &amp; Astron, Loudonville, NY USA; [Bristow, W. A.] Univ Alaska, Inst Geophys, Fairbanks, AK USA</t>
  </si>
  <si>
    <t>Communications Research Centre Canada; Istituto Nazionale Geofisica e Vulcanologia (INGV); University of New Brunswick; University of Bath; Chinese Academy of Sciences; Institute of Geology &amp; Geophysics, CAS; Bureau of Meteorology - Australia; Natural Resources Canada; University of Calgary; University of Alaska System; University of Alaska Fairbanks</t>
  </si>
  <si>
    <t>Prikryl, P (corresponding author), Commun Res Ctr Canada, Ottawa, ON, Canada.</t>
  </si>
  <si>
    <t>paul.prikryl@crc.gc.ca</t>
  </si>
  <si>
    <t>Ning, Baiqi/A-2573-2012; Alfonsi, Lucilla/V-2969-2018; ngwira, chigomezyo M/D-7310-2012; Cilliers, Pierre/ABI-2944-2020; Spogli, Luca/AAD-1980-2021; Spanswick, Emma/JDC-7880-2023; Romano, Vincenzo/HKV-6552-2023; Cilliers, Pierre/AAA-2032-2019; Li, Guozhu/D-4322-2009</t>
  </si>
  <si>
    <t>Cilliers, Pierre/0000-0003-3175-5134; Romano, Vincenzo/0000-0002-7532-4507; Weatherwax, Allan/0000-0003-4732-358X; SPOGLI, Luca/0000-0003-2310-0306; Spanswick, Emma/0000-0001-8003-5091; De Franceschi, Giorgiana/0000-0002-3943-6798; Danskin, Donald William/0000-0002-4968-9094; Terkildsen, Michael/0000-0002-6290-158X; Donovan, Eric/0000-0002-8557-4155; Alfonsi, Lucilla/0000-0002-1806-9327; Mitchell, Cathryn/0000-0003-1964-8723; Kinrade, Joe/0000-0001-9740-130X; Li, Guozhu/0000-0002-7669-3590</t>
  </si>
  <si>
    <t>Canada Foundation for Innovation; New Brunswick Innovation Foundation; NSF [ANT-0840158, ANT-0638587]; University of Bath; Siena College GPS; National Aeronautics and Space Administration (NASA) [EAR-0735156]; Japanese Antarctic Research Expedition (JARE) of the Ministry of Education, Culture, Sports, Science, and Technology of Japan (MEXT); National Science Foundation Office of Polar Programs [ANT-0944270]; PNRA (Italian National Program for Antarctic Researches); POLARNET-CNR; Directorate For Geosciences; Office of Polar Programs (OPP) [0944270, 0638587] Funding Source: National Science Foundation; Science and Technology Facilities Council [PP/E007929/1] Funding Source: researchfish; STFC [PP/D002230/1, PP/E007929/1] Funding Source: UKRI</t>
  </si>
  <si>
    <t>Canada Foundation for Innovation(Canada Foundation for InnovationCGIARSpanish Government); New Brunswick Innovation Foundation; NSF(National Science Foundation (NSF)); University of Bath; Siena College GPS; National Aeronautics and Space Administration (NASA)(National Aeronautics &amp; Space Administration (NASA)); Japanese Antarctic Research Expedition (JARE) of the Ministry of Education, Culture, Sports, Science, and Technology of Japan (MEXT); National Science Foundation Office of Polar Programs(National Science Foundation (NSF)NSF - Directorate for Geosciences (GEO)); PNRA (Italian National Program for Antarctic Researches); POLARNET-CNR; Directorate For Geosciences; Office of Polar Programs (OPP)(National Science Foundation (NSF)NSF - Directorate for Geosciences (GEO)); Science and Technology Facilities Council(UK Research &amp; Innovation (UKRI)Science &amp; Technology Facilities Council (STFC)); STFC(UK Research &amp; Innovation (UKRI)Science &amp; Technology Facilities Council (STFC))</t>
  </si>
  <si>
    <t>Infrastructure funding for CHAIN was provided by the Canada Foundation for Innovation and the New Brunswick Innovation Foundation. CHAIN and CGSM operation is conducted in collaboration with the Canadian Space Agency (CSA). South Pole GPS operations are supported in part by NSF grants ANT-0840158 and ANT-0638587. These awards further support the University of Bath and Siena College GPS collaboration at South Pole and McMurdo Stations, Antarctica. GPS ground data from the PoleNet and IGS campaigns were obtained through the UNAVCO facility with support from the National Science Foundation (NSF) and National Aeronautics and Space Administration (NASA) under NSF Cooperative Agreement EAR-0735156. The funding for the operation of SuperDARN radars at Syowa Station in Antarctica was provided by the Research Program of Japanese Antarctic Research Expedition (JARE) of the Ministry of Education, Culture, Sports, Science, and Technology of Japan (MEXT). Operation of the McMurdo SuperDARN radar is supported by grant ANT-0944270 from the National Science Foundation Office of Polar Programs. The solar wind data were obtained from Goddard Space Flight Center Space Physics Data Facility OMNIWeb (http://omniweb.gsfc.nasa.gov/). The DMSP particle detectors were designed by Dave Hardy of Air Force Research Laboratory, and the data were obtained from Johns Hopkins University Applied Research Laboratory. The results presented in this paper rely on data collected at magnetic observatories operated by the Canadian GeoSpace Monitoring network, the Geological Survey of Canada, the Istituto Nazionale di Geofisica e Vulcanologia, the French Ecole et Observatoire des Sciences de la Terre (EOST), Strasbourg, and the South African National Space Agency. Management of the Concordia magnetic observatory is shared by Italian and French research institutes. The SANAE-IV observatory is managed by the South African National Antarctic Programme (SANAP). We thank the national institutes that support them and INTERMAGNET for promoting high standards of magnetic observatory practice. The authors thank for support by PNRA (Italian National Program for Antarctic Researches) and POLARNET-CNR.</t>
  </si>
  <si>
    <t>10.5194/angeo-29-2287-2011</t>
  </si>
  <si>
    <t>870GQ</t>
  </si>
  <si>
    <t>WOS:000298657700010</t>
  </si>
  <si>
    <t>Schlosser, E; Powers, JG; Duda, MG; Manning, KW</t>
  </si>
  <si>
    <t>Schlosser, Elisabeth; Powers, Jordan G.; Duda, Michael G.; Manning, Kevin W.</t>
  </si>
  <si>
    <t>Interaction between Antarctic sea ice and synoptic activity in the circumpolar trough: implications for ice-core interpretation</t>
  </si>
  <si>
    <t>ANNALS OF GLACIOLOGY</t>
  </si>
  <si>
    <t>SOUTHERN ANNULAR MODE; DRONNING MAUD LAND; ATMOSPHERIC CIRCULATION; VARIABILITY; OCEAN; ACCUMULATION; DELTA-O-18; TEMPERATURE; BEHAVIOR; STATION</t>
  </si>
  <si>
    <t>Interactions between Antarctic sea ice and synoptic activity in the circumpolar trough have been investigated using meteorological data from European Centre for Medium-Range Weather Forecasts (ECMWF) Interim Re-analysis and sea-ice data from passive-microwave measurements. Total Antarctic sea-ice extent does not show large interannual variations. However, large differences are observed on a regional/monthly scale, depending on prevailing winds and currents, and thus on the prevailing synoptic situations. The sea-ice edge is also a preferred region for cyclogenesis due to the strong meridional temperature gradient (high baroclinicity) in that area. The motivation for this study was to gain a better understanding of the interaction between sea-ice extent and the general atmospheric flow, particularly the frequency of warm-air intrusions into the interior of the Antarctic continent, since this influences precipitation seasonality and must be taken into account for a correct climatic interpretation of ice cores. Two case studies of extraordinary sea-ice concentration anomalies in relation to the prevailing atmospheric conditions are presented. However, both strong positive and negative anomalies can be related to warm biases in ice cores (indicated by stable-isotope ratios), especially in connection with the negative phase of the Southern Annular Mode.</t>
  </si>
  <si>
    <t>[Schlosser, Elisabeth] Univ Innsbruck, Inst Meteorol &amp; Geophys, A-6020 Innsbruck, Austria; [Powers, Jordan G.; Duda, Michael G.; Manning, Kevin W.] Natl Ctr Atmospher Res, Earth Syst Lab, Boulder, CO 80307 USA</t>
  </si>
  <si>
    <t>University of Innsbruck; National Center Atmospheric Research (NCAR) - USA</t>
  </si>
  <si>
    <t>Schlosser, E (corresponding author), Univ Innsbruck, Inst Meteorol &amp; Geophys, Innrain 52, A-6020 Innsbruck, Austria.</t>
  </si>
  <si>
    <t>Elisabeth.Schlosser@uibk.ac.at</t>
  </si>
  <si>
    <t>Austrian Science Fund (FWF) [V31-N10]; US National Science Foundation; Office of Polar Programs; University Corporation for Atmospheric Research (UCAR); Lower Atmosphere Facilities Oversight Section; Office of Polar Programs (OPP); Directorate For Geosciences [1135171] Funding Source: National Science Foundation; Austrian Science Fund (FWF) [P 24223] Funding Source: researchfish</t>
  </si>
  <si>
    <t>Austrian Science Fund (FWF)(Austrian Science Fund (FWF)); US National Science Foundation(National Science Foundation (NSF)); Office of Polar Programs(National Science Foundation (NSF)NSF - Directorate for Geosciences (GEO)); University Corporation for Atmospheric Research (UCAR); Lower Atmosphere Facilities Oversight Section; Office of Polar Programs (OPP); Directorate For Geosciences(National Science Foundation (NSF)NSF - Directorate for Geosciences (GEO)); Austrian Science Fund (FWF)(Austrian Science Fund (FWF))</t>
  </si>
  <si>
    <t>This study was financed by the Austrian Science Fund (FWF) under grant V31-N10. AMPS is supported by the US National Science Foundation, Office of Polar Programs and the University Corporation for Atmospheric Research (UCAR) and Lower Atmosphere Facilities Oversight Section. Sea-ice data were kindly provided by NSIDC. ERA-Interim data used in this study were obtained from the ECMWF data server. We thank F. Pellet of the University of Innsbruck for support with graphics software. We are grateful to two anonymous reviewers, who contributed constructive comments, as well as to our scientific editor, T. Vihma.</t>
  </si>
  <si>
    <t>0260-3055</t>
  </si>
  <si>
    <t>1727-5644</t>
  </si>
  <si>
    <t>ANN GLACIOL</t>
  </si>
  <si>
    <t>Ann. Glaciol.</t>
  </si>
  <si>
    <t>10.3189/172756411795931859</t>
  </si>
  <si>
    <t>751ZB</t>
  </si>
  <si>
    <t>WOS:000289655600002</t>
  </si>
  <si>
    <t>Sergienko, OV; Hulbe, CL</t>
  </si>
  <si>
    <t>Sergienko, Olga V.; Hulbe, Christina L.</t>
  </si>
  <si>
    <t>'Sticky spots' and subglacial lakes under ice streams of the Siple Coast, Antarctica</t>
  </si>
  <si>
    <t>WEST ANTARCTICA; WATER-FLOW; BENEATH; SHEET; MECHANISM; SYSTEM; FLOODS; MODEL</t>
  </si>
  <si>
    <t>Locations of subglacial lakes discovered under fast-moving West Antarctic ice streams tend to be associated with topographic features of the subglacial bed or with areas that have strong variations in basal conditions. Inversion of ice-stream surface velocity indicates that basal conditions under ice streams can be highly variable and that there can be widespread regions where basal traction is high. To seek an explanation for why lakes appear to be sited near areas with high basal traction, we use numerical models to simulate ice-stream dynamics, thermodynamics and subglacial water flow. We demonstrate that the ice flow over high basal traction areas produces favourable conditions for the ponding of meltwater. Energy dissipation associated with ice sliding over a region with high basal traction constitutes a water source supplying a lake, and ice-thickness perturbations induced by ice flow over variable traction create local minima in hydraulic potential. Variations in thermodynamic processes caused by such ice flow could be responsible for limiting the horizontal extent of the subglacial lakes.</t>
  </si>
  <si>
    <t>[Sergienko, Olga V.] Princeton Univ, Atmospher &amp; Ocean Sci Program, Geophys Fluid Dynam Lab, Princeton, NJ 08540 USA; [Hulbe, Christina L.] Portland State Univ, Dept Geol, Portland, OR 97201 USA</t>
  </si>
  <si>
    <t>Princeton University; National Oceanic Atmospheric Admin (NOAA) - USA; Portland State University</t>
  </si>
  <si>
    <t>Sergienko, OV (corresponding author), Princeton Univ, Atmospher &amp; Ocean Sci Program, Geophys Fluid Dynam Lab, 201 Forrestal Rd, Princeton, NJ 08540 USA.</t>
  </si>
  <si>
    <t>osergien@princeton.edu</t>
  </si>
  <si>
    <t>Sergienko, Olga/HII-8500-2022</t>
  </si>
  <si>
    <t>Sergienko, Olga/0000-0002-5764-8815; Hulbe, Christina/0000-0003-4765-7037</t>
  </si>
  <si>
    <t>US National Science Foundation [OPP-0838811, ARC-0934534]; Directorate For Geosciences; Office of Polar Programs (OPP) [0838811] Funding Source: National Science Foundation; Directorate For Geosciences; Office of Polar Programs (OPP) [0934534] Funding Source: National Science Foundation</t>
  </si>
  <si>
    <t>US National Science Foundation(National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</si>
  <si>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This study is supported by US National Science Foundation grants OPP-0838811 and ARC-0934534. We thank D. MacAyeal and two anonymous reviewers for valuable comments and constructive criticism.</t>
  </si>
  <si>
    <t>10.3189/172756411797252176</t>
  </si>
  <si>
    <t>804UX</t>
  </si>
  <si>
    <t>WOS:000293680600003</t>
  </si>
  <si>
    <t>Greve, R; Saito, F; Abe-Ouchi, A</t>
  </si>
  <si>
    <t>Greve, Ralf; Saito, Fuyuki; Abe-Ouchi, Ayako</t>
  </si>
  <si>
    <t>Initial results of the SeaRISE numerical experiments with the models SICOPOLIS and IcIES for the Greenland ice sheet</t>
  </si>
  <si>
    <t>CLIMATE; CORE</t>
  </si>
  <si>
    <t>SeaRISE (Sea-level Response to Ice Sheet Evolution) is a US-led multi-model community effort to predict the likely range of the contribution of the Greenland and Antarctic ice sheets to sea-level rise over the next few hundred years under global warming conditions. The Japanese ice-sheet modelling community is contributing to SeaRISE with two large-scale, dynamic/thermodynamic models: SICOPOLIS and IcIES. Here we discuss results for the Greenland ice sheet, obtained using both models under the forcings (surface temperature and precipitation scenarios) defined by the SeaRISE effort. A crucial point for meaningful simulations into the future is to obtain initial conditions that are close to the observed state of the present-day ice sheet. This is achieved by proper tuning during model spin-up from the last glacial/interglacial cycle to today. Experiments over 500 years indicate that both models are more sensitive (exhibit a larger rate of ice-sheet mass loss) to future climate warming (based on the A1B emission scenario) than to a doubling in the basal sliding speed. Ice-sheet mass loss varies between the two models by a factor of similar to 2 for sliding experiments and a factor of similar to 3 for climate-warming experiments, highlighting the importance of improved constraints on the parameterization of basal sliding and surface mass balance in ice-sheet models.</t>
  </si>
  <si>
    <t>[Greve, Ralf] Hokkaido Univ, Inst Low Temp Sci, Sapporo, Hokkaido 0600819, Japan; [Saito, Fuyuki] Japan Agcy Marine Earth Sci &amp; Technol, Kanazawa Ku, Yokohama, Kanagawa 2360001, Japan; [Abe-Ouchi, Ayako] Univ Tokyo, Atmosphere &amp; Ocean Res Inst, Chiba 2778568, Japan</t>
  </si>
  <si>
    <t>Hokkaido University; Japan Agency for Marine-Earth Science &amp; Technology (JAMSTEC); University of Tokyo</t>
  </si>
  <si>
    <t>Greve, R (corresponding author), Hokkaido Univ, Inst Low Temp Sci, Sapporo, Hokkaido 0600819, Japan.</t>
  </si>
  <si>
    <t>greve@lowtem.hokudai.ac.jp</t>
  </si>
  <si>
    <t>SAITO, Fuyuki/B-8776-2013; Abe-Ouchi, Ayako A/M-6359-2013; Greve, Ralf/G-2336-2010</t>
  </si>
  <si>
    <t>Abe-Ouchi, Ayako A/0000-0003-1745-5952; SAITO, Fuyuki/0000-0001-5935-9614; Greve, Ralf/0000-0002-1341-4777</t>
  </si>
  <si>
    <t>Japan Society for the Promotion of Science [22244058]; Grants-in-Aid for Scientific Research [22244058]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</si>
  <si>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</si>
  <si>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R.A. Bindschadler, S. Nowicki and others for getting and keeping SeaRISE up and running, J.V. Johnson and others for compiling and maintaining the SeaRISE datasets, and K. Takahashi for carrying out the SeaRISE experiments with IcIES at the Japan Agency for Marine-Earth Science and Technology. The comments of the scientific editor, D.R. MacAyeal, and the reviewers, S.F. Price and J.V. Johnson, helped considerably to improve the clarity of the manuscript. This study was supported by a Grant-in-Aid for Scientific Research A (No. 22244058) from the Japan Society for the Promotion of Science.</t>
  </si>
  <si>
    <t>10.3189/172756411797252068</t>
  </si>
  <si>
    <t>WOS:000293680600004</t>
  </si>
  <si>
    <t>Stevens, RP; Heil, P</t>
  </si>
  <si>
    <t>Stevens, R. P.; Heil, P.</t>
  </si>
  <si>
    <t>The interplay of dynamic and thermodynamic processes in driving the ice-edge location in the Southern Ocean</t>
  </si>
  <si>
    <t>MODEL; EXTENT</t>
  </si>
  <si>
    <t>A stand-alone sea-ice model (CICE4) was used to investigate the physical processes affecting the ice-edge location. Particular attention is paid to the relative contributions of dynamic and thermodynamic processes in advancing the ice edge equatorward during ice growth. Results from 10 years of an 11 year numerical simulation have been verified against satellite observations from 1998 to 2007. The autumn advance of the sea-ice edge is primarily due to thermodynamic processes, with significant dynamic contributions limited to regions such as 60-70 degrees E and 310-340 degrees E. In the dynamically dominated regions, winds with a southerly component cause equatorward ice advection but also induce thermodynamic growth of new ice, which occurs well poleward of the 15% ice-concentration contour where air temperature is lowest. As the ice moves into warmer water it melts, hence extending equatorward the region with ocean mixed layer at freezing point. This accelerates the northward progression of the ice edge and permits thermodynamic ice growth as soon as the air temperature reaches below the ocean freezing point. In regions where thermodynamic processes are dominant (e.g. 340-40 degrees E), maximum ice production occurs just poleward of the 15% ice-concentration contour, where thin sea ice is prevalent. In these longitude bands, autumn ice melt is generally absent at the ice edge due to ineffective equatorward ice advection.</t>
  </si>
  <si>
    <t>[Stevens, R. P.] Univ Tasmania, Inst Marine &amp; Antarctic Studies, Hobart, Tas 7001, Australia; [Stevens, R. P.; Heil, P.] Univ Tasmania, Antarctic Climate &amp; Ecosyst CRC, Hobart, Tas 7001, Australia; [Heil, P.] Univ Tasmania, Australian Antarctic Div, Hobart, Tas 7001, Australia</t>
  </si>
  <si>
    <t>University of Tasmania; University of Tasmania; University of Tasmania; Australian Antarctic Division</t>
  </si>
  <si>
    <t>Stevens, RP (corresponding author), Univ Tasmania, Inst Marine &amp; Antarctic Studies, Private Bag 80, Hobart, Tas 7001, Australia.</t>
  </si>
  <si>
    <t>Roger.Stevens@utas.edu.au</t>
  </si>
  <si>
    <t>Heil, Petra/0000-0003-2078-0342</t>
  </si>
  <si>
    <t>Australian Commonwealth Government; Australian Government through the Antarctic Climate and Ecosystems Cooperative Research Centre</t>
  </si>
  <si>
    <t>Australian Commonwealth Government(Australian Government); Australian Government through the Antarctic Climate and Ecosystems Cooperative Research Centre(Australian GovernmentDepartment of Industry, Innovation and ScienceCooperative Research Centres (CRC) Programme)</t>
  </si>
  <si>
    <t>This research was undertaken on the National Computing Infrastructure facility at the Australian National University, Canberra, which is supported by the Australian Commonwealth Government. The original CICE4 was obtained from the Los Alamos National Laboratory, NM, USA. We thank N. Adams for providing PolarLAPS data and S. Mars land for providing ocean data from AusCOM simulations. SSM/I ice concentrations were obtained from the US National Snow and Ice Data Center, Boulder, CO. The University of Tasmania Quantitative Marine Science Programme and its Postgraduate Office are thanked for travel support. This research was carried out under Australian Antarctic Science project No. 2504, and is supported by the Australian Government's Cooperative Research Centres Programme through the Antarctic Climate and Ecosystems Cooperative Research Centre. W.F. Budd, K. Michael, the scientific editor S.F. Ackley and two anonymous reviewers are thanked for their insightful comments.</t>
  </si>
  <si>
    <t>10.3189/172756411795931642</t>
  </si>
  <si>
    <t>WOS:000289655600004</t>
  </si>
  <si>
    <t>Guttenberg, N; Abbot, DS; Amundson, JM; Burton, JC; Mac Cathles, L; MacAyeal, DR; Zhang, WW</t>
  </si>
  <si>
    <t>Guttenberg, Nicholas; Abbot, Dorian S.; Amundson, Jason M.; Burton, Justin C.; Mac Cathles, L.; MacAyeal, Douglas R.; Zhang, Wendy W.</t>
  </si>
  <si>
    <t>A computational investigation of iceberg capsize as a driver of explosive ice-shelf disintegration</t>
  </si>
  <si>
    <t>BREAK-UP; COLLAPSE</t>
  </si>
  <si>
    <t>Potential energy released from the capsize of ice-shelf fragments (icebergs) is the immediate driver of the brief explosive phase of ice-shelf disintegration along the Antarctic Peninsula (e.g. the Larsen A, Larsen B and Wilkins ice shelves). The majority of this energy powers the rapidly expanding plume of ice-shelf fragments that expands outward into the open ocean; a smaller fraction of this energy goes into surface gravity waves and other dynamic interactions between ice and water that can sustain the continued fragmentation and break-up of the original ice shelf. As an initial approach to the investigation of ice-shelf fragment capsize in ice-shelf collapse, we develop a simple conceptual model involving ideal rectangular icebergs, initially in unstable or metastable orientations, which are assembled into a tightly packed mass that subsequently disassembles via massed capsize. Computations based on this conceptual model display phenomenological similarity to aspects of real ice-shelf collapse. A promising result of the conceptual model presented here is a description of how iceberg aspect ratio and its statistical variance, the two parameters related to ice-shelf fracture patterns, influence the enabling conditions to be satisfied by slow-acting processes (e.g. environmentally driven melting) that facilitate ice-shelf disintegration.</t>
  </si>
  <si>
    <t>[Guttenberg, Nicholas; Burton, Justin C.; Zhang, Wendy W.] Univ Chicago, Dept Phys, Chicago, IL 60637 USA; [Abbot, Dorian S.; Amundson, Jason M.; Mac Cathles, L.; MacAyeal, Douglas R.] Univ Chicago, Dept Geophys Sci, Chicago, IL 60637 USA</t>
  </si>
  <si>
    <t>University of Chicago; University of Chicago</t>
  </si>
  <si>
    <t>Guttenberg, N (corresponding author), Univ Chicago, Dept Phys, 5720 S Ellis Ave, Chicago, IL 60637 USA.</t>
  </si>
  <si>
    <t>drm7@uchicago.edu</t>
  </si>
  <si>
    <t>Abbot, Dorian S/J-6352-2012; Burton, Justin C/M-9735-2016; Guttenberg, Nicholas/F-9782-2010</t>
  </si>
  <si>
    <t>Burton, Justin C/0000-0002-4797-8968; MacAyeal, Douglas/0000-0003-0647-6176</t>
  </si>
  <si>
    <t>US National Science Foundation [ANT-0944193, OPP-0838811, CMG-0934534]; University of Chicago; Canadian Institute for Advanced Research; Office of Polar Programs (OPP); Directorate For Geosciences [0944193] Funding Source: National Science Foundation</t>
  </si>
  <si>
    <t>US National Science Foundation(National Science Foundation (NSF)); University of Chicago(University of Chicago); Canadian Institute for Advanced Research(Canadian Institute for Advanced Research (CIFAR)); Office of Polar Programs (OPP); Directorate For Geosciences(National Science Foundation (NSF)NSF - Directorate for Geosciences (GEO))</t>
  </si>
  <si>
    <t>This work is supported by the US National Science Foundation under grants ANT-0944193, OPP-0838811 and CMG-0934534. D.S. Abbot was supported by the T.C. Chamberlin Fellowship of the University of Chicago and the Canadian Institute for Advanced Research. We thank reviewers J. Johnson and T. Scambos and scientific editor L. Stearns for substantial help in clarifying the work presented here. The first author innovated the methods and performed the computations presented here. Co-authors, listed in alphabetical order, had significant but supportive roles.</t>
  </si>
  <si>
    <t>10.3189/172756411799096178</t>
  </si>
  <si>
    <t>878HF</t>
  </si>
  <si>
    <t>WOS:000299245400008</t>
  </si>
  <si>
    <t>MacAyeal, DR; Abbot, DS; Sergienko, OV</t>
  </si>
  <si>
    <t>MacAyeal, Douglas R.; Abbot, Dorian S.; Sergienko, Olga V.</t>
  </si>
  <si>
    <t>Iceberg-capsize tsunamigenesis</t>
  </si>
  <si>
    <t>TSUNAMIS; DISLOCATIONS; LANDSLIDES</t>
  </si>
  <si>
    <t>Calving from the floating termini of outlet glaciers and ice shelves is just the beginning of an interesting chain of events that can subsequently have important impacts on human life and property. Immediately after calving, many icebergs capsize (roll over by 90 degrees) due to the instability of their initial geometry. As icebergs melt and respond to the cumulative effects of ocean swell, they can also reorient their mass distribution by further capsize and fragmentation. These processes release gravitational potential energy and can produce impulsive large-amplitude surface-gravity waves known as tsunamis (a term derived from the Japanese language). Iceberg-capsize tsunamis in Greenland fjords can be of sufficient amplitude to threaten human life and cause destruction of property in settlements. Iceberg-capsize tsunamis may also have a role in determining why some ice shelves along the Antarctic Peninsula disintegrate 'explosively' in response to general environmental warming. To quantify iceberg tsunami hazards we investigate iceberg-capsize energetics, and develop a rule relating tsunami height to iceberg thickness. This rule suggests that the open-water tsunami height (located far from the iceberg and from shorelines where the height can be amplified) has an upper limit of 0.01 H where H is the initial vertical dimension of the iceberg.</t>
  </si>
  <si>
    <t>[MacAyeal, Douglas R.; Abbot, Dorian S.] Univ Chicago, Dept Geophys Sci, Chicago, IL 60637 USA; [Sergienko, Olga V.] Princeton Univ, Atmospher &amp; Ocean Sci Program, Princeton, NJ 08540 USA</t>
  </si>
  <si>
    <t>University of Chicago; National Oceanic Atmospheric Admin (NOAA) - USA; Princeton University</t>
  </si>
  <si>
    <t>MacAyeal, DR (corresponding author), Univ Chicago, Dept Geophys Sci, 5734 S Ellis Ave, Chicago, IL 60637 USA.</t>
  </si>
  <si>
    <t>Sergienko, Olga/HII-8500-2022; Abbot, Dorian S/J-6352-2012</t>
  </si>
  <si>
    <t>Sergienko, Olga/0000-0002-5764-8815; MacAyeal, Douglas/0000-0003-0647-6176</t>
  </si>
  <si>
    <t>US National Science Foundation [ANT-0944193, OPP-0838811, CMG-0934534]; University of Chicago; Canadian Institute for Advanced Research; Directorate For Geosciences; Office of Polar Programs (OPP) [0944193, 0934534, 0838811] Funding Source: National Science Foundation; Division Of Mathematical Sciences; Direct For Mathematical &amp; Physical Scien [0940261] Funding Source: National Science Foundation</t>
  </si>
  <si>
    <t>US National Science Foundation(National Science Foundation (NSF)); University of Chicago(University of Chicago); Canadian Institute for Advanced Research(Canadian Institute for Advanced Research (CIFAR)); Directorate For Geosciences; Office of Polar Programs (OPP)(National Science Foundation (NSF)NSF - Directorate for Geosciences (GEO)); Division Of Mathematical Sciences; Direct For Mathematical &amp; Physical Scien(National Science Foundation (NSF)NSF - Directorate for Mathematical &amp; Physical Sciences (MPS))</t>
  </si>
  <si>
    <t>This work is supported by the US National Science Foundation under grants ANT-0944193, OPP-0838811 and CMG-0934534. D.S.A. was supported by the T.C. Chamberlin Fellowship of the University of Chicago and the Canadian Institute for Advanced Research. We thank E. Okal, J. Bassis, M. Cathles, N. Guttenberg, J. Burton, W. Zhang and especially J. Amundson, whose time-lapse videos of Greenlandic iceberg capsize inspired this work. The reviews of P. Bartelt, M. Naaim, an anonymous referee and the internal review provided by J. Amundson led to improvements in the paper.</t>
  </si>
  <si>
    <t>10.3189/172756411797252103</t>
  </si>
  <si>
    <t>WOS:000293680600008</t>
  </si>
  <si>
    <t>Scambos, TA; Berthier, E; Shuman, CA</t>
  </si>
  <si>
    <t>Scambos, Ted A.; Berthier, Etienne; Shuman, Christopher A.</t>
  </si>
  <si>
    <t>The triggering of subglacial lake drainage during rapid glacier drawdown: Crane Glacier, Antarctic Peninsula</t>
  </si>
  <si>
    <t>GREENLAND ICE-SHEET; AIRBORNE LASER ALTIMETRY; ELEVATION CHANGES; WEST ANTARCTICA; DISCHARGE; SHELF; FLOW; DISINTEGRATION; INVENTORY; ACCURACY</t>
  </si>
  <si>
    <t>Ice surface altimetry from ICESat-1 and NASA aircraft altimeter overflights spanning 2002-09 indicate that a region of lower Crane Glacier, Antarctic Peninsula, shows an unusual temporal pattern of elevation loss: a period of very rapid drawdown (similar to 91 m a(-1) between September 2004 and September 2005) bounded by periods of large but more moderate rates (23 m a(-1) until September 2004; 12 m a(-1) after September 2005). The region of increased drawdown is similar to 4.5 km x 2.2 km based on satellite (ASTER and SPOT-5) stereo-image digital elevation model (DEM) differencing spanning the event. In a later differential DEM the anomalous drawdown feature is not seen. Bathymetry in Crane Glacier fjord reveals a series of flat-lying, formerly subglacial deeps interpreted as lake sediment basins. We conclude that the elevation-change feature resulted from drainage of a small, deep subglacial lake. We infer that the drainage event was induced by hydraulic forcing of subglacial water past a downstream obstruction. However, only a fraction of Crane Glacier's increase in flow speed that occurred near the time of lake drainage (derived from image feature tracking) appears to be directly attributable to the event; instead, retreat of the ice front off a subglacial ridge 6 km downstream of the lake is likely the dominant cause of renewed fast flow and more negative mass balance in the subsequent 4 years.</t>
  </si>
  <si>
    <t>[Scambos, Ted A.] Univ Colorado, CIRES, Natl Snow &amp; Ice Data Ctr, Boulder, CO 80309 USA; [Berthier, Etienne] Univ Toulouse, CNRS, F-31400 Toulouse, France; [Shuman, Christopher A.] Univ Maryland Baltimore Cty, Goddard Earth Sci &amp; Technol Ctr, Baltimore, MD 21228 USA; [Shuman, Christopher A.] NASA, Goddard Space Flight Ctr, Greenbelt, MD 20771 USA</t>
  </si>
  <si>
    <t>University of Colorado System; University of Colorado Boulder; Centre National de la Recherche Scientifique (CNRS); Universite de Toulouse; National Aeronautics &amp; Space Administration (NASA); NASA Goddard Space Flight Center; University System of Maryland; University of Maryland Baltimore County; National Aeronautics &amp; Space Administration (NASA); NASA Goddard Space Flight Center</t>
  </si>
  <si>
    <t>Scambos, TA (corresponding author), Univ Colorado, CIRES, Natl Snow &amp; Ice Data Ctr, 1540 30th St,Campus Box 449, Boulder, CO 80309 USA.</t>
  </si>
  <si>
    <t>teds@nsidc.org</t>
  </si>
  <si>
    <t>Berthier, Etienne/B-8900-2009; Scambos, Ted A/B-1856-2009</t>
  </si>
  <si>
    <t>Berthier, Etienne/0000-0001-5978-9155; SCAMBOS, Ted A./0000-0003-4268-6322</t>
  </si>
  <si>
    <t>NASA [NNG05GO82G]; French Space Agency (CNES) [352]</t>
  </si>
  <si>
    <t>NASA(National Aeronautics &amp; Space Administration (NASA)); French Space Agency (CNES)(Centre National D'etudes Spatiales)</t>
  </si>
  <si>
    <t>This research was supported by NASA grant NNG05GO82G to T. Scambos. E. Berthier acknowledges support from the French Space Agency (CNES) through the TOSCA and ISIS proposal No. 352. SPOT-5 high-resolution stereo data were provided at no cost by CNES through the SPIRIT International Polar Year project (Korona and others, 2009). ASTER data were provided at no cost by NASA/US Geological Survey through the Global Land Ice Measurements from Space (GLIMS) project (Raup and others, 2007). Formosat-2 data used in the study (Fig. 5) were acquired by the National Space Projects Office (NSPO) of Taiwan, and processed by Chien-Cheng Liu of National Cheng-Kung University, Tainan, Taiwan. Bathymetry data were facilitated by F. Zgur and M. Rebesco. We thank J. Bohlander and T. Haran of NSIDC, who produced several of the datasets used in the study, and V. Suchdeo (Sigma Space at NASA/Goddard Space Flight Center) who assisted with the ATM data processing.</t>
  </si>
  <si>
    <t>10.3189/172756411799096204</t>
  </si>
  <si>
    <t>WOS:000299245400011</t>
  </si>
  <si>
    <t>Smedsrud, LH</t>
  </si>
  <si>
    <t>Smedsrud, Lars H.</t>
  </si>
  <si>
    <t>Grease-ice thickness parameterization</t>
  </si>
  <si>
    <t>SEA-ICE; COLLECTION THICKNESS; FRAZIL-ICE; POLYNYA; OCEAN; MODEL; FLUX; COEFFICIENTS; FIELD</t>
  </si>
  <si>
    <t>Grease ice is a mixture of sea water and frazil ice crystals forming in Arctic and Antarctic waters. The initial grease-ice cover, or the grease ice forming during winter in leads and polynyas, may therefore have mixed properties of water and ice. Most sea-ice models use a lower thickness limit on the solid sea ice, representing a transition from grease ice to solid ice. Before grease ice solidifies it is often packed into a layer by the local wind. Existing field measurements of grease ice are compared and used to evaluate a new thickness parameterization including the drag from the wind as well as the ocean current. The measurements support a scaling of the wind drag and the back pressure from the grease-ice layer using a nonlinear relation. The relation is consistent with an increasing grease-ice thickness towards a solid boundary. Grease-ice data from Storfjorden, Svalbard, confirm that tidal currents are strong enough to add significant drag force on the grease ice. A typical wind speed of only 10 m s(-1) results in a 0.3 m thick layer of grease ice. Tidal currents of 0.5 m s(-1) will pack the grease ice further towards a stagnant boundary to a mean thickness of 0.8 m.</t>
  </si>
  <si>
    <t>Inst Geophys, Bjerknes Ctr Climate Res, NO-5007 Bergen, Norway</t>
  </si>
  <si>
    <t>Bjerknes Centre for Climate Research</t>
  </si>
  <si>
    <t>Smedsrud, LH (corresponding author), Inst Geophys, Bjerknes Ctr Climate Res, Allegaten 70, NO-5007 Bergen, Norway.</t>
  </si>
  <si>
    <t>Lars.Smedsrud@uni.no</t>
  </si>
  <si>
    <t>Smedsrud, Lars H./0000-0001-7391-0740</t>
  </si>
  <si>
    <t>Research Council of Norway</t>
  </si>
  <si>
    <t>Research Council of Norway(Research Council of Norway)</t>
  </si>
  <si>
    <t>We thank Hayley Shen and Hung Tao Shen for guidance on the scaling of the force balance. This work was completed as part of the Bipolar Atlantic Thermohaline Circulation (BIAC) and NorClim projects funded by the Research Council of Norway. We thank P. Langhorne (scientific editor), M. Williams and an anonymous reviewer for helpful comments on the paper. This is publication No. A303 from the Bjerknes Centre for Climate Research.</t>
  </si>
  <si>
    <t>10.3189/172756411795931840</t>
  </si>
  <si>
    <t>WOS:000289655600010</t>
  </si>
  <si>
    <t>Wilchinsky, AV; Feltham, DL; Hopkins, MA</t>
  </si>
  <si>
    <t>Wilchinsky, Alexander V.; Feltham, Daniel L.; Hopkins, Mark A.</t>
  </si>
  <si>
    <t>Modelling the reorientation of sea-ice faults as the wind changes direction</t>
  </si>
  <si>
    <t>TENSILE-STRENGTH; IN-SITU; FRACTURE; FAILURE; SCALE; COMPRESSION; SATELLITE; RHEOLOGY; CRACKS</t>
  </si>
  <si>
    <t>A discrete-element model of sea ice is used to study how a 900 change in wind direction alters the pattern of faults generated through mechanical failure of the ice. The sea-ice domain is 400 km in size and consists of polygonal floes obtained through a Voronoi tessellation. Initially the floes are frozen together through viscous-elastic joints that can break under sufficient compressive, tensile and shear deformation. A constant wind-stress gradient is applied until the initially frozen ice pack is broken into roughly diamond-shaped aggregates, with crack angles determined by wing-crack formation. Then partial refreezing of the cracks delineating the aggregates is modelled through reduction of their length by a particular fraction, the ice pack deformation is neglected and the wind stress is rotated by 90 degrees. New cracks form, delineating aggregates with a different orientation. Our results show the new crack orientation depends on the refrozen fraction of the initial faults: as this fraction increases, the new cracks gradually rotate to the new wind direction, reaching 90 degrees for fully refrozen faults. Such reorientation is determined by a competition between new cracks forming at a preferential angle determined by the wing-crack theory and at old cracks oriented at a less favourable angle but having higher stresses due to shorter contacts across the joints.</t>
  </si>
  <si>
    <t>[Wilchinsky, Alexander V.; Feltham, Daniel L.] UCL, Natl Ctr Earth Observat, Ctr Polar Observat &amp; Modelling, London WC1E 6BT, England; [Feltham, Daniel L.] British Antarctic Survey, Nat Environm Res Council, Cambridge CB3 0ET, England; [Hopkins, Mark A.] USA, Cold Reg Res &amp; Engn Lab, Hanover, NH 03755 USA</t>
  </si>
  <si>
    <t>University of London; University College London; UK Research &amp; Innovation (UKRI); Natural Environment Research Council (NERC); NERC National Centre for Earth Observation; UK Research &amp; Innovation (UKRI); Natural Environment Research Council (NERC); NERC British Antarctic Survey; United States Department of Defense; United States Army; U.S. Army Corps of Engineers; U.S. Army Engineer Research &amp; Development Center (ERDC); Cold Regions Research &amp; Engineering Laboratory (CRREL)</t>
  </si>
  <si>
    <t>Wilchinsky, AV (corresponding author), UCL, Natl Ctr Earth Observat, Ctr Polar Observat &amp; Modelling, Gower St, London WC1E 6BT, England.</t>
  </si>
  <si>
    <t>aw@cpom.ucl.ac.uk</t>
  </si>
  <si>
    <t>Feltham, Daniel/0000-0003-2289-014X</t>
  </si>
  <si>
    <t>NERC [cpom20001] Funding Source: UKRI; Natural Environment Research Council [cpom20001] Funding Source: researchfish</t>
  </si>
  <si>
    <t>10.3189/172756411795931831</t>
  </si>
  <si>
    <t>WOS:000289655600011</t>
  </si>
  <si>
    <t>Schwegmann, S; Haas, C; Fowler, C; Gerdes, R</t>
  </si>
  <si>
    <t>Schwegmann, Sandra; Haas, Christian; Fowler, Charles; Gerdes, Ruediger</t>
  </si>
  <si>
    <t>A comparison of satellite-derived sea-ice motion with drifting-buoy data in the Weddell Sea, Antarctica</t>
  </si>
  <si>
    <t>We compare a satellite-derived sea-ice motion dataset obtained from the US National Snow and Ice Data Center with daily ice drift by drifting buoys between 1989 and 2005. The satellite data were derived from daily composites of passive-microwave satellite measurements by means of a cross-correlation method and were supplemented with data from visible and thermal channels of the Advanced Very High Resolution Radiometer. Seasonal and interannual variations of the agreement between the two datasets are discussed. In addition, regional differences in the agreement and correlation coefficients of buoy- and satellite-derived drift components are analyzed. Results show that the overall drift regime can be well described by satellite-derived drift data but 71% of the retrieved drift velocities are lower than those observed by buoys. Nevertheless, correlation coefficients, r, between the two datasets are 0.587 for the zonal and 0.613 for the meridional drift component. The correlation coefficients between monthly averages of buoy- and satellite-derived zonal and meridional drift components are on average 25.7% and 16.4% lower in summer (October-February) than in winter (March-September), with the exception of January. In January, correlation coefficients are about 62.6% (zonal) and 66.5% (meridional) lower than in winter. Furthermore, deviations between zonal buoy- and satellite-derived drift are 80% larger in the second half than in the first half of the year. The observed yearly and regional averaged agreement between the two datasets depends strongly on the season when buoy data were collected and on the number of coincident buoy and satellite data, which was often very low.</t>
  </si>
  <si>
    <t>[Schwegmann, Sandra; Gerdes, Ruediger] Alfred Wegener Inst Polar &amp; Marine Res, D-27570 Bremerhaven, Germany; [Haas, Christian] Univ Alberta, Dept Earth &amp; Atmospher Sci, Edmonton, AB TG6 2E3, Canada; [Haas, Christian] Univ Alberta, Dept Geophys, Edmonton, AB TG6 2E3, Canada; [Fowler, Charles] Univ Colorado, Colorado Ctr Astrodynam Res, Boulder, CO 80309 USA</t>
  </si>
  <si>
    <t>Helmholtz Association; Alfred Wegener Institute, Helmholtz Centre for Polar &amp; Marine Research; University of Alberta; University of Alberta; University of Colorado System; University of Colorado Boulder</t>
  </si>
  <si>
    <t>Schwegmann, S (corresponding author), Alfred Wegener Inst Polar &amp; Marine Res, Bussestr 24, D-27570 Bremerhaven, Germany.</t>
  </si>
  <si>
    <t>Sandra.Schwegmann@awi.de</t>
  </si>
  <si>
    <t>Haas, Christian/L-5279-2016</t>
  </si>
  <si>
    <t>Haas, Christian/0000-0002-7674-3500; Schwegmann, Sandra/0000-0002-3102-7279</t>
  </si>
  <si>
    <t>Earth System Science Research School; Alfred Wegener Institute for Polar and Marine Research</t>
  </si>
  <si>
    <t>Thanks to S. Hendricks for reading the manuscript and giving useful advice. Thanks also to the scientific editor J. Hutchings, to A. Roberts and to an anonymous reviewer for their valuable comments. Special thanks to C. Kottmeier and L. Sellmann who provided most of the buoy data. Some other buoy data are provided by the International Programme for Antarctic Buoys. This work is funded by the Earth System Science Research School and the Alfred Wegener Institute for Polar and Marine Research.</t>
  </si>
  <si>
    <t>10.3189/172756411795931813</t>
  </si>
  <si>
    <t>WOS:000289655600014</t>
  </si>
  <si>
    <t>VanLooy, JA; Forster, RR</t>
  </si>
  <si>
    <t>VanLooy, Jeffrey A.; Forster, Richard R.</t>
  </si>
  <si>
    <t>Use of historical elevation data to calculate surface-elevation and volume changes of Ha-Iltzuk Icefield, southwest British Columbia, Canada, 1970 to mid-1980s</t>
  </si>
  <si>
    <t>ANTARCTIC ICE-SHEET; SEA-LEVEL RISE; MASS-BALANCE; EQUILIBRIUM-LINE; GLACIER; GREENLAND; FLUCTUATIONS; VARIABILITY; VELOCITY; ALASKA</t>
  </si>
  <si>
    <t>Investigations into glacial changes, including understanding variations in the rates of glacial volume and surface-elevation changes, have increased over the past decade. This study uses historical glacier elevation data in the form of topographic maps from 1970 and a digital elevation model from the mid-1980s to calculate surface-elevation and volume changes for Ha-Iltzuk Icefield, southwest British Columbia, Canada. Results indicate that the icefield thinned at an average rate of 0.76 +/- 0.25 m a(-1) during this period. A previous study of Ha-Iltzuk Icefield also using the geodetic method found a thinning rate of 1.0 +/- 0.20 m a(-1) between the mid-1980s and 1999, indicating a slight increase in the amount of icefield thinning. Within the ablation zone, thinning increased with decreasing elevation at a rate of 1.9 +/- 0.68 m a(-1) km(-1) between these two periods (1970 to mid-1980s versus mid-1980s to 1999). Analysis of meteorological data suggests that increases in both temperature and rainfall, as well as decreases in snowfall, likely contributed to the increased thinning rate.</t>
  </si>
  <si>
    <t>[VanLooy, Jeffrey A.] Univ N Dakota, Dept Earth Syst Sci &amp; Policy, Grand Forks, ND 58202 USA; [Forster, Richard R.] Univ Utah, Dept Geog, Salt Lake City, UT 84112 USA</t>
  </si>
  <si>
    <t>University of North Dakota Grand Forks; Utah System of Higher Education; University of Utah</t>
  </si>
  <si>
    <t>VanLooy, JA (corresponding author), Univ N Dakota, Dept Earth Syst Sci &amp; Policy, Grand Forks, ND 58202 USA.</t>
  </si>
  <si>
    <t>jvanlooy@aero.und.edu</t>
  </si>
  <si>
    <t>VanLooy, Jeffrey/ABE-2004-2020</t>
  </si>
  <si>
    <t>VanLooy, Jeff/0000-0002-7424-5516</t>
  </si>
  <si>
    <t>NASA [NAG5-12552, NNX09AQ81G]; University of Utah; NASA [NNX09AQ81G, 104040] Funding Source: Federal RePORTER</t>
  </si>
  <si>
    <t>NASA(National Aeronautics &amp; Space Administration (NASA)); University of Utah; NASA(National Aeronautics &amp; Space Administration (NASA))</t>
  </si>
  <si>
    <t>This work was partially supported by NASA grants NAG5-12552 and NNX09AQ81G, and a Graduate Research Fellowship from the University of Utah. We also thank two anonymous reviewers and the editors for their insightful comments which greatly improved the paper.</t>
  </si>
  <si>
    <t>10.3189/172756411799096213</t>
  </si>
  <si>
    <t>WOS:000299245400015</t>
  </si>
  <si>
    <t>Stearns, LA</t>
  </si>
  <si>
    <t>Stearns, Leigh A.</t>
  </si>
  <si>
    <t>Dynamics and mass balance of four large East Antarctic outlet glaciers</t>
  </si>
  <si>
    <t>ROSS ICE SHELF; ELEVATION CHANGES; AIRBORNE-RADAR; BYRD GLACIER; GREENLAND; FLOW; VELOCITY; SHEET; STREAM; ACCELERATION</t>
  </si>
  <si>
    <t>The East Antarctic ice sheet (EAIS) is Earth's largest reservoir of fresh water and has the potential to raise sea level by similar to 50 m. A significant amount of the ice sheet's mass is discharged by outlet glaciers draining through the Transantarctic Mountains, the balance characteristics of which are largely unknown. Here the mass balance is estimated for four glaciers draining ice from the EAIS through the Transantarctic Mountains into the Ross Sea embayment: David, Mu lock, Byrd and Nimrod glaciers. Remote-sensing observations are used to map changes in ice flow and surface elevation, and ultimately to compute the mass balance of each glacier using the input-output method and three separate estimates for accumulation rate. Results computed using this method indicate small positive balances for David (2.41 +/- 1.31 Gt a(-1)), Mulock (1.91 +/- 0.84 Gt a(-1)) and Nimrod (0.88 +/- 0.39 Gt a(-1)) glaciers, and a large positive imbalance for Byrd Glacier (21.67 +/- 4.04 Gt a(-1)). This large imbalance for Byrd Glacier is inconsistent with other observations, and is likely due to an overestimation of accumulation rates across large regions of the interior catchment.</t>
  </si>
  <si>
    <t>[Stearns, Leigh A.] Univ Kansas, Dept Geol, Lawrence, KS 66045 USA; [Stearns, Leigh A.] Univ Kansas, Ctr Remote Sensing Ice Sheets, Lawrence, KS 66045 USA</t>
  </si>
  <si>
    <t>University of Kansas; University of Kansas</t>
  </si>
  <si>
    <t>Stearns, LA (corresponding author), Univ Kansas, Dept Geol, Lawrence, KS 66045 USA.</t>
  </si>
  <si>
    <t>stearns@ku.edu</t>
  </si>
  <si>
    <t>Stearns, Leigh/0000-0001-7358-7015</t>
  </si>
  <si>
    <t>NASA [NNG04-GK39G]</t>
  </si>
  <si>
    <t>NASA(National Aeronautics &amp; Space Administration (NASA))</t>
  </si>
  <si>
    <t>This work is an extension of work that L.A.S. did as part of her PhD thesis at the University of Maine. G.S. Hamilton provided invaluable support throughout the project. This work was supported by NASA's Cryospheric Sciences Program through NNG04-GK39G (G.S. Hamilton) and a NASA Earth Systems Science Fellowship (L.A.S.). I thank C. Swithinbank for providing raw data and maps from his 1961 Antarctic field season; B. Lucchitta and T. Hughes for providing Landsat TM4 scenes of Byrd Glacier; and W.-J. van de Berg and J. Lenaerts for generously sharing their modeled surface mass-balance data for this study. Two anonymous reviewers and associate editor D. van As provided comments which greatly improved the manuscript.</t>
  </si>
  <si>
    <t>10.3189/172756411799096187</t>
  </si>
  <si>
    <t>WOS:000299245400016</t>
  </si>
  <si>
    <t>Barreira, S; Compagnucci, RH</t>
  </si>
  <si>
    <t>Barreira, Sandra; Hilda Compagnucci, Rosa</t>
  </si>
  <si>
    <t>Spatial fields of Antarctic sea-ice concentration anomalies for summer-autumn and their relationship to Southern Hemisphere atmospheric circulation during the period 1979-2009</t>
  </si>
  <si>
    <t>ANNULAR MODE; WEDDELL SEA; SYNCHRONOUS VARIABILITY; PACIFIC SECTOR; WINTER; EXTENT; OSCILLATION; PATTERNS; OCEAN; IMPACTS</t>
  </si>
  <si>
    <t>Summer autumn monthly sea-ice concentration anomaly (SICA) fields in Antarctica obtained from satellite data for the period 1979-2009 were analysed with Varimax-rotated T-mode principal component analysis (PCA). The first three PCA scores described the SICA spatial behaviour and explained 38.07% of the total variance. The related atmospheric circulation characteristics were analysed using 850 hPa height and surface air-temperature anomalies for the months clustered by the corresponding SICA composites, which were based on PCA loadings above a +/- 0.3 threshold. The principal characteristics of SICA can be seen between the Ross and Weddell Seas, areas that remained ice-covered during the analysis period. Elsewhere around Antarctica, small distinct characteristics occur mostly in embayments. The leading summer-autumn SICA pattern shows a structure with two centres of equal sign located one over the Weddell and the other over the Ross Sea-southwest Pacific Ocean sector and a centre of opposite sign over the Bellingshausen and Amundsen Seas. The second SICA pattern is represented by a dipole over the Weddell Sea as a result of an increase (decrease) in sea-ice concentration in the northern sector (positive phase) and a decrease (increase) in the southern region, together with a positive (negative) centre over the Ross and Amundsen Seas. The latter pattern is characterized by equal-sign anomalies on both sides of the Antarctic Peninsula and opposite-sign centres all around Antarctica with the highest intensity over the Ross Sea.</t>
  </si>
  <si>
    <t>[Barreira, Sandra] Argentine Naval Hydrog Serv, Dept Meteorol, RA-1104 Buenos Aires, DF, Argentina; [Hilda Compagnucci, Rosa] Univ Buenos Aires, Atmospher &amp; Oceanog Sci Dept, RA-1428 Buenos Aires, DF, Argentina</t>
  </si>
  <si>
    <t>Barreira, S (corresponding author), Argentine Naval Hydrog Serv, Dept Meteorol, Comodoro Py 2055 Piso 15, RA-1104 Buenos Aires, DF, Argentina.</t>
  </si>
  <si>
    <t>barreira@ara.mil.ar</t>
  </si>
  <si>
    <t>Proyecto bilateral: Republica Argentina (MINCYT) y el NRF de Sudagrica [A0811, PICT-2007-00438, UBACYT X-016]</t>
  </si>
  <si>
    <t>Proyecto bilateral: Republica Argentina (MINCYT) y el NRF de Sudagrica</t>
  </si>
  <si>
    <t>This study was supported by A0811 Proyecto bilateral: Republica Argentina (MINCYT) y el NRF de Sudagrica, 2008/2010, PICT-2007-00438 AGENCIA-MINCYT, 2009/2011 and UBACYT X-016. We thank two anonymous reviewers for their thoughts on improving the manuscript and R. Massom, the Scientific Editor. We also thank NSIDC for providing the sea-ice data and M. Savoie who upgraded the data until 2009.</t>
  </si>
  <si>
    <t>10.3189/172756411795931741</t>
  </si>
  <si>
    <t>WOS:000289655600019</t>
  </si>
  <si>
    <t>Jones, K; Ingham, M; Pringle, D; Eicken, H</t>
  </si>
  <si>
    <t>Jones, Keleigh; Ingham, Malcolm; Pringle, Daniel; Eicken, Hajo</t>
  </si>
  <si>
    <t>Cross-borehole resistivity tomography of Arctic and Antarctic sea ice</t>
  </si>
  <si>
    <t>MAGNETIC-RESONANCE; TRANSPORT; PERMITTIVITY; PERMEABILITY; PERCOLATION; DIFFUSION; BOUNDS</t>
  </si>
  <si>
    <t>As an inhomogeneous mixture of pure ice, brine, air and solid salts the physical properties of sea ice depend on its highly temperature-dependent microstructure. Understanding the microstructure and the way it responds to variations in temperature and salinity is crucial in developing an improved understanding of the interaction between sea ice and the environment. However, measurements monitoring the internal structure of sea ice are difficult to obtain without disturbing its natural state. We have recently developed an application of cross-borehole d.c. resistivity tomography to make in situ measurement that resolve the anisotropic resistivity structure of first-year sea ice. We present results from measurements made in 2008 off Barrow, Alaska, and in 2009 off Ross Island, Antarctica. The sea ice in these two regions forms in different environments: at Barrow, relatively quiescent conditions typically lead to a predominance of columnar ice, while more turbulent conditions and underwater ice formation in McMurdo Sound tend to produce a larger component of frazil or platelet ice. Interpretation of the resistivity measurements carried out in association with temperature and salinity data collected simultaneously allows both observation of the temporal evolution of the ice structure and, in the case of the Antarctic measurements, the identification of different ice types.</t>
  </si>
  <si>
    <t>[Jones, Keleigh; Ingham, Malcolm] Victoria Univ Wellington, Sch Chem &amp; Phys Sci, Wellington 6140, New Zealand; [Pringle, Daniel; Eicken, Hajo] Univ Alaska Fairbanks, Inst Geophys, Fairbanks, AK 99775 USA</t>
  </si>
  <si>
    <t>Victoria University Wellington; University of Alaska System; University of Alaska Fairbanks</t>
  </si>
  <si>
    <t>Jones, K (corresponding author), Victoria Univ Wellington, Sch Chem &amp; Phys Sci, POB 600, Wellington 6140, New Zealand.</t>
  </si>
  <si>
    <t>joneskele@myvuw.ac.nz</t>
  </si>
  <si>
    <t>Eicken, Hajo/M-6901-2016</t>
  </si>
  <si>
    <t>Ingham, Malcolm/0000-0003-3128-7131</t>
  </si>
  <si>
    <t>Victoria University of Wellington; US National Science Foundation (NSF) Office of Polar Programs [ARC-0620124, 0934683]; Directorate For Geosciences; Office of Polar Programs (OPP) [0934683] Funding Source: National Science Foundation</t>
  </si>
  <si>
    <t>Victoria University of Wellington; US National Science Foundation (NSF) Office of Polar Programs(National Science Foundation (NSF)); Directorate For Geosciences; Office of Polar Programs (OPP)(National Science Foundation (NSF)NSF - Directorate for Geosciences (GEO))</t>
  </si>
  <si>
    <t>K. Jones is supported by a Victoria University of Wellington Doctoral Scholarship/Assistantship. For the Arctic field measurements we acknowledge financial support through US National Science Foundation (NSF) Office of Polar Programs grants ARC-0620124 and 0934683 and logistic support provided by the Barrow Arctic Science Consortium. Antarctic field measurements were made as part of science event K131 coordinated by T. Haskell (Industrial Research Ltd, New Zealand). Logistics support was provided by Antarctic New Zealand. A. Cough and A. Mahoney of University of Otago, New Zealand, installed the electrode strings in McMurdo Sound. We thank the two reviewers and the scientific editor for comments on the manuscript.</t>
  </si>
  <si>
    <t>10.3189/172756411795931723</t>
  </si>
  <si>
    <t>WOS:000289655600021</t>
  </si>
  <si>
    <t>Weissling, BP; Ackley, SF</t>
  </si>
  <si>
    <t>Weissling, B. P.; Ackley, S. F.</t>
  </si>
  <si>
    <t>Antarctic sea-ice altimetry: scale and resolution effects on derived ice thickness distribution</t>
  </si>
  <si>
    <t>WEDDELL SEA; OCEAN</t>
  </si>
  <si>
    <t>Three ice type regimes at Ice Station Belgica (ISB), during the 2007 International Polar Year SIMBA (Sea Ice Mass Balance in Antarctica) expedition, were characterized and assessed for elevation, snow depth, ice freeboard and thickness. Analyses of the probability distribution functions showed great potential for satellite-based altimetry for estimating ice thickness.. In question is the required altimeter sampling density for reasonably accurate estimation of snow surface elevation given inherent spatial averaging. This study assesses an effort to determine the number of laser altimeter 'hits' of the ISB floe, as a representative Antarctic floe of mixed first- and multi-year ice types, for the purpose of statistically recreating the in situ-determined ice-thickness and snow depth distribution based on the fractional coverage of each ice type. Estimates of the fractional coverage and spatial distribution of the ice types, referred to as ice 'towns', for the 5 km(2) floe were assessed by in situ mapping and photo-visual documentation. Simulated ICESat altimeter tracks, with spot size similar to 70 m and spacing similar to 170 m, sampled the floe's towns, generating a buoyancy-derived ice thickness distribution. 115 altimeter hits were required to statistically recreate the regional thickness mean and distribution for a three-town assemblage of mixed first- and multi-year ice, and 85 hits for a two-town assemblage of first-year ice only: equivalent to 19.5 and 14.5 km respectively of continuous altimeter track over a floe region of similar structure. Results have significant implications toward model development of sea-ice sampling performance of the ICESat laser altimeter record as well as maximizing sampling characteristics of satellite/airborne laser and radar altimetry missions for sea-ice thickness.</t>
  </si>
  <si>
    <t>[Weissling, B. P.; Ackley, S. F.] Univ Texas San Antonio, Dept Geol Sci, Lab Remote Sensing &amp; Geoinformat, San Antonio, TX 78249 USA; [Weissling, B. P.] SWCA Environm Consultants, San Antonio, TX 78249 USA</t>
  </si>
  <si>
    <t>University of Texas System; University of Texas at San Antonio (UTSA)</t>
  </si>
  <si>
    <t>Weissling, BP (corresponding author), Univ Texas San Antonio, Dept Geol Sci, Lab Remote Sensing &amp; Geoinformat, San Antonio, TX 78249 USA.</t>
  </si>
  <si>
    <t>blake.weissling@utsa.edu</t>
  </si>
  <si>
    <t>US National Science Foundation (NSF) [ANT 0703682]; NASA [NNX08AQ87G]; NASA [NNX08AQ87G, 95455] Funding Source: Federal RePORTER</t>
  </si>
  <si>
    <t>US National Science Foundation (NSF)(National Science Foundation (NSF)); NASA(National Aeronautics &amp; Space Administration (NASA)); NASA(National Aeronautics &amp; Space Administration (NASA))</t>
  </si>
  <si>
    <t>The SIMBA project was supported by the US National Science Foundation (NSF) under NSF grant ANT 0703682 'Sea Ice Mass Balance in the Antarctic' to the University of Texas at San Antonio (UTSA) (principal investigator S.F. Ackley) and by NASA under NASA grant NNX08AQ87G 'Antarctic Sea Ice Thickness from Space' to UTSA (co-investigators S.F. Ackley and H. Xie). We thank M.J. Lewis, P. Wagner, S. Anderson, J. Pena and B. Stewart for their assistance in collecting the snow-depth, ice-thickness and elevation data at ISB.</t>
  </si>
  <si>
    <t>10.3189/172756411795931679</t>
  </si>
  <si>
    <t>751ZD</t>
  </si>
  <si>
    <t>WOS:000289655800007</t>
  </si>
  <si>
    <t>Markus, T; Massom, R; Worby, A; Lytle, V; Kurtz, N; Maksym, T</t>
  </si>
  <si>
    <t>Markus, Thorsten; Massom, Robert; Worby, Anthony; Lytle, Victoria; Kurtz, Nathan; Maksym, Ted</t>
  </si>
  <si>
    <t>Freeboard, snow depth and sea-ice roughness in East Antarctica from in situ and multiple satellite data</t>
  </si>
  <si>
    <t>THICKNESS; VARIABILITY</t>
  </si>
  <si>
    <t>In October 2003 a campaign on board the Australian icebreaker Aurora Australis had the objective to validate standard Aqua Advanced Microwave Scanning Radiometer (AMSR-E) sea-ice products. Additionally, the satellite laser altimeter on the Ice, Cloud and land Elevation Satellite (ICESat) was in operation. To capture the large-scale information on the sea-ice conditions necessary for satellite validation, the measurement strategy was to obtain large-scale sea-ice statistics using extensive sea-ice measurements in a Lagrangian approach. A drifting buoy array, spanning initially 50 km x 100 km, was surveyed during the campaign. In situ measurements consisted of 12 transects, 50-500 m, with detailed snow and ice measurements as well as random snow depth sampling of floes within the buoy array using helicopters. In order to increase the amount of coincident in situ and satellite data an approach has been developed to extrapolate measurements in time and in space. Assuming no change in snow depth and freeboard occurred during the period of the campaign on the floes surveyed, we use buoy ice-drift information as well as daily estimates of thin-ice fraction and rough-ice vs smooth-ice fractions from AMSR-E and QuikSCAT, respectively, to estimate kilometer-scale snow depth and freeboard for other days. The results show that ICESat freeboard estimates have a mean difference of 1.8 cm when compared with the in situ data and a correlation coefficient of 0.6. Furthermore, incorporating ICESat roughness information into the AMSR-E snow depth algorithm significantly improves snow depth retrievals. Snow depth retrievals using a combination of AMSR-E and ICESat data agree with in situ data with a mean difference of 2.3 cm and a correlation coefficient of 0.84 with a negligible bias.</t>
  </si>
  <si>
    <t>[Markus, Thorsten] NASA, Goddard Space Flight Ctr, Greenbelt, MD 20771 USA; [Massom, Robert; Worby, Anthony; Lytle, Victoria] Australian Antarctic Div, Kingston, Tas 7050, Australia; [Massom, Robert; Worby, Anthony] Univ Tasmania, Antarctic Climate &amp; Ecosyst CRC, Sandy Bay, Tas 7001, Australia; [Kurtz, Nathan] Univ Maryland Baltimore Cty, Joint Ctr Earth Syst Technol, Baltimore, MD 21250 USA; [Maksym, Ted] British Antarctic Survey, Nat Environm Res Council, Cambridge CB3 0ET, England</t>
  </si>
  <si>
    <t>National Aeronautics &amp; Space Administration (NASA); NASA Goddard Space Flight Center; Australian Antarctic Division; University of Tasmania; University System of Maryland; University of Maryland Baltimore County; UK Research &amp; Innovation (UKRI); Natural Environment Research Council (NERC); NERC British Antarctic Survey</t>
  </si>
  <si>
    <t>Markus, T (corresponding author), NASA, Goddard Space Flight Ctr, Code 971, Greenbelt, MD 20771 USA.</t>
  </si>
  <si>
    <t>thorsten.markus@nasa.gov</t>
  </si>
  <si>
    <t>Kurtz, Nathan T/N-8745-2014; Markus, Thorsten/D-5365-2012; Worby, Anthony P/A-2373-2012</t>
  </si>
  <si>
    <t>Massom, Robert/0000-0003-1533-5084</t>
  </si>
  <si>
    <t>Australian Government through the Antarctic Climate and Ecosystems Cooperative Research Centre (ACE CRC); AAS [2298]; NASA [NRA-OES-03]</t>
  </si>
  <si>
    <t>Australian Government through the Antarctic Climate and Ecosystems Cooperative Research Centre (ACE CRC)(Australian GovernmentDepartment of Industry, Innovation and ScienceCooperative Research Centres (CRC) Programme); AAS; NASA(National Aeronautics &amp; Space Administration (NASA))</t>
  </si>
  <si>
    <t>We gratefully acknowledge the professional support of Captain Pearson, the officers and crew of the RSV Aurora Australis, and the helicopter pilots and crew. This work was supported by the Australian Government's Cooperative Research Centres Programme through the Antarctic Climate and Ecosystems Cooperative Research Centre (ACE CRC). It was carried out as part of AAS project 2298 and NASA's AMSR-E Validation Program (http://eospso.gsfc.nasa.gov/validation/index/php) through NRA-OES-03, and contributes to AAS project 3024. Thanks are also extended to the expeditioners traveling to Casey for their help in collecting the snow data.</t>
  </si>
  <si>
    <t>10.3189/172756411795931570</t>
  </si>
  <si>
    <t>WOS:000289655800009</t>
  </si>
  <si>
    <t>Leonard, KC; Maksym, T</t>
  </si>
  <si>
    <t>Leonard, Katherine C.; Maksym, Ted</t>
  </si>
  <si>
    <t>The importance of wind-blown snow redistribution to snow accumulation on Bellingshausen Sea ice</t>
  </si>
  <si>
    <t>MASS-BALANCE; COVER; MODEL; ANTARCTICA; SHELF</t>
  </si>
  <si>
    <t>Snow distribution is a dominating factor in sea-ice mass balance in the Bellingshausen Sea, Antarctica, through its roles in insulating the ice and contributing to snow-ice production. The wind has long been qualitatively recognized to influence the distribution of snow accumulation on sea ice, but the relative importance of drifting and blowing snow has not been quantified over Antarctic sea ice prior to this study. The presence and magnitude of drifting snow were monitored continuously along with wind speeds at two sites,on an ice floe in the Bellingshausen Sea during the October 2007 Sea Ice Mass Balance in the Antarctic (SIMBA) experiment. Contemporaneous precipitation measurements collected on board the RVIB Nathaniel B. Palmer and accumulation measurements by automated ice mass-balance buoys (IMBs) allow us to document the proportion of snowfall that accumulated on level ice surfaces in the presence of high winds and blowing-snow conditions. Accumulation on the sea ice during the experiment averaged &lt;0.01 m w.e. at both IMB sites, during a period when European Centre for Medium-Range Weather Forecasts analyses predicted &gt;0.03 m w.e. of precipitation on the ice floe. Accumulation changes on the ice floe were clearly associated with drifting snow and high winds. Drifting-snow transport during the SIMBA experiment was supply-limited. Using these results to inform a preliminary study using a blowing-snow model, we show that over the entire Southern Ocean approximately half of the precipitation over sea ice could be lost to leads.</t>
  </si>
  <si>
    <t>[Leonard, Katherine C.] WSL Inst Snow &amp; Avalanche Res SLF, CH-7260 Davos, Switzerland; [Leonard, Katherine C.] Columbia Univ, Lamont Doherty Earth Observ, Palisades, NY 10964 USA; [Maksym, Ted] British Antarctic Survey, Nat Environm Res Council, Cambridge CB3 0ET, England</t>
  </si>
  <si>
    <t>Swiss Federal Institutes of Technology Domain; Swiss Federal Institute for Forest, Snow &amp; Landscape Research; Columbia University; UK Research &amp; Innovation (UKRI); Natural Environment Research Council (NERC); NERC British Antarctic Survey</t>
  </si>
  <si>
    <t>Leonard, KC (corresponding author), WSL Inst Snow &amp; Avalanche Res SLF, Fluelastr 11, CH-7260 Davos, Switzerland.</t>
  </si>
  <si>
    <t>leonard@slf.ch</t>
  </si>
  <si>
    <t>US National Science Foundation (NSF) Office of Polar [ANT-0703682, ANT-06-32282]; Lamont-Doherty Earth Oservatory (LDEO) Climate Center; Swiss National Science Foundation</t>
  </si>
  <si>
    <t>US National Science Foundation (NSF) Office of Polar(National Science Foundation (NSF)); Lamont-Doherty Earth Oservatory (LDEO) Climate Center; Swiss National Science Foundation(Swiss National Science Foundation (SNSF))</t>
  </si>
  <si>
    <t>US National Science Foundation (NSF) Office of Polar Programs grants ANT-0703682 to S. Ackley and ANT-06-32282 to S. Jacobs supported the fieldwork during the SIMBA project, as did a grant to K. Leonard from the Lamont-Doherty Earth Oservatory (LDEO) Climate Center. Funding from the Swiss National Science Foundation supported the data analysis. We thank S. Ackley, B. Elder, C. Fritsen, E. Johnson, J. Lucke, B. McKee, V. Shen and S. Stammerjohn for field and technical assistance during the SIMBA cruise, and M. Watson and the Edison Chouest Offshore (ECO) and Raytheon Polar Services Company personnel aboard the NBP. ECMWF operational forecast fields for September and October 2007 were obtained from the US National Center for Atmospheric Research (NCAR), while ERA interim fields were obtained from the ECMWF (http://www.ecmwf.int/research/era/clo/get/era-interim). Helpful comments from reviewers and colleagues including R. Bintanja, A. Clifton, S. Dery, M. Lehning and M. Sturm led to significant improvements in the manuscript. This</t>
  </si>
  <si>
    <t>10.3189/172756411795931651</t>
  </si>
  <si>
    <t>WOS:000289655800012</t>
  </si>
  <si>
    <t>Kern, S; Ozsoy-Cicek, B; Willmes, S; Nicolaus, M; Haas, C; Ackley, S</t>
  </si>
  <si>
    <t>Kern, Stefan; Ozsoy-Cicek, Burcu; Willmes, Sascha; Nicolaus, Marcel; Haas, Christian; Ackley, Stephen</t>
  </si>
  <si>
    <t>An intercomparison between AMSR-E snow-depth and satellite C- and Ku-band radar backscatter data for Antarctic sea ice</t>
  </si>
  <si>
    <t>SEASONAL CYCLE; SIGNATURES; IMPACT</t>
  </si>
  <si>
    <t>Advanced Microwave Scanning Radiometer (AMSR-E) snow-depth data for Antarctic sea ice are compared with ship-based visual observations of snow depth, ice type and ridged-ice fraction, and with satellite C-band and Ku-band radar backscatter observations for two ship cruises into the Weddell Sea (ISPOI. 2004-05, WWOS 2006) and one cruise into the Bellingshausen Sea (SIMBA 2007) during late winter/spring. Most (&gt;75%) AMSR-E and ship-based snow-depth observations agree within 0.2 m during WWOS and SIMBA. Remaining observations indicate substantial underestimations of snow depths by AMSR-E data. These underestimations tend to increase with the ridged-ice fraction for WWOS and SIMBA. In areas with large snow depths, a combination of relatively stable low C-band radar backscatter and variable Ku-band radar backscatter is associated with undeformed first-year ice and may indicate snow metamorphism at this time of year during SIMBA. In areas with small snow depths, a combination of relatively stable low Ku-band radar backscatter, high C-band radar backscatter and low C-band radar backscatter standard deviations is associated with rough first-year ice during SIMBA. This information can help to better understand causes of the observed AMSR-E snow-depth bias during late-winter/spring conditions with decreasing average snow depth and to delineate areas where this bias occurs.</t>
  </si>
  <si>
    <t>[Kern, Stefan] Univ Hamburg, Inst Oceanog, Ctr Marine &amp; Atmospher Sci, D-20146 Hamburg, Germany; [Ozsoy-Cicek, Burcu; Ackley, Stephen] Univ San Antonio, Dept Geol Sci, Lab Remote Sensing &amp; Geoinformat, San Antonio, TX 78249 USA; [Willmes, Sascha] Univ Trier, Dept Environm Meteorol, D-54286 Trier, Germany; [Nicolaus, Marcel] Alfred Wegener Inst Polar &amp; Marine Res, D-27515 Bremerhaven, Germany; [Haas, Christian] Univ Alberta, Dept Earth &amp; Atmospher Sci, Edmonton, AB T6G 2E3, Canada</t>
  </si>
  <si>
    <t>University of Hamburg; Universitat Trier; Helmholtz Association; Alfred Wegener Institute, Helmholtz Centre for Polar &amp; Marine Research; University of Alberta</t>
  </si>
  <si>
    <t>Kern, S (corresponding author), Univ Hamburg, Inst Oceanog, Ctr Marine &amp; Atmospher Sci, Bundesstr 53, D-20146 Hamburg, Germany.</t>
  </si>
  <si>
    <t>stefan.kern@zmaw.de</t>
  </si>
  <si>
    <t>Ozsoy, Burcu/AAH-5348-2020; Willmes, Sascha/J-5796-2012; Nicolaus, Marcel/A-3658-2013; Haas, Christian/L-5279-2016</t>
  </si>
  <si>
    <t>Ozsoy, Burcu/0000-0003-4320-1796; Nicolaus, Marcel/0000-0003-0903-1746; Haas, Christian/0000-0002-7674-3500; Kern, Stefan/0000-0001-7281-3746</t>
  </si>
  <si>
    <t>German Science Foundation (DFG) [SFB 512-TP E5]; US National Science Foundation (NSF) [ANT AWT0703682]; NASA [NNX08AQ87G]; International Space Science Institute, Bern, Switzerland [184, 137, 169]; NASA [NNX08AQ87G, 95455] Funding Source: Federal RePORTER</t>
  </si>
  <si>
    <t>German Science Foundation (DFG)(German Research Foundation (DFG)); US National Science Foundation (NSF)(National Science Foundation (NSF)); NASA(National Aeronautics &amp; Space Administration (NASA)); International Space Science Institute, Bern, Switzerland; NASA(National Aeronautics &amp; Space Administration (NASA))</t>
  </si>
  <si>
    <t>This work was supported by the German Science Foundation (DFG): SFB 512-TP E5. We acknowledge US National Science Foundation (NSF) grant ANT AWT0703682 and NASA grant NNX08AQ87G to the University of Texas at San Antonio (UTSA) for support. We acknowledge AMSR-E data provision by the NSIDC in Boulder, CO, USA. The European Space Agency (ESA) and P. Heil (principal investigator for ESA) are thanked for providing Envisat ASAR images ((C) ESA 2007). Additional Envisat images provided by ESA through Category-1 project (ID No. 6097) to UTSA are greatly appreciated. We are also grateful to sea-ice observers aboard RN Nathaniel B. Palmer and Polarstem as well as the entire crew and science team during ISPOL, WWOS and SIMBA. The Python code for processing and calibration of the Envisat ASAR images was kindly provided by L. Kaleschke. The helpful comments of two anonymous reviewers as well as the scientific editor, R. Massom, significantly improved the manuscript. Enhanced-resolution QuikSCAT data were acquired from the BYU Center for Remote Sensing. The International Space Science Institute, Bern, Switzerland, is acknowledged for supporting this study via projects 184, 137 and 169.</t>
  </si>
  <si>
    <t>10.3189/172756411795931750</t>
  </si>
  <si>
    <t>WOS:000289655800013</t>
  </si>
  <si>
    <t>Ozsoy-Cicek, B; Ackley, SF; Worby, A; Xie, HJ; Lieser, J</t>
  </si>
  <si>
    <t>Ozsoy-Cicek, Burcu; Ackley, Stephen F.; Worby, Anthony; Xie, Hongjie; Lieser, Jan</t>
  </si>
  <si>
    <t>Antarctic sea-ice extents and concentrations: comparison of satellite and ship measurements from International Polar Year cruises</t>
  </si>
  <si>
    <t>PASSIVE MICROWAVE; SUMMER; EDGE</t>
  </si>
  <si>
    <t>Antarctic Sea Ice Processes and Climate (ASPeCt) ship-based ice observations, conducted during the Sea Ice Mass Balance in the Antarctic (SIMBA) and Sea Ice Physics and Ecosystem eXperiment (SIPEX) International Polar Year (IPY) cruises (September-October 2007), are used to validate remote-sensing measurements of ice extent and concentration. Observations include varied sea-ice types at and inside the ice edge of West (similar to 90 degrees E) and East (similar to 120 degrees E) Antarctica. Time series of Advanced Microwave Scanning Radiometer-Earth Observing System (AMSR-E) ice extents and US National Ice Center (NIC) ice edges were obtained for the 2007-08 periods bracketing the period these cruises were conducted. A comparison between passive microwave satellite imagery and ASPeCt observations of sea-ice concentration during two cruises was also performed. In 90 degrees W regions, the concentrated pack ice indicated good correlation between ship observations and passive microwave estimates of the ice concentration (R-2= 0.80). In the marginal zone of West Antarctica and over nearly the entire sea-ice zone of East Antarctica, correlation dropped to R-2 &lt;0.60. These findings are consistent with other studies comparing passive microwave and ship observations and further verify that the East Antarctic sea-ice zone is more marginal in character. There are significant ice-edge differences between AMSR-E and NIC between late November 2007 and early March 2008 such that the AMSR-E sea-ice extent estimate is 1-2 x 10(6) km(2) less than the NIC estimate.</t>
  </si>
  <si>
    <t>[Ozsoy-Cicek, Burcu; Ackley, Stephen F.; Xie, Hongjie] Univ Texas San Antonio, Dept Geol Sci, San Antonio, TX 78249 USA; [Worby, Anthony; Lieser, Jan] Australian Antarctic Div, Hobart, Tas 7001, Australia; [Worby, Anthony; Lieser, Jan] Antarctic Climate &amp; Ecosyst CRC, Hobart, Tas 7001, Australia</t>
  </si>
  <si>
    <t>University of Texas System; University of Texas at San Antonio (UTSA); Australian Antarctic Division; University of Tasmania</t>
  </si>
  <si>
    <t>Ozsoy-Cicek, B (corresponding author), Univ Texas San Antonio, Dept Geol Sci, 1 UTSA Circle, San Antonio, TX 78249 USA.</t>
  </si>
  <si>
    <t>burcu@drcicek.com</t>
  </si>
  <si>
    <t>Xie, Hongjie/B-5845-2009; Ozsoy, Burcu/AAH-5348-2020; Lieser, Jan/J-7157-2014; Worby, Anthony P/A-2373-2012</t>
  </si>
  <si>
    <t>Xie, Hongjie/0000-0003-3516-1210; Ozsoy, Burcu/0000-0003-4320-1796; Lieser, Jan/0000-0001-6870-1311;</t>
  </si>
  <si>
    <t>US National Science Foundation (NSF) [AWT0703682]; NASA [NINX08AQ87G]; International Space Science Institute (Bern, Switzerland) [137, 169, 184]</t>
  </si>
  <si>
    <t>US National Science Foundation (NSF)(National Science Foundation (NSF)); NASA(National Aeronautics &amp; Space Administration (NASA)); International Space Science Institute (Bern, Switzerland)</t>
  </si>
  <si>
    <t>We acknowledge the US National Science Foundation (NSF) grant, AWT0703682 and NASA grant NINX08AQ87G (principal investigator: S.F. Ackley) and Australian Antarctic Division support (A.W. and J.L.) for allowing us to conduct cruises during the IPY activities; the US National Snow and Ice Data Center in Boulder, CO, for providing us with AMSR-E images; and the US National Ice Center for providing the ice chart data. The International Space Science Institute (Bern, Switzerland) is acknowledged for supporting this study via projects 137, 169 and 184. We thank the scientific editor and two anonymous reviewers for giving us good support to improve our paper. We also thank the SIMBA and SIPEX crews for their assistance during the cruises. Special thanks go to tie ASPeCt observers for their valuable efforts.</t>
  </si>
  <si>
    <t>10.3189/172756411795931877</t>
  </si>
  <si>
    <t>WOS:000289655800017</t>
  </si>
  <si>
    <t>Tekeli, AE; Kern, S; Ackley, SF; Ozsoy-Cicek, B; Xie, HJ</t>
  </si>
  <si>
    <t>Tekeli, Ahmet E.; Kern, Stefan; Ackley, Stephen F.; Ozsoy-Cicek, Burcu; Xie, Hongjie</t>
  </si>
  <si>
    <t>Summer Antarctic sea ice as seen by ASAR and AMSR-E and observed during two IPY field cruises: a case study</t>
  </si>
  <si>
    <t>SYNTHETIC-APERTURE RADAR; WEDDELL-SEA; SEASONAL CYCLE; BACKSCATTER; MICROWAVE; DRIFT; VARIABILITY; SIGNATURES; MELT; SAR</t>
  </si>
  <si>
    <t>Envisat Advanced Synthetic Aperture Radar (ASAR) Wide Swath Mode (WSM) images are used to derive C-band HH-polarization normalized radar cross sect ions (NRCS). These are compared with ice-core analysis and visual ship-based observations of snow and ice properties observed according to the Antarctic Sea Ice Processes and Climate (ASPeCt) protocol during two International Polar Year summer cruises (Oden 2008 and Palmer 2009) in West Antarctica. Thick first-year (TFY) and multi-year (MY) ice were the dominant ice types. The NRCS value ranges between -16.3 +/- 1.1 and -7.6 +/- 1.0 dB for TFY ice, and is -12.6 +/- 1.3 dB for MY ice; for TFY ice, NRCS values increase from similar to-15 dB to 9 dB from December/January to mid-February. In situ and ASPeCt observations are not, however, detailed enough to interpret the observed NRCS change over time. Co-located Advanced Microwave Scanning Radiometer Earth Observing System (AMSR-E) vertically polarized 37 GHz brightness temperatures (TI337V), 7 day and 11 day averages as well as the TB37V difference between ascending and descending AMSR-E overpasses suggest the low NRCS values (-15 dB) are associated with snowmelt being still in progress, while the change towards higher NRCS values (-9 dB) is caused by commencement of melt reireeze cycles after about mid-January.</t>
  </si>
  <si>
    <t>[Tekeli, Ahmet E.; Ackley, Stephen F.; Ozsoy-Cicek, Burcu; Xie, Hongjie] Univ Texas San Antonio, Dept Geol Sci, San Antonio, TX 78249 USA; Univ Hamburg, Ctr Marine &amp; Atmospher Sci, D-20144 Hamburg, Germany</t>
  </si>
  <si>
    <t>University of Texas System; University of Texas at San Antonio (UTSA); University of Hamburg</t>
  </si>
  <si>
    <t>Tekeli, AE (corresponding author), Univ Texas San Antonio, Dept Geol Sci, 1 UTSA Circle, San Antonio, TX 78249 USA.</t>
  </si>
  <si>
    <t>ahmet.tekeli@utsa.edu</t>
  </si>
  <si>
    <t>Xie, Hongjie/B-5845-2009; tekeli, ahmet e/F-7594-2011; Ozsoy, Burcu/AAH-5348-2020</t>
  </si>
  <si>
    <t>Xie, Hongjie/0000-0003-3516-1210; Ozsoy, Burcu/0000-0003-4320-1796; Tekeli, Ahmet/0000-0001-9026-4373; Kern, Stefan/0000-0001-7281-3746</t>
  </si>
  <si>
    <t>US National Science Foundation (NSF) [AWT0703682]; NASA [NNX08AQ87G]; ESA [ID 6097]; International Space Science Institute (ISSI), Bern, Switzerland [184]; NASA [NNX08AQ87G, 95455] Funding Source: Federal RePORTER</t>
  </si>
  <si>
    <t>US National Science Foundation (NSF)(National Science Foundation (NSF)); NASA(National Aeronautics &amp; Space Administration (NASA)); ESA(European Space Agency); International Space Science Institute (ISSI), Bern, Switzerland; NASA(National Aeronautics &amp; Space Administration (NASA))</t>
  </si>
  <si>
    <t>We acknowledge US National Science Foundation (NSF) grant ANT (AWT0703682) and NASA grant (NNX08AQ87G) to the University of Texas at San Antonio (UTSA) for support. Envisat images provided by ESA through Category-1 project (ID 6097) to UTSA are greatly appreciated. AMSR-E data were obtained from NSIDC. Ship-based observation data provided by P.L. Yager for the Oden 2008 and S. Starnmerjohn for the Palmer 2009 are greatly appreciated. The Python code for processing and calibration of the Envisat ASAR images was kindly provided by L. Kaleschke. The International Space Science Institute (ISSI), Bern, Switzerland, is acknowledged for supporting this study via project 184. We thank the two anonymous reviewers as well as the scientific editor, I. Allison, for their comments which helped to subsiantially improve the manuscript.</t>
  </si>
  <si>
    <t>10.3189/172756411795931697</t>
  </si>
  <si>
    <t>WOS:000289655800018</t>
  </si>
  <si>
    <t>Sneed, SB; Mayewski, PA; Dixon, DA</t>
  </si>
  <si>
    <t>Sneed, Sharon B.; Mayewski, Paul A.; Dixon, Daniel A.</t>
  </si>
  <si>
    <t>An emerging technique: multi-ice-core multi-parameter correlations with Antarctic sea-ice extent</t>
  </si>
  <si>
    <t>SOUTHERN-OCEAN; METHANESULFONIC-ACID; WEST ANTARCTICA; ROSS SEA; VARIABILITY; CLIMATE; SULFATE; ACCUMULATION; AEROSOL; RECORD</t>
  </si>
  <si>
    <t>Using results stemming from the International Trans-Antarctic Scientific Expedition (ITASE) ice-core array plus data from ice cores from the South Pole and Sip le Dome we investigate the use of sodium (Na+), non-sea-salt sulfate (nssSO(4)(2-)) and methylsulfonate (MS-) as proxies for Antarctic sea-ice extent (SHE). Maximum and mean annual chemistry concentrations for these three species correlate significantly with maximum, mean and minimum annual SIE, offering more information and clarification than single ice-core and single species approaches. Significant correlations greater than 90% exist between Na+ and maximum SIE; nssSO(4)(2-) with minimum and mean SIE; and MS- with mean SIE. Correlations with SIE within large geographic regions are in the same direction for all ice-core sites for Na+ and nssSO(4)(2-) but not MS-. All ice cores display an SIE correlation with nssSO(4)(2-) and MS-, but not all correlate with Na+. This multi-core multi-parameter study provides the initial step in determining which chemical species can be used reliably and in which regions as a building block for embedding other ice-core records. Once established, the resulting temporal and spatial matrix can be used to relate ice extents, atmospheric patterns, biological productivity and site conditions.</t>
  </si>
  <si>
    <t>[Sneed, Sharon B.; Mayewski, Paul A.; Dixon, Daniel A.] Univ Maine, Climate Change Inst, Sawyer Environm Res Ctr, Orono, ME 04469 USA</t>
  </si>
  <si>
    <t>University of Maine System; University of Maine Orono</t>
  </si>
  <si>
    <t>Sneed, SB (corresponding author), Univ Maine, Climate Change Inst, Sawyer Environm Res Ctr, Orono, ME 04469 USA.</t>
  </si>
  <si>
    <t>sharon.sneed@maine.edu</t>
  </si>
  <si>
    <t>Mayewski, Paul Andrew/HRD-6969-2023</t>
  </si>
  <si>
    <t>US National Science Foundation (NSF) Office of Polar [0096305, 0096299, 0439589, 063740, 063650, 0837883]; Directorate For Geosciences; Office of Polar Programs (OPP) [0439589] Funding Source: National Science Foundation; Directorate For Geosciences; Office of Polar Programs (OPP) [0096299, 0096305] Funding Source: National Science Foundation</t>
  </si>
  <si>
    <t>US National Science Foundation (NSF) Office of Polar(National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</si>
  <si>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This research was supported by the US National Science Foundation (NSF) Office of Polar Programs grants to P.M. (0096305, 0096299, 0439589, 063740, 063650 and 0837883). We thank the US Antarctic Program of the NSF, the 109th New York Air National Guard, Raytheon Polar Services Company and our US ITASE field colleagues for their support. Comments and suggestions by the scientific editor, J.-L. Tison, and two anonymous reviewers significantly improved the manuscript.</t>
  </si>
  <si>
    <t>10.3189/172756411795931822</t>
  </si>
  <si>
    <t>WOS:000289655800020</t>
  </si>
  <si>
    <t>Berger, WH</t>
  </si>
  <si>
    <t>Carlson, CA; Giovannoni, SJ</t>
  </si>
  <si>
    <t>Berger, Wolfgang H.</t>
  </si>
  <si>
    <t>Geologist at Sea: Aspects of Ocean History</t>
  </si>
  <si>
    <t>ANNUAL REVIEW OF MARINE SCIENCE, VOL 3</t>
  </si>
  <si>
    <t>Annual Review of Marine Science</t>
  </si>
  <si>
    <t>ocean history; deep-sea sediments; Quaternary; Cenozoic; whale evolution; climate history</t>
  </si>
  <si>
    <t>PLANKTONIC-FORAMINIFERA; ANTARCTIC GLACIATION; ATLANTIC-OCEAN; ICE-AGE; CLIMATE; LEVEL; EVOLUTION; OSCILLATIONS; CALIBRATION; SIMULATION</t>
  </si>
  <si>
    <t>Ocean history is largely read from deep-sea sediments, using microscopic fossils, notably foraminifers. Ice age fluctuations in the ocean's sediments provided for a new geologic understanding of climate change. The discovery of rapid decay of ice masses at the end of glacial periods was especially important, yielding rates of sea level rise reaching values of 1 to 2 m per century for millennia. Thanks to deep-ocean drilling, the overall planetary cooling trend in the Cenozoic was recognized as occurring in three large steps. The first step is at the Eocene-Oligocene boundary and is marked by a great change in sedimentation patterns; the second is in the middle Miocene, associated with a major pulse in the buildup of Antarctic ice masses and the intensification of upwelling regimes; and the third is within the late Pliocene and led into the northern ice ages. Evolution in the sea is linked to these various steps.</t>
  </si>
  <si>
    <t>Univ Calif San Diego, Scripps Inst Oceanog, La Jolla, CA 92093 USA</t>
  </si>
  <si>
    <t>University of California System; University of California San Diego; Scripps Institution of Oceanography</t>
  </si>
  <si>
    <t>Berger, WH (corresponding author), Univ Calif San Diego, Scripps Inst Oceanog, La Jolla, CA 92093 USA.</t>
  </si>
  <si>
    <t>wberger@ucsd.edu</t>
  </si>
  <si>
    <t>1941-1405</t>
  </si>
  <si>
    <t>978-0-8243-4503-7</t>
  </si>
  <si>
    <t>ANNU REV MAR SCI</t>
  </si>
  <si>
    <t>Annu. Rev. Mar. Sci.</t>
  </si>
  <si>
    <t>10.1146/annurev-marine-120709-142831</t>
  </si>
  <si>
    <t>Geochemistry &amp; Geophysics; Marine &amp; Freshwater Biology; Oceanography</t>
  </si>
  <si>
    <t>BTE33</t>
  </si>
  <si>
    <t>WOS:000286638700001</t>
  </si>
  <si>
    <t>Kennicutt, MC; Siegert, MJ</t>
  </si>
  <si>
    <t>Kennicutt, Mahlon C., II; Siegert, Martin J.</t>
  </si>
  <si>
    <t>Subglacial Aquatic Environments: A Focus of 21st Century Antarctic Science</t>
  </si>
  <si>
    <t>LAKE VOSTOK; ICE-SHEET; WATER; BENEATH; INVENTORY</t>
  </si>
  <si>
    <t>In 1996, growing evidence suggested a massive lake of liquid water had pooled beneath the East Antarctic Ice Sheet. This feature became known as Lake Vostok. Early on, two hypotheses were posed: the lake contained microbial life that had evolved over millions of years in isolation beneath the ice and lake sediments contained records of past climate change obtainable nowhere else in Antarctica. Many subglacial lakes, in a number of locales, have been identified, suggesting that studies at multiple locations will be needed to fully understand the importance of subglacial aquatic environments. As of 2010, more than 300 lakes have been identified; this will increase as surveys improve spatial coverage. Given the likely pristine nature of these environs and the low levels of microbial life expected, exploration must be done in a manner that causes minimal impact or contamination. It has been shown that many of these lakes are part of an active, sub-ice hydrological system that experiences rapid water flow events over time frames of months, weeks, and even days. Microbial life in subglacial environments has been inferred, and is expected, but it has yet to be directly confirmed by in situ sampling. Current understanding of subglacial environments is incomplete and will only be improved when these subglacial environments are entered and sampled, which is projected to occur in the next few years. This book synthesizes current understanding of subglacial environments and the plans for their exploration as a benchmark for future discoveries.</t>
  </si>
  <si>
    <t>[Kennicutt, Mahlon C., II] Texas A&amp;M Univ, Dept Oceanog, College Stn, TX 77843 USA; [Siegert, Martin J.] Univ Edinburgh, Sch Geosci, Edinburgh EH9 3JW, Midlothian, Scotland</t>
  </si>
  <si>
    <t>Texas A&amp;M University System; Texas A&amp;M University College Station; University of Edinburgh</t>
  </si>
  <si>
    <t>Kennicutt, MC (corresponding author), Texas A&amp;M Univ, Dept Oceanog, College Stn, TX 77843 USA.</t>
  </si>
  <si>
    <t>M.J.Siegert@ed.ac.uk</t>
  </si>
  <si>
    <t>Siegert, Martin/M-9939-2019; Siegert, Martin J/A-3826-2008</t>
  </si>
  <si>
    <t>Siegert, Martin/0000-0002-0090-4806; Siegert, Martin J/0000-0002-0090-4806</t>
  </si>
  <si>
    <t>10.1029/2010GM001001</t>
  </si>
  <si>
    <t>WOS:000290418300001</t>
  </si>
  <si>
    <t>Wright, A; Siegert, MJ</t>
  </si>
  <si>
    <t>Wright, Andrew; Siegert, Martin J.</t>
  </si>
  <si>
    <t>The Identification and Physiographical Setting of Antarctic Subglacial Lakes: An Update Based on Recent Discoveries</t>
  </si>
  <si>
    <t>CENTRAL EAST ANTARCTICA; DOME-C REGION; WEST ANTARCTICA; ICE-SHEET; SATELLITE RADAR; VOSTOK STATION; WATER STORAGE; BENEATH; GLACIER; STREAMS</t>
  </si>
  <si>
    <t>We investigate the glaciological and topographic setting of known Antarctic subglacial lakes following a previous assessment by Dowdeswell and Siegert (2002) based on the first inventory of 77 lakes. Procedures used to detect subglacial lakes are discussed, including radio echo sounding (RES) (which was first used to demonstrate the presence of subglacial lakes), surface topography, topographical changes, gravity measurements, and seismic investigations. Recent discoveries of subglacial lakes using these techniques are detailed, from which a revised new inventory of subglacial lakes is established, bringing the total number of known subglacial lakes to 387. Using this new inventory, we examine various controls on subglacial lakes, such as overlying ice thickness and position within the ice sheet and formulate frequency distributions for the entire subglacial lake population based on these (variable) controls. We show how the utility of RES in identifying subglacial lakes is spatially affected; lakes away from the ice divide are not easily detected by this technique, probably due to scattering at the ice sheet base. We show that subglacial lakes are widespread in Antarctica, and it is likely that many are connected within well-defined subglacial hydrological systems.</t>
  </si>
  <si>
    <t>[Wright, Andrew; Siegert, Martin J.] Univ Edinburgh, Sch Geosci, Grant Inst, Edinburgh EH9 3JW, Midlothian, Scotland</t>
  </si>
  <si>
    <t>University of Edinburgh</t>
  </si>
  <si>
    <t>Wright, A (corresponding author), Univ Edinburgh, Sch Geosci, Grant Inst, W Mains Rd, Edinburgh EH9 3JW, Midlothian, Scotland.</t>
  </si>
  <si>
    <t>A.P.Wright@ed.ac.uk</t>
  </si>
  <si>
    <t>10.1029/2010GM000933</t>
  </si>
  <si>
    <t>WOS:000290418300002</t>
  </si>
  <si>
    <t>Pattyn, F</t>
  </si>
  <si>
    <t>Pattyn, Frank</t>
  </si>
  <si>
    <t>Antarctic Subglacial Lake Discharges</t>
  </si>
  <si>
    <t>PINE ISLAND BAY; ICE-SHEET; WEST ANTARCTICA; OUTBURST FLOODS; EAST ANTARCTICA; WATER; VOSTOK; FLOW; GLACIER; BENEATH</t>
  </si>
  <si>
    <t>Antarctic subglacial lakes were long time supposed to be relatively closed and stable environments with long residence times and slow circulations. This view has recently been challenged with evidence of active subglacial lake discharge underneath the Antarctic ice sheet. Satellite altimetry observations witnessed rapid changes in surface elevation across subglacial lakes over periods ranging from several months to more than a year, which were interpreted as subglacial lake discharge and subsequent lake filling, and which seem to be a common and widespread feature. Such discharges are comparable to jokulhlaups and can be modeled that way using the Nye-Rothlisberger theory. Considering the ice at the base of the ice sheet at pressure melting point, subglacial conduits are sustainable over periods of more than a year and over distances of several hundreds of kilometers. Coupling of an ice sheet model to a subglacial lake system demonstrated that small changes in surface slope are sufficient to start and sustain episodic subglacial drainage events on decadal time scales. Therefore, lake discharge may well be a common feature of the subglacial hydrological system, influencing the behavior of large ice sheets, especially when subglacial lakes are perched at or near the onset of large outlet glaciers and ice streams. While most of the observed discharge events are relatively small (10(1)-10(2) m(3) s(-1)), evidence for larger subglacial discharges is found in ice free areas bordering Antarctica, and witnessing subglacial floods of more than 10(6) m(3) s(-1) that occurred during the middle Miocene.</t>
  </si>
  <si>
    <t>Univ Libre Bruxelles, Lab Glaciol, Dept Sci Terre &amp; Environm, B-1050 Brussels, Belgium</t>
  </si>
  <si>
    <t>Pattyn, F (corresponding author), Univ Libre Bruxelles, Lab Glaciol, Dept Sci Terre &amp; Environm, Av FD Roosevelt 50, B-1050 Brussels, Belgium.</t>
  </si>
  <si>
    <t>fpattyn@ulb.ac.be</t>
  </si>
  <si>
    <t>Pattyn, Frank/AAA-9640-2019</t>
  </si>
  <si>
    <t>Pattyn, Frank/0000-0003-4805-5636</t>
  </si>
  <si>
    <t>10.1029/2010GM000935</t>
  </si>
  <si>
    <t>WOS:000290418300003</t>
  </si>
  <si>
    <t>Skidmore, M</t>
  </si>
  <si>
    <t>Skidmore, Mark</t>
  </si>
  <si>
    <t>Microbial Communities in Antarctic Subglacial Aquatic Environments</t>
  </si>
  <si>
    <t>MCMURDO DRY VALLEYS; AMMONIA-OXIDIZING BACTERIA; HAUT-GLACIER-DAROLLA; FROZEN LAKE FRYXELL; VOSTOK ICE CORE; WEST ANTARCTICA; SULFATE REDUCTION; TAYLOR GLACIER; ACCRETED ICE; BLOOD FALLS</t>
  </si>
  <si>
    <t>Glaciological processes under ice masses, including ice sheets, produce conditions favorable for microbes by forming subglacial aquatic environments (SAE) through basal melting and providing nutrients and energy for microbes from bedrock comminution. The abundance and interconnectivity of water beneath the Antarctic Ice Sheet, largely demonstrated through remote sensing techniques, indicates significant and varied SAE including lakes, saturated sediments and channelized and linked cavity drainage systems. Microbes have been detected in the two Antarctic SAE sampled to date; accreted ice from Vostok Subglacial Lake in East Antarctica and saturated till from beneath ice streams draining the West Antarctic Ice Sheet. Heterotrophic activity has been measured in these samples at temperatures close to freezing in the laboratory, demonstrating that in situ microbial activity in subglacial environments is plausible. Phylogenetic analysis of 16S rRNA gene sequences suggests that organisms with Fe and S oxidizing metabolisms may also be important members of the microbial community in these environments. This is consistent with the geochemistry of the accreted ice and till pore waters that indicates biologically driven sulfide oxidation coupled to carbonate and silicate mineral weathering as a significant solute source. Exploration of Antarctic SAE is in its infancy, and in a number of the unexplored SAE, the lack of connectivity between oxygenated surface waters and the subglacial environment and the extended water flow paths and water-rock residence times may lead to anoxic conditions. Such anoxic conditions would favor anaerobic microbial metabolisms similar to those documented in other deep terrestrial subsurface environments.</t>
  </si>
  <si>
    <t>Montana State Univ, Dept Earth Sci, Bozeman, MT 59717 USA</t>
  </si>
  <si>
    <t>Montana State University System; Montana State University Bozeman</t>
  </si>
  <si>
    <t>Skidmore, M (corresponding author), Montana State Univ, Dept Earth Sci, Bozeman, MT 59717 USA.</t>
  </si>
  <si>
    <t>skidmore@montana.edu</t>
  </si>
  <si>
    <t>Skidmore, Mark L/I-4317-2018</t>
  </si>
  <si>
    <t>NERC [NE/G00336X/1] Funding Source: UKRI</t>
  </si>
  <si>
    <t>10.1029/2010GM000995</t>
  </si>
  <si>
    <t>WOS:000290418300005</t>
  </si>
  <si>
    <t>Bentley, MJ; Christoffersen, P; Hodgson, DA; Smith, AM; Tulaczyk, S; Le Brocq, AM</t>
  </si>
  <si>
    <t>Bentley, M. J.; Christoffersen, P.; Hodgson, D. A.; Smith, A. M.; Tulaczyk, S.; Le Brocq, A. M.</t>
  </si>
  <si>
    <t>Subglacial Lake Sediments and Sedimentary Processes: Potential Archives of Ice Sheet Evolution, Past Environmental Change, and the Presence of Life</t>
  </si>
  <si>
    <t>SOUTH-CENTRAL ALBERTA; ANTARCTIC ICE; WEST ANTARCTICA; EAST ANTARCTICA; STREAM-B; SEISMIC STRATIGRAPHY; PLEISTOCENE COLLAPSE; FREEZING BENEATH; BASAL CONDITIONS; SATELLITE RADAR</t>
  </si>
  <si>
    <t>The development of funded programs to drill into deep continental Antarctic subglacial lakes means that there is an imminent prospect of retrieving the first sediments from isolated and unexplored aquatic environments beneath Earth's largest ice sheet. Here we demonstrate how these sediments are potential archives of information on past ice sheet configurations, paleoenvironmental change, and the presence of life in the deep, dark, and cold setting of subglacial lakes. We review what is known about the physical characteristics of subglacial lake sediments, indirectly from remote geophysical surveys of modem and former subglacial lakes and directly from sampling of sediments in former subglacial lakes emerging at the margin of the Antarctic ice sheet and terrestrial settings elsewhere. We show that mean sedimentation rates in subglacial lakes can vary from near zero to several millimeters per year and that the thickness of sedimentary sequences in subglacial lakes ranges from a few centimeters to several hundred meters. The most important control on sedimentation rate and sediment thickness is likely to be the amount of sediment-laden water delivered by regional basal water systems. Episodic lake discharge will also likely have a significant impact on some sedimentary sequences. On the basis of our review and previously documented limnological and glaciological processes, we propose a conceptual model of subglacial lake sedimentation that we apply to lakes Vostok, Ellsworth, and Whillans. We discuss the implications of the likely sediment physical characteristics for designing coring technologies and for the choice of analytical procedures to examine sediment samples from subglacial lakes.</t>
  </si>
  <si>
    <t>[Bentley, M. J.; Le Brocq, A. M.] Univ Durham, Dept Geog, Durham DH1 3LE, England; [Christoffersen, P.] Univ Cambridge, Dept Geog, Cambridge CB2 3EN, England; [Hodgson, D. A.; Smith, A. M.] British Antarctic Survey, Cambridge CB3 0ET, England; [Tulaczyk, S.] Univ Calif Santa Cruz, Dept Earth &amp; Planetary Sci, Santa Cruz, CA 95064 USA; [Le Brocq, A. M.] Univ Exeter, Sch Geog, Exeter, Devon, England</t>
  </si>
  <si>
    <t>Durham University; University of Cambridge; UK Research &amp; Innovation (UKRI); Natural Environment Research Council (NERC); NERC British Antarctic Survey; University of California System; University of California Santa Cruz; University of Exeter</t>
  </si>
  <si>
    <t>Bentley, MJ (corresponding author), Univ Durham, Dept Geog, South Rd, Durham DH1 3LE, England.</t>
  </si>
  <si>
    <t>Christoffersen, Poul/W-3708-2019; Bentley, Michael J/F-7386-2011; Tulaczyk, Slawek/O-7375-2018</t>
  </si>
  <si>
    <t>Christoffersen, Poul/0000-0003-2643-8724; Bentley, Michael J/0000-0002-2048-0019; Tulaczyk, Slawek/0000-0002-9711-4332</t>
  </si>
  <si>
    <t>NERC [NE/G00336X/1, NE/E005950/1] Funding Source: UKRI; Directorate For Geosciences [0839142] Funding Source: National Science Foundation; Office of Polar Programs (OPP) [0839142] Funding Source: National Science Foundation</t>
  </si>
  <si>
    <t>NERC(UK Research &amp; Innovation (UKRI)Natural Environment Research Council (NERC)); Directorate For Geosciences(National Science Foundation (NSF)NSF - Directorate for Geosciences (GEO)); Office of Polar Programs (OPP)(National Science Foundation (NSF)NSF - Directorate for Geosciences (GEO))</t>
  </si>
  <si>
    <t>10.1029/2010GM000940</t>
  </si>
  <si>
    <t>WOS:000290418300006</t>
  </si>
  <si>
    <t>Cockell, CS; Bagshaw, E; Balme, M; Doran, P; McKay, CP; Miljkovic, K; Pearce, D; Siegert, MJ; Tranter, M; Voytek, M; Wadham, J</t>
  </si>
  <si>
    <t>Cockell, Charles S.; Bagshaw, Elizabeth; Balme, Matt; Doran, Peter; McKay, Christopher P.; Miljkovic, Katarina; Pearce, David; Siegert, Martin J.; Tranter, Martyn; Voytek, Mary; Wadham, Jemma</t>
  </si>
  <si>
    <t>Subglacial Environments and the Search for Life Beyond the Earth</t>
  </si>
  <si>
    <t>HAUT-GLACIER-DAROLLA; GREENLAND ICE-SHEET; LAKE VOSTOK; CERBERUS FOSSAE; NEAR-SURFACE; CHEMICAL-COMPOSITION; MICROBIAL COMMUNITY; HYDROGEN-PEROXIDE; NITROGEN-FIXATION; MERIDIANI-PLANUM</t>
  </si>
  <si>
    <t>One of the most remarkable discoveries resulting from the robotic and remote sensing exploration of space is the inferred presence of bodies of liquid water under ice deposits on other planetary bodies: extraterrestrial subglacial environments. Most prominent among these are the ice-covered ocean of the Jovian moon, Europa, and the Saturnian moon, Enceladus. On Mars, although there is no current evidence for subglacial liquid water today, conditions may have been more favorable for liquid water during periods of higher obliquity. Data on these extraterrestrial environments show that while they share similarities with some subglacial environments on the Earth, they are very different in their combined physicochemical conditions. Extraterrestrial environments may provide three new types of subglacial settings for study: (1) uninhabitable environments that are more extreme and life-limiting than terrestrial subglacial environments, (2) environments that are habitable but are uninhabited, which can be compared to similar biotically influenced subglacial environments on the Earth, and (3) environments with examples of life, which will provide new opportunities to investigate the interactions between a biota and glacial environments.</t>
  </si>
  <si>
    <t>[Cockell, Charles S.; Balme, Matt; Miljkovic, Katarina] Open Univ, Planetary &amp; Space Sci Res Inst, Milton Keynes MK7 6AA, Bucks, England; [Bagshaw, Elizabeth; Tranter, Martyn; Wadham, Jemma] Univ Bristol, Sch Geog Sci, Bristol BS8 1SS, Avon, England; [Doran, Peter] Univ Illinois, Dept Earth &amp; Environm Sci, Chicago, IL 60607 USA; [Pearce, David] British Antarctic Survey, Cambridge CB3 0ET, England; [McKay, Christopher P.] NASA, Ames Res Ctr, Mountain View, CA 94035 USA; [Voytek, Mary] NASA Headquarters, Washington, DC 20546 USA; [Siegert, Martin J.] Univ Edinburgh, Sch Geosci, Edinburgh EH9 3JW, Midlothian, Scotland</t>
  </si>
  <si>
    <t>Open University - UK; University of Bristol; University of Illinois System; University of Illinois Chicago; University of Illinois Chicago Hospital; UK Research &amp; Innovation (UKRI); Natural Environment Research Council (NERC); NERC British Antarctic Survey; National Aeronautics &amp; Space Administration (NASA); NASA Ames Research Center; National Aeronautics &amp; Space Administration (NASA); Mary W. Jackson NASA Headquarters; University of Edinburgh</t>
  </si>
  <si>
    <t>Cockell, CS (corresponding author), Open Univ, Planetary &amp; Space Sci Res Inst, Milton Keynes MK7 6AA, Bucks, England.</t>
  </si>
  <si>
    <t>C.S.Cockell@open.ac.uk</t>
  </si>
  <si>
    <t>Tranter, Martyn/E-3722-2010; Siegert, Martin/M-9939-2019; Balme, Matthew/I-8101-2019; Miljkovic, Katarina/D-4844-2013; Siegert, Martin J/A-3826-2008</t>
  </si>
  <si>
    <t>Siegert, Martin/0000-0002-0090-4806; Balme, Matthew/0000-0001-5871-7475; Miljkovic, Katarina/0000-0001-8644-8903; Siegert, Martin J/0000-0002-0090-4806; Bagshaw, Elizabeth/0000-0001-8392-1750; Pearce, David/0000-0001-5292-4596; McKay, Christopher/0000-0002-6243-1362</t>
  </si>
  <si>
    <t>NERC [NE/G005028/1] Funding Source: UKRI; STFC [ST/I001964/1] Funding Source: UKRI</t>
  </si>
  <si>
    <t>NERC(UK Research &amp; Innovation (UKRI)Natural Environment Research Council (NERC)); STFC(UK Research &amp; Innovation (UKRI)Science &amp; Technology Facilities Council (STFC))</t>
  </si>
  <si>
    <t>10.1029/2010GM000939</t>
  </si>
  <si>
    <t>WOS:000290418300008</t>
  </si>
  <si>
    <t>Mowlem, MC; Tsaloglou, MN; Waugh, EM; Floquet, CFA; Saw, K; Fowler, L; Brown, R; Pearce, D; Wyatt, JB; Beaton, AD; Brito, MP; Hodgson, DA; Griffiths, G; Bentley, M; Blake, D; Capper, L; Clarke, R; Cockell, C; Corr, H; Harris, W; Hill, C; Hindmarsh, R; King, E; Lamb, H; Maher, B; Makinson, K; Parnell, J; Priscu, J; Rivera, A; Ross, N; Siegert, MJ; Smith, A; Tait, A; Tranter, M; Wadham, J; Whalley, B; Woodward, J</t>
  </si>
  <si>
    <t>Mowlem, Matthew C.; Tsaloglou, Maria-Nefeli; Waugh, Edward M.; Floquet, Cedric F. A.; Saw, Kevin; Fowler, Lee; Brown, Robin; Pearce, David; Wyatt, James B.; Beaton, Alexander D.; Brito, Mario P.; Hodgson, Dominic A.; Griffiths, Gwyn; Bentley, M.; Blake, D.; Capper, L.; Clarke, R.; Cockell, C.; Corr, H.; Harris, W.; Hill, C.; Hindmarsh, R.; King, E.; Lamb, H.; Maher, B.; Makinson, K.; Parnell, J.; Priscu, J.; Rivera, A.; Ross, N.; Siegert, M. J.; Smith, A.; Tait, A.; Tranter, M.; Wadham, J.; Whalley, B.; Woodward, J.</t>
  </si>
  <si>
    <t>Probe Technology for the Direct Measurement and Sampling of Ellsworth Subglacial Lake</t>
  </si>
  <si>
    <t>FRAGMENT-LENGTH-POLYMORPHISMS; ETHYLENE-OXIDE STERILIZATION; GRADIENT GEL-ELECTROPHORESIS; INVESTIGATE OXYGEN DYNAMICS; IN-VITRO EFFICACY; AMERY ICE SHELF; SEA-ICE; MICROBIAL DIVERSITY; ANTIMICROBIAL PEPTIDES; COMMUNITY STRUCTURE</t>
  </si>
  <si>
    <t>The direct measurement and sampling of Ellsworth Subglacial Lake is a multi-disciplinary investigation of life in extreme environments and West Antarctic ice sheet history. The project's aims are (1) to determine whether, and in what form, microbial life exists in Antarctic subglacial lakes and (2) to reveal the post-Pliocene history of the West Antarctic Ice Sheet. A U.K. consortium has planned an extensive logistics and equipment development program that will deliver the necessary resources. This will include hot water drill technology for lake access through approximately 3.2 km of ice, a probe to make measurements with sensors and to collect water and sediment samples, and a percussion corer to acquire an similar to 3-4 m sediment core. This chapter details the requirements and early stages of design and development of the probe system. This includes the instrumentation package, water samplers, and a mini gravity corer mounted on the front of the probe. Initial design concepts for supporting equipment required at the drill site to deploy and operate the probe are also described. A review of the literature describing relevant technology is presented. The project will implement environmental protection in line with principles set out by the Scientific Committee on Antarctic Research. This includes application of microbiological control and best practice in protection of pristine environments within a pragmatic and realizable framework. Appropriate environmental protection standards, methods, verification protocols, and technology are being developed by the Lake Ellsworth Consortium. A review of best practice, initial plans, and results is presented.</t>
  </si>
  <si>
    <t>[Mowlem, Matthew C.; Tsaloglou, Maria-Nefeli; Waugh, Edward M.; Floquet, Cedric F. A.; Saw, Kevin; Fowler, Lee; Brown, Robin; Wyatt, James B.; Brito, Mario P.; Griffiths, Gwyn] Natl Oceanog Ctr, Southampton SO14 3ZH, Hants, England; [Pearce, David; Hodgson, Dominic A.; Blake, D.; Capper, L.; Clarke, R.; Corr, H.; Hill, C.; Hindmarsh, R.; King, E.; Makinson, K.; Smith, A.; Tait, A.] British Antarctic Survey, Cambridge CB3 0ET, England; [Beaton, Alexander D.; Harris, W.; Tranter, M.; Wadham, J.] Univ Bristol, Sch Geog Sci, Bristol BS8 1SS, Avon, England; [Bentley, M.] Univ Durham, Dept Geog, Durham DH1 3LE, England; [Cockell, C.] Open Univ, Planetary &amp; Space Sci Res Inst, Milton Keynes MK7 6AA, Bucks, England; [Lamb, H.] Aberystwyth Univ, Inst Geog &amp; Earth Sci, Aberystwyth SY23 2AX, Dyfed, Wales; [Maher, B.] Univ Lancaster, Lancaster Environm Ctr, Lancaster LA1 4YB, England; [Parnell, J.] Univ Aberdeen, Sch Geosci, Aberdeen AB24 3UF, Scotland; [Priscu, J.] Montana State Univ, Dept Land Resources &amp; Environm Sci, Bozeman, MT 59717 USA; [Rivera, A.] Ctr Estudios Cient, Valdivia, Chile; [Ross, N.; Siegert, M. J.] Univ Edinburgh, Sch Geosci, Edinburgh EH8 9XP, Midlothian, Scotland; [Whalley, B.] Queens Univ Belfast, Sch Geog, Belfast BT7 1NN, Antrim, North Ireland; [Woodward, J.] Northumbria Univ, Sch Built &amp; Nat Environm, Newcastle Upon Tyne NE1 8ST, Tyne &amp; Wear, England; [Whalley, B.] Queens Univ Belfast, Sch Geog Archaeol &amp; Palaeoecol, Belfast BT7 1NN, Antrim, North Ireland</t>
  </si>
  <si>
    <t>NERC National Oceanography Centre; UK Research &amp; Innovation (UKRI); Natural Environment Research Council (NERC); NERC British Antarctic Survey; University of Bristol; Durham University; Open University - UK; Aberystwyth University; Lancaster University; University of Aberdeen; Montana State University System; Montana State University Bozeman; University of Edinburgh; Queens University Belfast; Northumbria University; Queens University Belfast</t>
  </si>
  <si>
    <t>Mowlem, MC (corresponding author), Natl Oceanog Ctr, European Way, Southampton SO14 3ZH, Hants, England.</t>
  </si>
  <si>
    <t>mcm@noc.soton.ac.uk</t>
  </si>
  <si>
    <t>Siegert, Martin/M-9939-2019; Corr, Hugh/C-5398-2011; Makinson, Keith/A-2495-2013; Woodward, John/I-1046-2013; Siegert, Martin J/A-3826-2008; Floquet, Cedric F A/C-1326-2012; Bentley, Michael J/F-7386-2011; Tsaloglou, Maria-Nefeli/G-4306-2016; Wadham, Jemma L/G-3138-2014; Tranter, Martyn/E-3722-2010; Maher, Barbara A/K-6234-2012</t>
  </si>
  <si>
    <t>Siegert, Martin/0000-0002-0090-4806; Makinson, Keith/0000-0002-5791-1767; Siegert, Martin J/0000-0002-0090-4806; Bentley, Michael J/0000-0002-2048-0019; Tsaloglou, Maria-Nefeli/0000-0001-6380-2404; Maher, Barbara A/0000-0002-8759-8214; Beaton, Alexander/0000-0002-0206-7466; Saw, Kevin/0000-0001-7461-3430; Mowlem, Matthew/0000-0001-7613-6121; Brito, Mario/0000-0002-1779-4535; Rivera, Andres/0000-0002-2779-4192; Pearce, David/0000-0001-5292-4596; Woodward, John/0000-0002-4980-4080; Lamb, Henry Francis/0000-0003-0025-0766</t>
  </si>
  <si>
    <t>NERC [NE/G005028/1] Funding Source: UKRI</t>
  </si>
  <si>
    <t>10.1029/2010GM001013</t>
  </si>
  <si>
    <t>WOS:000290418300010</t>
  </si>
  <si>
    <t>Lukin, V; Bulat, S</t>
  </si>
  <si>
    <t>Lukin, Valery; Bulat, Sergey</t>
  </si>
  <si>
    <t>Vostok Subglacial Lake: Details of Russian Plans/Activities for Drilling and Sampling</t>
  </si>
  <si>
    <t>Geophysical Monograph Series</t>
  </si>
  <si>
    <t>EAST ANTARCTICA; ICE CORE; ACCRETION ICE; MICROORGANISMS</t>
  </si>
  <si>
    <t>The Russian Federation has developed a national project involving the drilling and sampling of Vostok Subglacial Lake, East Antarctica. The objective is to explore this extreme icy environment, using a variety of techniques to identify the forms and levels of life that exist there. The project is funded by the Russian Federal Service ROSHYDROMET. In the 2009/2010 season, drilling operations were restarted at a depth of 3559 m via new borehole 5G-2, successfully reaching a new depth of approximately 3650 m. New accretion ice, including the inclusion-rich thermophile-containing horizon (around 3608 m) was again recovered and will be studied to assess the previous scenario and findings. In 2010/2011, the drill will carefully continue to deepen the borehole leaving a 10- to 15-m ice cork and will in season 2011/2012 enter the lake, allowing water to rise up dozens of meters within borehole 5G-2 and subsequently freeze. During the same or following season (2012/2013), borehole 5G-2 will be redrilled to acquire rapidly frozen lake water for complex investigations. In the following season, 2013/2014, a special set of strictly decontaminated biophysical instruments, developed at the Petersburg Nuclear Physics Institute, will be lowered into the water body, with a battery of ocean observatory sensors, cameras, fluorimeters-spectrometers, and special water samplers on board several submersible titan modules. Such activities are in line with environmental stewardship in the exploration of unique aquatic environments under the Antarctic ice sheet.</t>
  </si>
  <si>
    <t>[Lukin, Valery] Arctic &amp; Antarctic Res Inst, St Petersburg 199397, Russia; [Bulat, Sergey] Russian Acad Sci, Petersburg Nucl Phys Inst, Gatchina 188300, Russia</t>
  </si>
  <si>
    <t>Arctic &amp; Antarctic Research Institute; National Research Centre - Kurchatov Institute; Petersburg Nuclear Physics Institute; Russian Academy of Sciences</t>
  </si>
  <si>
    <t>Lukin, V (corresponding author), Arctic &amp; Antarctic Res Inst, 38 Bering Str, St Petersburg 199397, Russia.</t>
  </si>
  <si>
    <t>lukin@aari.nw.ru; bulat@omrb.pnpi.spb.ru</t>
  </si>
  <si>
    <t>; Lukin, Valeriy/N-1147-2015</t>
  </si>
  <si>
    <t>Bulat, Sergey/0000-0002-2574-882X; Lukin, Valeriy/0000-0003-1726-7361</t>
  </si>
  <si>
    <t>10.1029/2010GM000951</t>
  </si>
  <si>
    <t>WOS:000290418300011</t>
  </si>
  <si>
    <t>Fricker, HA; Powell, R; Priscu, J; Tulaczyk, S; Anandakrishnan, S; Christner, B; Fisher, AT; Holland, D; Horgan, H; Jacobel, R; Mikucki, J; Mitchell, A; Scherer, R; Severinghaus, J</t>
  </si>
  <si>
    <t>Fricker, Helen Amanda; Powell, Ross; Priscu, John; Tulaczyk, Slawek; Anandakrishnan, Sridhar; Christner, Brent; Fisher, Andrew T.; Holland, David; Horgan, Huw; Jacobel, Robert; Mikucki, Jill; Mitchell, Andrew; Scherer, Reed; Severinghaus, Jeff</t>
  </si>
  <si>
    <t>Siple Coast Subglacial Aquatic Environments: The Whillans Ice Stream Subglacial Access Research Drilling Project</t>
  </si>
  <si>
    <t>OCEAN CIRCULATION BENEATH; WEST ANTARCTICA; GROUNDING-LINE; LAKE VOSTOK; ROSS SEA; SHELF; SHEET; GLACIER; MODEL; WATER</t>
  </si>
  <si>
    <t>The Whillans Ice Stream Subglacial Access Research Drilling (WISSARD) project is a 6-year (2009-2015) integrative study of ice sheet stability and subglacial geobiology in West Antarctica, funded by the Antarctic Integrated System Science Program of National Science Foundation's Office of Polar Programs, Antarctic Division. The overarching scientific objective of WISSARD is to assess the role of water beneath a West Antarctic Ice Stream in interlinked glaciological, geological, microbiological, geochemical, hydrological, and oceanographic systems. The WISSARD's important science questions relate to (1) the role that subglacial and ice shelf cavity waters and wet sediments play in ice stream dynamics and mass balance, with an eye on the possible future of the West Antarctic Ice Sheet and (2) the microbial metabolic and phylogenetic diversity in these subglacial environments. The study area is the downstream part of the Whillans Ice Stream on the Siple Coast, specifically Subglacial Lake Whillans and the part of the grounding zone across which it drains. In this chapter, we provide background on the motivation for the WISSARD project, detail the key scientific goals, and describe the new measurement tools and strategies under development that will provide the framework for conducting an unprecedented range of scientific observations.</t>
  </si>
  <si>
    <t>[Fricker, Helen Amanda; Severinghaus, Jeff] Univ Calif San Diego, Scripps Inst Oceanog, La Jolla, CA 92093 USA; [Powell, Ross; Scherer, Reed] No Illinois Univ, Dept Geol &amp; Environm Sci, De Kalb, IL 61125 USA; [Priscu, John] Montana State Univ, Dept Land Resources &amp; Environm Sci, Bozeman, MT 59717 USA; [Tulaczyk, Slawek; Fisher, Andrew T.] Univ Calif Santa Cruz, Dept Earth &amp; Planetary Sci, Santa Cruz, CA 95064 USA; [Anandakrishnan, Sridhar; Horgan, Huw] Penn State Univ, Dept Geosci, University Pk, PA 16802 USA; [Anandakrishnan, Sridhar] Penn State Univ, Earth &amp; Environm Syst Inst, University Pk, PA 16802 USA; [Christner, Brent] Louisiana State Univ, Dept Biol Sci, Baton Rouge, LA 70803 USA; [Holland, David] NYU, Courant Inst Math Sci, New York, NY 10012 USA; [Jacobel, Robert] St Olaf Coll, Dept Phys, Northfield, MN 55057 USA; [Mikucki, Jill] Dartmouth Coll, Dept Earth Sci, Hanover, NH 03755 USA; [Mikucki, Jill] Dartmouth Coll, Environm Studies Program, Hanover, NH 03755 USA; [Mitchell, Andrew] Montana State Univ, Ctr Biofilm Engn, Bozeman, MT 59717 USA</t>
  </si>
  <si>
    <t>University of California System; University of California San Diego; Scripps Institution of Oceanography; Northern Illinois University; Montana State University System; Montana State University Bozeman; University of California System; University of California Santa Cruz; Pennsylvania Commonwealth System of Higher Education (PCSHE); Pennsylvania State University; Pennsylvania State University - University Park; Pennsylvania Commonwealth System of Higher Education (PCSHE); Pennsylvania State University; Pennsylvania State University - University Park; Louisiana State University System; Louisiana State University; New York University; Saint Olaf College; Dartmouth College; Dartmouth College; Montana State University System; Montana State University Bozeman</t>
  </si>
  <si>
    <t>Fricker, HA (corresponding author), Univ Calif San Diego, Scripps Inst Oceanog, 9500 Gilman Dr, La Jolla, CA 92093 USA.</t>
  </si>
  <si>
    <t>hafricker@ucsd.edu</t>
  </si>
  <si>
    <t>Fisher, Andrew T/A-1113-2016; Anandakrishnan, Sridhar/JCN-5026-2023; Tulaczyk, Slawek/O-7375-2018</t>
  </si>
  <si>
    <t>Tulaczyk, Slawek/0000-0002-9711-4332; Horgan, Huw/0000-0002-4836-0078; Fricker, Helen Amanda/0000-0002-0921-1432</t>
  </si>
  <si>
    <t>Directorate For Geosciences; Office of Polar Programs (OPP) [0839059] Funding Source: National Science Foundation</t>
  </si>
  <si>
    <t>10.1029/2010GM000932</t>
  </si>
  <si>
    <t>WOS:000290418300012</t>
  </si>
  <si>
    <t>Ross, N; Siegert, MJ; Rivera, A; Bentley, MJ; Blake, D; Capper, L; Clarke, R; Cockell, CS; Corr, HFJ; Harris, W; Hill, C; Hindmarsh, RCA; Hodgson, DA; King, EC; Lamb, H; Maher, B; Makinson, K; Mowlem, M; Parnell, J; Pearce, DA; Priscu, J; Smith, AM; Tait, A; Tranter, M; Wadham, JL; Whalley, WB; Woodward, J</t>
  </si>
  <si>
    <t>Ross, N.; Siegert, M. J.; Rivera, A.; Bentley, M. J.; Blake, D.; Capper, L.; Clarke, R.; Cockell, C. S.; Corr, H. F. J.; Harris, W.; Hill, C.; Hindmarsh, R. C. A.; Hodgson, D. A.; King, E. C.; Lamb, H.; Maher, B.; Makinson, K.; Mowlem, M.; Parnell, J.; Pearce, D. A.; Priscu, J.; Smith, A. M.; Tait, A.; Tranter, M.; Wadham, J. L.; Whalley, W. B.; Woodward, J.</t>
  </si>
  <si>
    <t>Ellsworth Subglacial Lake, West Antarctica: A Review of Its History and Recent Field Campaigns</t>
  </si>
  <si>
    <t>INVENTORY; VOSTOK</t>
  </si>
  <si>
    <t>Ellsworth Subglacial Lake, first observed in airborne radio echo sounding data acquired in 1978, is located within a long, deep subglacial trough within the Ellsworth Subglacial Highlands of West Antarctica. Geophysical surveys have characterized the lake, its subglacial catchment, and the thickness, structure, and flow of the overlying ice sheet. Covering 28.9 km(2), Ellsworth Subglacial Lake is located below 2.9 to 3.3 km of ice at depths of -1361 to -1030 m. Seismic reflection data have shown the lake to be up to 156 m deep and underlain by unconsolidated sediments. Ice sheet flow over the lake is characterized by low velocities (&lt;6 m yr(-1)) flow convergence, and longitudinal extension. The lake appears to be in steady state, although the hydrological balance may vary over glacial-interglacial cycles. Direct access, measurement, and sampling of Ellsworth Subglacial Lake are planned for the 2012/2013 Antarctic field season. The aims of this access experiment are to determine (1) the presence, character, and maintenance of microbial life in Antarctic subglacial lakes and (2) the Quaternary history of the West Antarctic ice sheet. Geophysical data have been used to define a preferred lake access site. The factors that make this location suitable for exploration are (1) a relatively thin overlying ice column (similar to 3.1 km), (2) a significant measured water depth (similar to 143 m), (3) &gt;2 m of sediment below the lake floor, (4) water circulation modeling suggesting a melting ice-water interface, and (5) coring that can target the deepest point of the lake floor away from marginal, localized sediment sources.</t>
  </si>
  <si>
    <t>[Ross, N.; Siegert, M. J.] Univ Edinburgh, Sch Geosci, Edinburgh EH8 9XP, Midlothian, Scotland; [Rivera, A.] Ctr Estudios Cient, Valdivia, Chile; [Bentley, M. J.] Univ Durham, Dept Geog, Durham DH1 3LE, England; [Blake, D.; Capper, L.; Clarke, R.; Corr, H. F. J.; Hill, C.; Hindmarsh, R. C. A.; Hodgson, D. A.; King, E. C.; Makinson, K.; Pearce, D. A.; Smith, A. M.; Tait, A.] British Antarctic Survey, NERC, Cambridge CB3 0ET, England; [Cockell, C. S.] Open Univ, CEPSAR, Milton Keynes MK7 6AA, Bucks, England; [Harris, W.; Tranter, M.; Wadham, J. L.] Univ Bristol, Sch Geog Sci, Bristol BS8 1SS, Avon, England; [Lamb, H.] Aberystwyth Univ, Inst Geog &amp; Earth Sci, Aberystwyth SY23 3DB, Dyfed, Wales; [Maher, B.] Univ Lancaster, Lancaster Environm Ctr, Lancaster LA1 4YQ, England; [Mowlem, M.] Univ Southampton, Natl Oceanog Ctr, Southampton SO14 3ZH, Hants, England; [Parnell, J.] Univ Aberdeen, Dept Geol &amp; Petr Geol, Aberdeen AB24 3UE, Scotland; [Priscu, J.] Montana State Univ, Dept Land Resources &amp; Environm Sci, Bozeman, MT 59717 USA; [Whalley, W. B.] Queens Univ Belfast, Sch Geog Archaeol &amp; Palaeoecol, Belfast BT7 1NN, Antrim, North Ireland; [Woodward, J.] Northumbria Univ, Sch Built &amp; Nat Environm, Newcastle Upon Tyne NE1 8ST, Tyne &amp; Wear, England</t>
  </si>
  <si>
    <t>University of Edinburgh; Durham University; UK Research &amp; Innovation (UKRI); Natural Environment Research Council (NERC); NERC British Antarctic Survey; Open University - UK; University of Bristol; Aberystwyth University; Lancaster University; NERC National Oceanography Centre; University of Southampton; University of Aberdeen; Montana State University System; Montana State University Bozeman; Queens University Belfast; Northumbria University</t>
  </si>
  <si>
    <t>Ross, N (corresponding author), Univ Edinburgh, Sch Geosci, Edinburgh EH8 9XP, Midlothian, Scotland.</t>
  </si>
  <si>
    <t>neil.ross@ed.ac.uk</t>
  </si>
  <si>
    <t>Woodward, John/I-1046-2013; Makinson, Keith/A-2495-2013; Tranter, Martyn/E-3722-2010; Hindmarsh, Richard/N-1195-2019; Whalley, Brian/AAF-6547-2020; Corr, Hugh/C-5398-2011; Siegert, Martin/M-9939-2019; Wadham, Jemma L/G-3138-2014; Maher, Barbara A/K-6234-2012; Bentley, Michael J/F-7386-2011; Siegert, Martin J/A-3826-2008</t>
  </si>
  <si>
    <t>Makinson, Keith/0000-0002-5791-1767; Hindmarsh, Richard/0000-0003-1633-2416; Siegert, Martin/0000-0002-0090-4806; Maher, Barbara A/0000-0002-8759-8214; Bentley, Michael J/0000-0002-2048-0019; Siegert, Martin J/0000-0002-0090-4806; Pearce, David/0000-0001-5292-4596; Lamb, Henry Francis/0000-0003-0025-0766; Rivera, Andres/0000-0002-2779-4192; Mowlem, Matthew/0000-0001-7613-6121</t>
  </si>
  <si>
    <t>NERC [NE/G005028/1, NE/G00336X/1] Funding Source: UKRI</t>
  </si>
  <si>
    <t>10.1029/2010GM000936</t>
  </si>
  <si>
    <t>WOS:000290418300013</t>
  </si>
  <si>
    <t>Olsen, Y</t>
  </si>
  <si>
    <t>Olsen, Yngvar</t>
  </si>
  <si>
    <t>Resources for fish feed in future mariculture</t>
  </si>
  <si>
    <t>AQUACULTURE ENVIRONMENT INTERACTIONS</t>
  </si>
  <si>
    <t>Global aquaculture; Mariculture; Feed resources; Marine lipids; HUFA; Trophic level</t>
  </si>
  <si>
    <t>POLYUNSATURATED FATTY-ACIDS; MARINE; AQUACULTURE; IMPACT; REQUIREMENTS; MICROALGAL; AQUAFEEDS; BIOMASS; LIPIDS; MEAL</t>
  </si>
  <si>
    <t>There is a growing concern about the ability to produce enough nutritious food to feed the global human population in this century. Environmental conflicts and a limited freshwater supply constrain further developments in agriculture; global fisheries have levelled off, and aquaculture may have to play a more prominent role in supplying human food. Freshwater is important, but it is also a major challenge to cultivate the oceans in an environmentally, economically and energy-friendly way. To support this, a long-term vision must be to derive new sources of feed, primarily taken from outside the human food chain, and to move carnivore production to a lower trophic level. The main aim of this paper is to speculate on how feed supplies can be produced for an expanding aquaculture industry by and beyond 2050 and to establish a roadmap of the actions needed to achieve this. Resources from agriculture, fish meal and fish oil are the major components of pellet fish feeds. All cultured animals take advantage of a certain fraction of fish meal in the feed, and marine carnivores depend on a supply of marine lipids containing highly unsaturated fatty acids (HUFA, with &gt;= 3 double bonds and &gt;= 20 carbon chain length) in the feed. The availability of HUFA is likely the main constraint for developing carnivore aquaculture in the next decades. The availability of fish meal and oil will decrease, and the competition for plant products will increase. New harvested resources are herbivore zooplankton, such as Antarctic krill and red feed, and new produced resources are macro-algae, transgenic higher HUFA-producing plants and bacterial biomass. These products are to a limited extent components of the human food chain, and all these resources will help to move cultured carnivores to lower trophic levels and can thereby increase the production capacity and the sustainability of the production. Mariculture can only become as successful as agriculture in the coming century if carnivores can be produced at around Trophic Level 2, based mainly on plant resources. There is little potential for increasing the traditional fish meal food chain in aquaculture.</t>
  </si>
  <si>
    <t>Norwegian Univ Sci &amp; Technol, Trondhjem Biol Stn, Dept Biol, N-7491 Trondheim, Norway</t>
  </si>
  <si>
    <t>Norwegian University of Science &amp; Technology (NTNU)</t>
  </si>
  <si>
    <t>Olsen, Y (corresponding author), Norwegian Univ Sci &amp; Technol, Trondhjem Biol Stn, Dept Biol, N-7491 Trondheim, Norway.</t>
  </si>
  <si>
    <t>ynvar.olsen@bio.ntnu.no</t>
  </si>
  <si>
    <t>1869-215X</t>
  </si>
  <si>
    <t>1869-7534</t>
  </si>
  <si>
    <t>AQUACULT ENV INTERAC</t>
  </si>
  <si>
    <t>Aquac. Environ. Interact.</t>
  </si>
  <si>
    <t>10.3354/aei00019</t>
  </si>
  <si>
    <t>Fisheries; Marine &amp; Freshwater Biology</t>
  </si>
  <si>
    <t>786NC</t>
  </si>
  <si>
    <t>WOS:000292314200002</t>
  </si>
  <si>
    <t>Reisinger, RR; de Bruyn, PJN; Bester, MN</t>
  </si>
  <si>
    <t>Reisinger, Ryan R.; de Bruyn, P. J. Nico; Bester, Marthan N.</t>
  </si>
  <si>
    <t>Abundance estimates of killer whales at subantarctic Marion Island</t>
  </si>
  <si>
    <t>AQUATIC BIOLOGY</t>
  </si>
  <si>
    <t>Orcinus orca; Photo-identification; Population size; Mark-recapture; Southern Ocean; Count</t>
  </si>
  <si>
    <t>PACIFIC HUMPBACK DOLPHINS; ORCINUS-ORCA; SOCIAL-ORGANIZATION; CROZET; RECAPTURE; BEHAVIOR; CAPTURE; TRENDS; SIZE; POPULATIONS</t>
  </si>
  <si>
    <t>Killer whales Orcinus orca are apex predators known to have important effects on marine ecosystems. A fundamental step towards understanding their role in ecosystems, and vital for their informed management and conservation, is the rigorous estimation of their abundance. Studies concerning this species have used mark-recapture analytical techniques to estimate abundance, but enumeration of identifiable individuals is more common. This study estimated the abundance of killer whales occurring inshore at subantarctic Marion Island. Mark-recapture analyses were performed using nearly 10 000 photographs taken from 2006 to 2009. Using careful quality control criteria, we identified 37 ind. The evident capture heterogeneity violates the underlying assumptions of the open population POPAN parameterization in the software program MARK we initially used. We thus used the simpler Chapman modified Lincoln-Petersen estimator, calculating a population size of 37 ind. (95% CI = 29 to 44) for the period 2006 to 2007 and 32 ind. (95% CI = 30 to 33) for 2007 to 2008. Both estimates are close to the catalogue size, suggesting that enumeration is an accurate measure of abundance in this study. Our results are comparable to recent abundance estimates for the neighbouring Crozet Archipelago (similar to 1000 km due east). No rigorous approach has been used previously to estimate the abundance of killer whales at Marion Island. This estimate provides a foundation for further research related to the sociality and potential ecological impact of this population of killer whales in the Southern Ocean.</t>
  </si>
  <si>
    <t>[Reisinger, Ryan R.; de Bruyn, P. J. Nico; Bester, Marthan N.] Univ Pretoria, Mammal Res Inst, Dept Zool &amp; Entomol, ZA-0028 Hatfield, South Africa</t>
  </si>
  <si>
    <t>de Bruyn, P. J. Nico/E-4176-2010; Bester, Marthán N/E-5387-2010; Reisinger, Ryan R/D-6151-2014</t>
  </si>
  <si>
    <t>de Bruyn, P. J. Nico/0000-0002-9114-9569; Reisinger, Ryan R/0000-0002-8933-6875</t>
  </si>
  <si>
    <t>We thank the South African Department of Environmental Affairs for providing logistical support within the South African National Antarctic Programme and the Department of Science and Technology (administered through the National Research Foundation) for funding the marine mammal monitoring programme at Marion Island. Various overwintering and relief expedition members recorded their sightings and provided photographs. We especially thank T. Mufanadzo, C. Oosthuizen, M. Phalanndwa and C. Tosh for their excellent field efforts. Finally, the comments of anonymous reviewers greatly improved this manuscript.</t>
  </si>
  <si>
    <t>1864-7790</t>
  </si>
  <si>
    <t>1864-7782</t>
  </si>
  <si>
    <t>AQUAT BIOL</t>
  </si>
  <si>
    <t>Aquat. Biol.</t>
  </si>
  <si>
    <t>10.3354/ab00340</t>
  </si>
  <si>
    <t>759LY</t>
  </si>
  <si>
    <t>WOS:000290248200008</t>
  </si>
  <si>
    <t>Dwyer, SL; Visser, IN</t>
  </si>
  <si>
    <t>Dwyer, Sarah L.; Visser, Ingrid N.</t>
  </si>
  <si>
    <t>Cookie Cutter Shark (Isistius sp.) Bites on Cetaceans, with Particular Reference to Killer Whales (Orca) (Orcinus orca)</t>
  </si>
  <si>
    <t>AQUATIC MAMMALS</t>
  </si>
  <si>
    <t>cookie cutter shark; Isistius brasiliensis; Isistius plutodus; killer whale; Orcinus orca; bite; healing rate; Antarctica; New Zealand</t>
  </si>
  <si>
    <t>BEAKED-WHALE; STENELLA-CLYMENE; CRATER WOUNDS; SPERM WHALES; 1ST RECORD; DOLPHIN; BRASILIENSIS; ISLAND; SEA; STRANDINGS</t>
  </si>
  <si>
    <t>Forty-nine species of cetaceans have been recorded in the literature with cookie cutter shark (Isistius sp.) bites. The first record of a cookie cutter shark bite mark on orca (Orcinus orca) was from New Zealand waters in 1955. We present 37 unpublished records of cookie cutter shark bite marks on orca in tropical to cold waters; a further six published records were collated, and additionally 35 individuals with bite marks were noted in photo-identification catalogues. A total of 120 individuals and 198 bite marks were recorded, with the northernmost at 70 degrees 44' N and the southernmost at 77 degrees 14' S. We provide the first healing rate of a cookie cutter shark bite mark on an orca in New Zealand waters, with a maximum of 150 d between open wound and healed scar. Longevity of scars is considered, with one particular bite mark still visible as a dark grey oval/elliptic mark 1,158 d post photographing the open wound. Open cookie cutter shark bite marks were not observed on orca photographed in Antarctic waters, despite the majority of bite marks being recorded on Antarctic orca. This suggests a high level of movement outside the Antarctic cold water regions as the known distribution of cookie cutter sharks is in warm temperate to tropical waters. Supporting evidence for these movements is given by records of Antarctic orca in New Zealand waters with open cookie cutter shark bite marks.</t>
  </si>
  <si>
    <t>[Dwyer, Sarah L.] Massey Univ, Coastal Marine Res Grp, Inst Nat Sci, Palmerston North, New Zealand; [Visser, Ingrid N.] Orca Res Trust, Tutukaka 0153, New Zealand</t>
  </si>
  <si>
    <t>Massey University</t>
  </si>
  <si>
    <t>Dwyer, SL (corresponding author), Massey Univ, Coastal Marine Res Grp, Inst Nat Sci, Private Bag 102 904, Palmerston North, New Zealand.</t>
  </si>
  <si>
    <t>s.l.dwyer@massey.ac.nz; ingrid@orca.org.nz</t>
  </si>
  <si>
    <t>Visser, Ingrid Natasha/ABE-4929-2021</t>
  </si>
  <si>
    <t>Dwyer, Sarah/0000-0002-9244-8114; Visser, Ingrid/0000-0001-8613-6598</t>
  </si>
  <si>
    <t>EUROPEAN ASSOC AQUATIC MAMMALS</t>
  </si>
  <si>
    <t>MOLINE</t>
  </si>
  <si>
    <t>C/O DR JEANETTE THOMAS, BIOLOGICAL SCIENCES, WESTERN ILLIONIS UNIV-QUAD CITIES, 3561 60TH STREET, MOLINE, IL 61265 USA</t>
  </si>
  <si>
    <t>0167-5427</t>
  </si>
  <si>
    <t>AQUAT MAMM</t>
  </si>
  <si>
    <t>Aquat. Mamm.</t>
  </si>
  <si>
    <t>10.1578/AM.37.2.2011.111</t>
  </si>
  <si>
    <t>784ID</t>
  </si>
  <si>
    <t>WOS:000292149400002</t>
  </si>
  <si>
    <t>Ducklow, HW; Myers, KMS; Erickson, M; Ghiglione, JF; Murray, AE</t>
  </si>
  <si>
    <t>Ducklow, Hugh W.; Myers, Kristen M. S.; Erickson, Matthew; Ghiglione, Jean-Francois; Murray, Alison E.</t>
  </si>
  <si>
    <t>Response of a summertime Antarctic marine bacterial community to glucose and ammonium enrichment</t>
  </si>
  <si>
    <t>Antarctica; Bacterial community composition; Bioassay; Marine bacterioplankton</t>
  </si>
  <si>
    <t>DISSOLVED ORGANIC-CARBON; MICROBIAL FOOD-WEB; ROSS SEA; COASTAL WATERS; PHYTOPLANKTON BIOMASS; SEAWATER MESOCOSMS; LONG-TERM; BACTERIOPLANKTON; MATTER; GROWTH</t>
  </si>
  <si>
    <t>Along the western Antarctic Peninsula, marine bacterioplankton respond to the spring phytoplankton bloom with increases in abundance, production and growth rates, and a seasonal succession in bacterial community composition (BCC). We investigated the response of the bacterial community to experimental additions of glucose and ammonium, alone or in combination, incubated in replicate carboys (each: 501) over 10 d in November 2006. Changes in bulk properties (abundance, production rates) in the incubations resembled observations in the nearshore environment over 8 seasons (2001 to 2002 through 2008 to 2009) at Palmer Stn (64.8 degrees S, 64.1 degrees W). Changes in bulk properties and BCC in ammonium-amended carboys were small relative to controls, compared to the glucose-amended treatments. The BCC in Day 0 and Day 10 controls and ammonium treatments were &gt;72% similar when assessed by denaturing-gradient gel electrophoresis (DGGEl), length heterogeneity polymerase chain reaction (LH-PCR) and capillary electrophoresis single-strand conformation polymorphism (CE-SSCP) fingerprinting techniques. Bacterial abundance increased 2- to 10-fold and leucine incorporation rates increased 2- to 30-fold in the glucose treatments over 6 d. The BCC in carboys receiving glucose (with or without ammonium) remained &gt;60% similar to that in Day 0 controls at 6 d and evolved to &lt;20% similar to that in Day 0 controls after 10 d incubation. The increases in bacterial production rates, and the changes in BCC, suggest that selection for glucose-utilizing bacteria was slow under the ambient environmental conditions. The results suggest that organic carbon enrichment is a major factor influencing the observed winter-to-summer increase in bacterial abundance and activity. In contrast, the BCC was relatively robust, changing little until after repeated additions of glucose and prolonged (similar to 10 d) incubation.</t>
  </si>
  <si>
    <t>[Ducklow, Hugh W.; Myers, Kristen M. S.; Erickson, Matthew] Marine Biol Lab, Woods Hole, MA 02543 USA; [Ghiglione, Jean-Francois] CNRS, UMR 7621, Lab Oceanog Biol Banyuls, F-66650 Banyuls Sur Mer, France; [Ghiglione, Jean-Francois] Univ Paris 06, UMR 7621, Lab Arago, F-66650 Banyuls Sur Mer, France; [Murray, Alison E.] Desert Res Inst, Reno, NV 89512 USA</t>
  </si>
  <si>
    <t>Marine Biological Laboratory - Woods Hole; Sorbonne Universite; Centre National de la Recherche Scientifique (CNRS); CNRS - National Institute for Earth Sciences &amp; Astronomy (INSU); Sorbonne Universite; Centre National de la Recherche Scientifique (CNRS); CNRS - National Institute for Earth Sciences &amp; Astronomy (INSU); Nevada System of Higher Education (NSHE); Desert Research Institute NSHE</t>
  </si>
  <si>
    <t>Ducklow, HW (corresponding author), Marine Biol Lab, Woods Hole, MA 02543 USA.</t>
  </si>
  <si>
    <t>hducklow@mbl.edu</t>
  </si>
  <si>
    <t>Ghiglione, Jean-Francois JF/A-7540-2011</t>
  </si>
  <si>
    <t>US NSF [ANT-0632278, ANT- 0632389]; NSF [OPP-0217282]; Institut Francais pour la Recherche et la Technologic Polaires (IFRTP); Virginia Institute of Marine Science and Marine Biological Laboratory; Directorate For Geosciences; Office of Polar Programs (OPP) [0823101] Funding Source: National Science Foundation</t>
  </si>
  <si>
    <t>US NSF(National Science Foundation (NSF)); NSF(National Science Foundation (NSF)); Institut Francais pour la Recherche et la Technologic Polaires (IFRTP); Virginia Institute of Marine Science and Marine Biological Laboratory; Directorate For Geosciences; Office of Polar Programs (OPP)(National Science Foundation (NSF)NSF - Directorate for Geosciences (GEO))</t>
  </si>
  <si>
    <t>H.W.D. and A.E.M. were supported by US NSF grants ANT-0632278 and ANT- 0632389, respectively. This research was partly supported by NSF OPP-0217282 (Palmer LTER). J.F.G. was supported by the Institut Francais pour la Recherche et la Technologic Polaires (IFRTP). The experimental work described in this article was performed in partial fulfillment of requirements for a Master of Science (M.S.) degree from Brown University for K.M.S.M. was supported by the Virginia Institute of Marine Science and Marine Biological Laboratory during this research. Dr. Christian Riesenfeld assisted in bioinformatic efforts and his help is greatly appreciated. We thank J. T. Hollibaugh and D. L. Kirchman for comments on the manuscript. We extend profuse appreciation to the US Antarctic Program and Raytheon Polar Services science support personnel at Palmer Stn for their assistance with our field and laboratory work.</t>
  </si>
  <si>
    <t>10.3354/ame01519</t>
  </si>
  <si>
    <t>838CS</t>
  </si>
  <si>
    <t>WOS:000296265000001</t>
  </si>
  <si>
    <t>Kestle, L; Potangaroa, R; Storey, B</t>
  </si>
  <si>
    <t>Kestle, Linda; Potangaroa, Regan; Storey, Bryan</t>
  </si>
  <si>
    <t>Integration of Lean Design and Design Management and its Influence on the Development of a Multidisciplinary Design Management Model for Remote Site Projects</t>
  </si>
  <si>
    <t>ARCHITECTURAL ENGINEERING AND DESIGN MANAGEMENT</t>
  </si>
  <si>
    <t>Design management; exploratory model; integration; lean; operational findings; remote site projects</t>
  </si>
  <si>
    <t>A significant body of literature addresses the application of lean thinking to improving the interface between detailed design and construction production, yet none specifically focuses on remote site projects. These projects range from tourism and scientific investigation to resource exploration developments. The challenges confronting the project teams tend to fit within a sociologically oriented world where designers respond to functional, aesthetic and environmental concerns, or within a production oriented world, where strategic decisions made during the early stages of a project impact markedly upon construction, logistics and sustainability. The research aimed to establish how the integration of lean design and design management thinking influenced the development of a conceptual design management model for remote site projects, and the level of rigour achieved 'in the field' when tested. A postdoctoral reflective review is made of a selection of the reviewed literature, the methodology/process undertaken in the model development and testing stages, and the findings from two case studies used when testing the developed model. Semi-structured interviews were conducted with selected 'working-in-the-field' participants across a diverse range of remote site projects; the model was found to be robust and portable.</t>
  </si>
  <si>
    <t>[Kestle, Linda] Unitec Inst Technol, Fac Technol &amp; Built Environm, Auckland, New Zealand; [Potangaroa, Regan] Unitec Inst Technol, Fac Creat Ind &amp; Business, Auckland, New Zealand; [Storey, Bryan] Univ Canterbury, Gateway Antarctica Ctr Antarctic Studies &amp; Res, Christchurch, New Zealand</t>
  </si>
  <si>
    <t>Unitec NZ; University of Canterbury</t>
  </si>
  <si>
    <t>Kestle, L (corresponding author), Unitec Inst Technol, Fac Technol &amp; Built Environm, Auckland, New Zealand.</t>
  </si>
  <si>
    <t>lkestle@unitec.ac.nz</t>
  </si>
  <si>
    <t>1745-2007</t>
  </si>
  <si>
    <t>1752-7589</t>
  </si>
  <si>
    <t>ARCHIT ENG DES MANAG</t>
  </si>
  <si>
    <t>Archit. Eng. Des. Manag.</t>
  </si>
  <si>
    <t>10.1080/17452007.2011.582336</t>
  </si>
  <si>
    <t>Construction &amp; Building Technology; Engineering, Civil</t>
  </si>
  <si>
    <t>Emerging Sources Citation Index (ESCI)</t>
  </si>
  <si>
    <t>Construction &amp; Building Technology; Engineering</t>
  </si>
  <si>
    <t>V93OI</t>
  </si>
  <si>
    <t>WOS:000213070300007</t>
  </si>
  <si>
    <t>Popovic, ZD; Purac, J; Kojic, D; Pamer, EL; Worland, MR; Blagojevic, DP; Grubor-Lajsic, G</t>
  </si>
  <si>
    <t>Popovic, Z. D.; Purac, Jelena; Kojic, Danijela; Pamer, Elvira L.; Worland, M. R.; Blagojevic, D. P.; Grubor-Lajsic, Gordana</t>
  </si>
  <si>
    <t>LEA PROTEIN EXPRESSION DURING COLD-INDUCED DEHYDRATION IN THE ARCTIC COLLEMBOLA MEGAPHORURA ARCTICA.</t>
  </si>
  <si>
    <t>ARCHIVES OF BIOLOGICAL SCIENCES</t>
  </si>
  <si>
    <t>Collembola; cryoprotective dehydration; LEA proteins; SCP; water</t>
  </si>
  <si>
    <t>DESICCATION</t>
  </si>
  <si>
    <t>The Arctic springtail Megaphorura arctica (Tullberg, 1876) employs a strategy known as cryoprotective dehydration to survive winter temperatures as low as -25 degrees C. During cryoprotective dehydration, water is lost from the animal to ice in its surroundings as a result of the difference in vapour pressure between the animal's supercooled body fluids and ice (Worland et al., 1998; Holmstrup and Somme, 1998). This mechanism ensures that as the habitat temperature falls, the concentration of solutes remains high enough to prevent freezing (Holmstrup et al., 2002). In M. arctica, accumulation of trehalose, a cryo/anhydro protectant, occurs in parallel with dehydration. Recent studies have identified a number of genes and cellular processes involved in cryoprotective dehydration in M. arctica (Clark et al., 2007; Clark et al., 2009; Purac et al., 2011). One of them includes late embryogenesis abundant (LEA) proteins. This study, together with that of Bahrndorff et al. (2008), suggests that LEA proteins may be involved in protective dehydration in this species.</t>
  </si>
  <si>
    <t>[Popovic, Z. D.; Purac, Jelena; Kojic, Danijela; Pamer, Elvira L.; Grubor-Lajsic, Gordana] Univ Novi Sad, Dept Biol &amp; Ecol, Novi Sad 21000, Serbia; [Worland, M. R.] British Antarctic Survey, Cambridge CB3 0ET, England; [Blagojevic, D. P.] Univ Belgrade, Inst Biol Res Sinisa Stankovic, Belgrade 11000, Serbia</t>
  </si>
  <si>
    <t>University of Novi Sad; UK Research &amp; Innovation (UKRI); Natural Environment Research Council (NERC); NERC British Antarctic Survey; University of Belgrade</t>
  </si>
  <si>
    <t>Popovic, ZD (corresponding author), Univ Novi Sad, Dept Biol &amp; Ecol, Novi Sad 21000, Serbia.</t>
  </si>
  <si>
    <t>Kojić, Danijela/AGJ-5146-2022; Popović, Željko/F-8257-2010; Blagojević, Duško P/A-7739-2018</t>
  </si>
  <si>
    <t>Kojić, Danijela/0000-0002-6422-9790; Popović, Željko/0000-0003-2961-8093; Blagojević, Duško P/0000-0001-6338-2833; Purac, Jelena/0000-0003-0028-9847</t>
  </si>
  <si>
    <t>EU Sleeping Beauty Consortium [012674 (NEST)]; Ministry of Science and Technological Development, Republic of Serbia [173014]; Natural Environment Research Council [bas0100025] Funding Source: researchfish; NERC [bas0100025] Funding Source: UKRI</t>
  </si>
  <si>
    <t>EU Sleeping Beauty Consortium; Ministry of Science and Technological Development, Republic of Serbia(Ministry of Education, Science &amp; Technological Development, Serbia); Natural Environment Research Council(UK Research &amp; Innovation (UKRI)Natural Environment Research Council (NERC)); NERC(UK Research &amp; Innovation (UKRI)Natural Environment Research Council (NERC))</t>
  </si>
  <si>
    <t>This project was sponsored by the EU Sleeping Beauty Consortium Contract no 012674 (NEST) and by the Ministry of Science and Technological Development, Republic of Serbia grant 173014 Molecular mechanisms of redox signaling in homeostasis: adaptation and pathology. The authors would like to thank Prof. A. Tunacliffe for providing the antibody AriLEA1-3.</t>
  </si>
  <si>
    <t>INST BIOLOSKA ISTRAZIVANJA SINISA STANKOVIC</t>
  </si>
  <si>
    <t>BEOGRAD</t>
  </si>
  <si>
    <t>29 NOVEMBRA 142, BEOGRAD, 11060, SERBIA</t>
  </si>
  <si>
    <t>0354-4664</t>
  </si>
  <si>
    <t>1821-4339</t>
  </si>
  <si>
    <t>ARCH BIOL SCI</t>
  </si>
  <si>
    <t>Arch. Biol. Sci.</t>
  </si>
  <si>
    <t>10.2298/ABS1103681P</t>
  </si>
  <si>
    <t>Biology</t>
  </si>
  <si>
    <t>Life Sciences &amp; Biomedicine - Other Topics</t>
  </si>
  <si>
    <t>813WI</t>
  </si>
  <si>
    <t>Green Published, Green Submitted, gold</t>
  </si>
  <si>
    <t>WOS:000294400500021</t>
  </si>
  <si>
    <t>Heininen, L; Zebich-Knos, M</t>
  </si>
  <si>
    <t>WastlWalter, D</t>
  </si>
  <si>
    <t>Heininen, Lassi; Zebich-Knos, Michele</t>
  </si>
  <si>
    <t>Polar Regions - Comparing Arctic and Antarctic Border Debates</t>
  </si>
  <si>
    <t>ASHGATE RESEARCH COMPANION TO BORDER STUDIES</t>
  </si>
  <si>
    <t>[Heininen, Lassi] Univ Lapland, Fac Social Sci, Espoo, Finland; [Heininen, Lassi] Trent Univ, Frost Ctr Canadian Studies, Peterborough, ON K9J 7B8, Canada; [Heininen, Lassi] Univ Oulu, Fac Geog, SF-90100 Oulu, Finland; [Heininen, Lassi] Int Summer Sch, Karelia, Russia; [Heininen, Lassi] NRF, New York, NY USA; [Zebich-Knos, Michele] Kennesaw State Univ, Polit Sci, Kennesaw, GA USA; [Zebich-Knos, Michele] Kennesaw State Univ, Int Policy Management Program, Kennesaw, GA USA; [Zebich-Knos, Michele] Univ Vermont, IEDS, External Advisory Board, Burlington, VT 05405 USA</t>
  </si>
  <si>
    <t>University of Lapland; Trent University; University of Oulu; University System of Georgia; Kennesaw State University; University System of Georgia; Kennesaw State University; University of Vermont</t>
  </si>
  <si>
    <t>Heininen, L (corresponding author), Univ Akureyri, Akureyri, Iceland.</t>
  </si>
  <si>
    <t>ASHGATE PUBLISHING LTD</t>
  </si>
  <si>
    <t>ALDERSHOT</t>
  </si>
  <si>
    <t>GOWER HOUSE, CROFT ROAD, ALDERSHOT GU11 3HR, ENGLAND</t>
  </si>
  <si>
    <t>978-0-7546-9047-4; 978-0-7546-7406-1</t>
  </si>
  <si>
    <t>Geography; Political Science</t>
  </si>
  <si>
    <t>Geography; Government &amp; Law</t>
  </si>
  <si>
    <t>BC5QZ</t>
  </si>
  <si>
    <t>WOS:000353501600011</t>
  </si>
  <si>
    <t>Billi, D; Viaggiu, E; Cockell, CS; Rabbow, E; Horneck, G; Onofri, S</t>
  </si>
  <si>
    <t>Billi, Daniela; Viaggiu, Emanuela; Cockell, Charles S.; Rabbow, Elke; Horneck, Gerda; Onofri, Silvano</t>
  </si>
  <si>
    <t>Damage Escape and Repair in Dried Chroococcidiopsis spp. from Hot and Cold Deserts Exposed to Simulated Space and Martian Conditions</t>
  </si>
  <si>
    <t>ASTROBIOLOGY</t>
  </si>
  <si>
    <t>Astrobiology; Endolithic cyanobacteria; Chroococcidiopsis; Ground-based experiments</t>
  </si>
  <si>
    <t>CYANOBACTERIUM CHROOCOCCIDIOPSIS; BACILLUS-SUBTILIS; DESICCATION; LIFE; MICROORGANISMS; TARDIGRADES; ENVIRONMENT; RESISTANCE; TOLERANCE; VIABILITY</t>
  </si>
  <si>
    <t>The cyanobacterium Chroococcidiopsis, overlain by 3mm of Antarctic sandstone, was exposed as dried multi-layers to simulated space and martian conditions. Ground-based experiments were conducted in the context of Lichens and Fungi Experiments (EXPOSE-E mission, European Space Agency), which were performed to evaluate, after 1.5 years on the International Space Station, the survival of cyanobacteria (Chroococcidiopsis), lichens, and fungi colonized on Antarctic rock. The survival potential and the role played by protection and repair mechanisms in the response of dried Chroococcidiopsis cells to ground-based experiments were both investigated. Different methods were employed, including evaluation of the colony-forming ability, single-cell analysis of subcellular integrities based on membrane integrity molecular and redox probes, evaluation of the photosynthetic pigment autofluorescence, and assessment of the genomic DNA integrity with a PCR-based assay. Desiccation survivors of strain CCMEE 123 (coastal desert, Chile) were better suited than CCMEE 134 (Beacon Valley, Antarctica) to withstand cellular damage imposed by simulated space and martian conditions. Exposed dried cells of strain CCMEE 123 formed colonies, maintained subcellular integrities, and, depending on the exposure conditions, also escaped DNA damage or repaired the induced damage upon rewetting.</t>
  </si>
  <si>
    <t>[Billi, Daniela; Viaggiu, Emanuela] Univ Roma Tor Vergata, Dipartimento Biol, I-00133 Rome, Italy; [Cockell, Charles S.] Open Univ, Milton Keynes MK7 6AA, Bucks, England; [Rabbow, Elke; Horneck, Gerda] DLR, Inst Aerosp Med, Cologne, Germany; [Onofri, Silvano] Univ Tuscia, Dipartimento Ecol &amp; Sviluppo Econ Sostenibile, Viterbo, Italy</t>
  </si>
  <si>
    <t>University of Rome Tor Vergata; Open University - UK; Helmholtz Association; German Aerospace Centre (DLR); Tuscia University</t>
  </si>
  <si>
    <t>Billi, D (corresponding author), Univ Roma Tor Vergata, Dipartimento Biol, Via Ric Sci Snc, I-00133 Rome, Italy.</t>
  </si>
  <si>
    <t>billi@uniroma2.it</t>
  </si>
  <si>
    <t>Billi, Daniela/AAT-6690-2021</t>
  </si>
  <si>
    <t>ONOFRI, Silvano/0000-0001-8872-1440; BILLI, DANIELA/0000-0002-9363-2415</t>
  </si>
  <si>
    <t>Italian Ministry of Foreign Affairs; Italian Space Agency; Science and Technology Facilities Council [ST/F003102/1] Funding Source: researchfish</t>
  </si>
  <si>
    <t>Italian Ministry of Foreign Affairs(Ministry of Foreign Affairs and International Cooperation (Italy)); Italian Space Agency(Agenzia Spaziale Italiana (ASI)); Science and Technology Facilities Council(UK Research &amp; Innovation (UKRI)Science &amp; Technology Facilities Council (STFC))</t>
  </si>
  <si>
    <t>This research was funded by the Italian Ministry of Foreign Affairs (to D.B.) and partially by the Italian Space Agency (MoMa project, to D.B.). The authors thank the European Space Agency LIFE project and DLR for ground-based simulations. Thanks are due to Roberto Targa for assistance in image editing and to two anonymous reviewers for valuable comments.</t>
  </si>
  <si>
    <t>MARY ANN LIEBERT, INC</t>
  </si>
  <si>
    <t>NEW ROCHELLE</t>
  </si>
  <si>
    <t>140 HUGUENOT STREET, 3RD FL, NEW ROCHELLE, NY 10801 USA</t>
  </si>
  <si>
    <t>1531-1074</t>
  </si>
  <si>
    <t>1557-8070</t>
  </si>
  <si>
    <t>Astrobiology</t>
  </si>
  <si>
    <t>10.1089/ast.2009.0430</t>
  </si>
  <si>
    <t>Astronomy &amp; Astrophysics; Biology; Geosciences, Multidisciplinary</t>
  </si>
  <si>
    <t>Astronomy &amp; Astrophysics; Life Sciences &amp; Biomedicine - Other Topics; Geology</t>
  </si>
  <si>
    <t>726AQ</t>
  </si>
  <si>
    <t>WOS:000287689200007</t>
  </si>
  <si>
    <t>Radford, SJE</t>
  </si>
  <si>
    <t>Cure, M; Otarola, A; Marin, J; Sarazin, M</t>
  </si>
  <si>
    <t>Radford, S. J. E.</t>
  </si>
  <si>
    <t>OBSERVING CONDITIONS FOR SUBMILLIMETER ASTRONOMY</t>
  </si>
  <si>
    <t>ASTRONOMICAL SITE TESTING DATA IN CHILE</t>
  </si>
  <si>
    <t>Revista Mexicana de Astronomia y Astrofisica-Serie de Conferencias</t>
  </si>
  <si>
    <t>Conference on the Astronomical Site Testing Data in Chile Conference</t>
  </si>
  <si>
    <t>DEC 01-03, 2010</t>
  </si>
  <si>
    <t>Valparaiso, CHILE</t>
  </si>
  <si>
    <t>atmospheric effects; site testing; submillimeter: general</t>
  </si>
  <si>
    <t>ATMOSPHERIC TRANSMISSION; OPACITY; MODEL; MILLIMETER</t>
  </si>
  <si>
    <t>Consistently superb observing conditions are crucial for achieving the scientific objectives of a telescope. Sub-millimeter astronomy is possible only at a few exceptionally dry sites, notably Mauna Kea, the Antarctic plateau, and the Chajnantor region in the high Andes east of San Pedro de Atacama in northern Chile. Long term measurements of 225 GHz and 350 Am atmospheric transparency demonstrate all three locations enjoy significant periods of excellent observing conditions. Conditions on the Chajnantor plateau and at the South Pole are better more often than on Mauna Kea. Conditions are better during winter and at night. Near the summit of Cerro Chajnantor, conditions are better than on the Chajnantor plateau.</t>
  </si>
  <si>
    <t>CALTECH, Caltech Submillimeter Observ, Hilo, HI 96720 USA</t>
  </si>
  <si>
    <t>California Institute of Technology</t>
  </si>
  <si>
    <t>Radford, SJE (corresponding author), CALTECH, Caltech Submillimeter Observ, 111 Nowelo St, Hilo, HI 96720 USA.</t>
  </si>
  <si>
    <t>srad-ford@caltech.edu</t>
  </si>
  <si>
    <t>UNIVERSIDAD NACIONAL AUTONOMA MEXICO INSTITUTO ASTRONOMIA</t>
  </si>
  <si>
    <t>MEXICO CITY</t>
  </si>
  <si>
    <t>APARTADO POSTAL 70-264, MEXICO CITY 04510, MEXICO</t>
  </si>
  <si>
    <t>1405-2059</t>
  </si>
  <si>
    <t>978-607-02-2880-3</t>
  </si>
  <si>
    <t>REV MEX AST ASTR</t>
  </si>
  <si>
    <t>BAL13</t>
  </si>
  <si>
    <t>WOS:000304498000025</t>
  </si>
  <si>
    <t>Oetjen, H; Wittrock, F; Richter, A; Chipperfield, MP; Medeke, T; Sheode, N; Sinnhuber, BM; Sinnhuber, M; Burrows, JP</t>
  </si>
  <si>
    <t>Oetjen, H.; Wittrock, F.; Richter, A.; Chipperfield, M. P.; Medeke, T.; Sheode, N.; Sinnhuber, B-M.; Sinnhuber, M.; Burrows, J. P.</t>
  </si>
  <si>
    <t>Evaluation of stratospheric chlorine chemistry for the Arctic spring 2005 using modelled and measured OClO column densities</t>
  </si>
  <si>
    <t>ABSORPTION CROSS-SECTIONS; MONITORING EXPERIMENT GOME; RADIATIVE-TRANSFER MODEL; MAX-DOAS MEASUREMENTS; IN-SITU OBSERVATIONS; CLO SELF-REACTION; ZENITH-SKY; ANTARCTIC OZONE; ULTRAVIOLET SPECTROSCOPY; TEMPERATURE-DEPENDENCE</t>
  </si>
  <si>
    <t>Chlorine dioxide, OClO, column amounts retrieved from measurements of the SCIAMACHY satellite instrument are presented and validated by comparison with simultaneous ground-based DOAS observations. In addition, the measurements are compared to model calculations taking into account the photochemical change along the light path. Although OClO does not participate directly in the destruction of ozone, its accurate measurement as well as modelling is crucial to understand the highly perturbed chlorine chemistry in the polar vortices. SCIAMACHY OClO slant columns retrieved during spring 2005 have been quantitatively validated by comparison with slant columns retrieved from measurements made in Ny-Alesund (79 degrees N, 12 degrees E) and Summit (73 degrees N, 38 degrees W) as well qualitatively for Bremen (53 degrees N, 9 degrees E). Fair to good agreement is found depending on location as well as time of year. OClO slant column densities modelled with a set of stacked box models and considering the light path through the atmosphere are also included in this comparison. The model predictions differ significantly from the measured quantities. OClO amounts are underestimated for conditions of strong chlorine activation and at large solar zenith angles. Sensitivity studies for several parameters in the stacked box model have been performed and it is inferred that using the chemistry known to date, the observed OClO cannot be adequately reproduced within the range of uncertainties given for the various model parameters.</t>
  </si>
  <si>
    <t>[Oetjen, H.; Wittrock, F.; Richter, A.; Medeke, T.; Sheode, N.; Sinnhuber, B-M.; Sinnhuber, M.; Burrows, J. P.] Univ Bremen, Inst Environm Phys, D-2800 Bremen 33, Germany; [Oetjen, H.] Univ Leeds, Sch Chem Leeds, Leeds LS2 9JT, W Yorkshire, England; [Chipperfield, M. P.] Univ Leeds, Sch Earth &amp; Environm, Leeds, W Yorkshire, England</t>
  </si>
  <si>
    <t>University of Bremen; University of Leeds; University of Leeds</t>
  </si>
  <si>
    <t>Richter, A (corresponding author), Univ Bremen, Inst Environm Phys, D-2800 Bremen 33, Germany.</t>
  </si>
  <si>
    <t>richter@iup.physik.uni-bremen.de</t>
  </si>
  <si>
    <t>Oetjen, Hilke/AAU-5212-2021; Burrows, John Philip/AAF-8468-2019; Chipperfield, Martyn/H-6359-2013; Oetjen, Hilke/H-3708-2016; Richter, Andreas/C-4971-2008; Sinnhuber, Miriam/A-7252-2013; Sinnhuber, Bjorn-Martin/A-7007-2013; Wittrock, Folkard/B-6959-2008</t>
  </si>
  <si>
    <t>Oetjen, Hilke/0000-0002-3542-1337; Burrows, John Philip/0000-0002-6821-5580; Chipperfield, Martyn/0000-0002-6803-4149; Oetjen, Hilke/0000-0002-3542-1337; Richter, Andreas/0000-0003-3339-212X; Sinnhuber, Miriam/0000-0002-3527-9051; Sinnhuber, Bjorn-Martin/0000-0001-9608-7320; Wittrock, Folkard/0000-0002-3024-0211</t>
  </si>
  <si>
    <t>German Federal Ministry of Education and Research (BMBF); German Aerospace Agency (DLR); European Union; University of Bremen; State of Bremen; ESA</t>
  </si>
  <si>
    <t>German Federal Ministry of Education and Research (BMBF)(Federal Ministry of Education &amp; Research (BMBF)); German Aerospace Agency (DLR)(Helmholtz AssociationGerman Aerospace Centre (DLR)); European Union(European Union (EU)); University of Bremen; State of Bremen; ESA(European Space Agency)</t>
  </si>
  <si>
    <t>The setup of the BREDOM stations has been funded in parts by the German Federal Ministry of Education and Research (BMBF), the German Aerospace Agency (DLR), the European Union, the University of Bremen and the State of Bremen. The SCIAMACHY scientific support in Bremen has been funded by the DLR. The authors thank the staff of the Koldewey station in Ny-Alesund and of the Summit station in Greenland for their support. SCIAMACHY spectra were provided by ESA through DFD/DLR. Parts of this study were funded by the European Union through the GEOMON project and by ESA through the TASTE project.</t>
  </si>
  <si>
    <t>10.5194/acp-11-689-2011</t>
  </si>
  <si>
    <t>713GE</t>
  </si>
  <si>
    <t>WOS:000286722300020</t>
  </si>
  <si>
    <t>Monge-Sanz, BM; Chipperfield, MP; Cariolle, D; Feng, W</t>
  </si>
  <si>
    <t>Monge-Sanz, B. M.; Chipperfield, M. P.; Cariolle, D.; Feng, W.</t>
  </si>
  <si>
    <t>Results from a new linear O3 scheme with embedded heterogeneous chemistry compared with the parent full-chemistry 3-D CTM</t>
  </si>
  <si>
    <t>OZONE PHOTOCHEMISTRY PARAMETERIZATION; 3-DIMENSIONAL MODEL; TRANSPORT MODEL; STRATOSPHERE; ASSIMILATION; WINTER; CLIMATOLOGY; SIMULATIONS</t>
  </si>
  <si>
    <t>A detailed full-chemistry 3-D chemistry and transport model (CTM) is used to evaluate the current stratospheric O-3 parameterisation in the European Centre for Medium-Range Weather Forecasts (ECMWF) model and to obtain an alternative version of the ozone scheme implicitly including heterogeneous chemistry. The approach avoids the inaccurate treatment currently given to heterogeneous ozone chemistry in the ECMWF model, as well as the uncertainties of a cold-tracer. The new O-3 scheme (COPCAT) is evaluated within the same CTM used to calculate it. It is the first time such a comparison has been possible, providing direct information on the validity of the linear parameterisation approach for stratospheric ozone. Simulated total column and O-3 profiles are compared against Total Ozone Mapping Spectrometer (TOMS) and Halogen Occultation Experiment (HALOE) observations. COPCAT successfully simulates polar loss and reproduces a realistic Antarctic O-3 hole. The new scheme is comparable to the full-chemistry in many regions for multiannual runs. The parameterisation produces less ozone over the tropics around 10 hPa, compared to full-chemistry and observations. However, this problem can be ameliorated by choosing a different ozone climatology for the scheme. The new scheme is compared to the current ECMWF scheme in the same CTM runs. The Antarctic O-3 hole with the current ECMWF scheme is weaker and disappears earlier than with the new COPCAT scheme. Differences between the current ECMWF scheme and COPCAT are difficult to explain due to the different approach used for heterogeneous chemistry and differences in the photochemical models used to calculate the scheme coefficients. Results with the new COPCAT scheme presented here show that heterogeneous and homogeneous ozone chemistry can be included in a consistent way in a linear ozone parameterisation, without any additional tunable parameters, providing a parameterisation scheme in better agreement with the current knowledge of stratospheric O-3 chemistry than previous approaches.</t>
  </si>
  <si>
    <t>[Monge-Sanz, B. M.; Chipperfield, M. P.; Feng, W.] Univ Leeds, Sch Earth &amp; Environm, Inst Climate &amp; Atmospher Sci, Leeds, W Yorkshire, England; [Cariolle, D.] Ctr Europeen Rech &amp; Format Avancee Calcul Sci, Toulouse, France; [Cariolle, D.] Meteo France, Toulouse, France</t>
  </si>
  <si>
    <t>University of Leeds; CERFACS</t>
  </si>
  <si>
    <t>Monge-Sanz, BM (corresponding author), Univ Leeds, Sch Earth &amp; Environm, Inst Climate &amp; Atmospher Sci, Leeds, W Yorkshire, England.</t>
  </si>
  <si>
    <t>beatriz@env.leeds.ac.uk</t>
  </si>
  <si>
    <t>Chipperfield, Martyn/H-6359-2013; FENG, WUHU/B-8327-2008</t>
  </si>
  <si>
    <t>Chipperfield, Martyn/0000-0002-6803-4149; FENG, WUHU/0000-0002-9907-9120; Monge-Sanz, Beatriz/0000-0001-6067-8858</t>
  </si>
  <si>
    <t>NERC [NE/F004575/1]; NERC [ncas10006, NE/F004575/1] Funding Source: UKRI; Natural Environment Research Council [ncas10009, ncas10006, NE/F004575/1]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</si>
  <si>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</si>
  <si>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Authors are very grateful to Adrian Simmons for useful discussions and support throughout this work. We also thank John McCormack for providing the CHEM2D coefficients and Agathe Untch, Elias Holm and Rossana Dragani for many valuable communications on the ECMWF O3 scheme. We are also grateful to Alan Geer and one anonymous referee for their constructive reviews of the original manuscript. This work has been partially funded by the NERC Research Award NE/F004575/1.</t>
  </si>
  <si>
    <t>10.5194/acp-11-1227-2011</t>
  </si>
  <si>
    <t>721KW</t>
  </si>
  <si>
    <t>WOS:000287354100024</t>
  </si>
  <si>
    <t>Flemming, J; Inness, A; Jones, L; Eskes, HJ; Huijnen, V; Schultz, MG; Stein, O; Cariolle, D; Kinnison, D; Brasseur, G</t>
  </si>
  <si>
    <t>Flemming, J.; Inness, A.; Jones, L.; Eskes, H. J.; Huijnen, V.; Schultz, M. G.; Stein, O.; Cariolle, D.; Kinnison, D.; Brasseur, G.</t>
  </si>
  <si>
    <t>Forecasts and assimilation experiments of the Antarctic ozone hole 2008</t>
  </si>
  <si>
    <t>4-DIMENSIONAL VARIATIONAL ASSIMILATION; CHEMISTRY TRANSPORT MODELS; SATELLITE-OBSERVATIONS; STRATOSPHERIC OZONE; PHOTOCHEMISTRY PARAMETERIZATION; SOUTHERN-HEMISPHERE; CLIMATE MODELS; EOS MLS; SYSTEM; SIMULATIONS</t>
  </si>
  <si>
    <t>The 2008 Antarctic ozone hole was one of the largest and most long-lived in recent years. Predictions of the ozone hole were made in near-real time (NRT) and hindcast mode with the Integrated Forecast System (IFS) of the European Centre for Medium-Range Weather Forecasts (ECMWF). The forecasts were carried out both with and without assimilation of satellite observations from multiple instruments to provide more realistic initial conditions. Three different chemistry schemes were applied for the description of stratospheric ozone chemistry: (i) a linearization of the ozone chemistry, (ii) the stratospheric chemical mechanism of the Model of Ozone and Related Chemical Tracers, version 3, (MOZART-3) and (iii) the relaxation to climatology as implemented in the Transport Model, version 5, (TM5). The IFS uses the latter two schemes by means of a two-way coupled system. Without assimilation, the forecasts showed model-specific shortcomings in predicting start time, extent and duration of the ozone hole. The assimilation of satellite observations from the Microwave Limb Sounder (MLS), the Ozone Monitoring Instrument (OMI), the Solar Backscattering Ultraviolet radiometer (SBUV-2) and the SCanning Imaging Absorption spectroMeter for Atmospheric CartograpHY (SCIAMACHY) led to a significant improvement of the forecasts when compared with total columns and vertical profiles from ozone sondes. The combined assimilation of observations from multiple instruments helped to overcome limitations of the ultraviolet (UV) sensors at low solar elevation over Antarctica. The assimilation of data from MLS was crucial to obtain a good agreement with the observed ozone profiles both in the polar stratosphere and troposphere. The ozone analyses by the three model configurations were very similar despite the different underlying chemistry schemes. Using ozone analyses as initial conditions had a very beneficial but variable effect on the predictability of the ozone hole over 15 days. The initialized forecasts with the MOZART-3 chemistry produced the best predictions of the increasing ozone hole whereas the linear scheme showed the best results during the ozonehole closure.</t>
  </si>
  <si>
    <t>[Flemming, J.; Inness, A.; Jones, L.] European Ctr Medium Range Weather Forecasts, Reading RG2 9AX, Berks, England; [Eskes, H. J.; Huijnen, V.] Royal Dutch Meteorol Inst, De Bilt, Netherlands; [Schultz, M. G.; Stein, O.] Res Ctr Julich, IEK Troposphere 8, Julich, Germany; [Cariolle, D.] Meteo France, Toulouse, France; [Cariolle, D.] CNRS URA 1875, Ctr Europ Rech &amp; Format Avancee Calcul Sci, Toulouse, France; [Kinnison, D.; Brasseur, G.] Natl Ctr Atmospher Res, Boulder, CO 80307 USA</t>
  </si>
  <si>
    <t>European Centre for Medium-Range Weather Forecasts (ECMWF); Royal Netherlands Meteorological Institute; Helmholtz Association; Research Center Julich; Centre National de la Recherche Scientifique (CNRS); CERFACS; National Center Atmospheric Research (NCAR) - USA</t>
  </si>
  <si>
    <t>Flemming, J (corresponding author), European Ctr Medium Range Weather Forecasts, Shinfield Pk, Reading RG2 9AX, Berks, England.</t>
  </si>
  <si>
    <t>johannes.flemming@ecmwf.int</t>
  </si>
  <si>
    <t>Stein, Olaf/J-3483-2012; Jones, Luke/GWQ-5302-2022; Schultz, Martin/I-9512-2012</t>
  </si>
  <si>
    <t>Huijnen, Vincent/0000-0002-2814-8475; Inness, Antje/0000-0003-0603-5389; Stein, Olaf/0000-0002-6684-7103; Schultz, Martin/0000-0003-3455-774X</t>
  </si>
  <si>
    <t>European Commission [SIP4-CT-2004-516099, 218793]</t>
  </si>
  <si>
    <t>European Commission(European Union (EU)European Commission Joint Research Centre)</t>
  </si>
  <si>
    <t>We thank Rossana Dragani and Martin Suttie for helpful discussions on satellite observation errors. The ozone sonde data used in this publication were obtained as part of the Network for the Detection of Atmospheric Composition Change (NDACC) and the World Ozone and Ultraviolet Radiation Data Centre (WOUDC) and are publicly available from http://www.ndacc.org and http://www.woudc.org. The ozone soundings were carried out by Alfred Wegener Institute-Neumayer (AWI-NM), University of Wyoming, Finnish Meteorological Institute (FMI), National Meteorological Service of Argentina (SNMA), Japan Meteorological Agency (JMA), Australian Bureau of Meteorology (ABM) and National Oceanic and Atmospheric Administration (NOAA). The satellite data were downloaded from the National Aeronautics and Space Administration (NASA), the National Oceanic and Atmospheric Administration (NOAA) and the Koninklijk Nederlands Meteorologisch Instituut (KNMI). The work has been carried out in the GEMS and the MACC project, which are funded by the European Commission under the Sixth and Seventh Research Framework Programme, contract numbers SIP4-CT-2004-516099 and 218793.</t>
  </si>
  <si>
    <t>10.5194/acp-11-1961-2011</t>
  </si>
  <si>
    <t>WOS:000288368900008</t>
  </si>
  <si>
    <t>Sofen, ED; Alexander, B; Kunasek, SA</t>
  </si>
  <si>
    <t>Sofen, E. D.; Alexander, B.; Kunasek, S. A.</t>
  </si>
  <si>
    <t>The impact of anthropogenic emissions on atmospheric sulfate production pathways, oxidants, and ice core Δ17O(SO42-)</t>
  </si>
  <si>
    <t>MASS-INDEPENDENT FRACTIONATION; NONMETAL REDOX KINETICS; TROPOSPHERIC OZONE; ISOTOPIC COMPOSITION; OXIDATION PATHWAYS; SULFUR-DIOXIDE; ACID REACTIONS; GLOBAL-MODEL; SOUTH-POLE; OXYGEN</t>
  </si>
  <si>
    <t>We use a global three-dimensional chemical transport model to quantify the influence of anthropogenic emissions on atmospheric sulfate production mechanisms and oxidant concentrations constrained by observations of the oxygen isotopic composition (Delta O-17=delta O-17-0.52 x delta O-18) of sulfate in Greenland and Antarctic ice cores and aerosols. The oxygen isotopic composition of non-sea salt sulfate (Delta O-17(SO42-)) is a function of the relative importance of each oxidant (e.g. O-3, OH, H2O2, and O-2) during sulfate formation, and can be used to quantify sulfate production pathways. Due to its dependence on oxidant concentrations, Delta O-17(SO42-) has been suggested as a proxy for paleo-oxidant levels. However, the oxygen isotopic composition of sulfate from both Greenland and Antarctic ice cores shows a trend opposite to that expected from the known increase in the concentration of tropospheric O-3 since the preindustrial period. The model simulates a significant increase in the fraction of sulfate formed via oxidation by O-2 catalyzed by transition metals in the present-day Northern Hemisphere troposphere (from 11% to 22%), offset by decreases in the fractions of sulfate formed by O-3 and H2O2. There is little change, globally, in the fraction of tropospheric sulfate produced by gas-phase oxidation (from 23% to 27%). The model-calculated change in Delta O-17(SO42-) since preindustrial times (1850 CE) is consistent with Arctic and Antarctic observations. The model simulates a 42% increase in the concentration of global mean tropospheric O-3, a 10% decrease in OH, and a 58% increase in H2O2 between the preindustrial period and present. Model results indicate that the observed decrease in the Arctic Delta O-17(SO42-) in spite of increasing tropospheric O-3 concentrations can be explained by the combined effects of increased sulfate formation by 02 catalyzed by anthropogenic transition metals and increased cloud water acidity, rendering Delta O-17(SO42-) insensitive to changing oxidant concentrations in the Arctic on this timescale. In Antarctica, the Delta O-17(SO42-) is sensitive to relative changes of oxidant concentrations because cloud pH and metal emissions have not varied significantly in the Southern Hemisphere on this timescale, although the response of Delta O-17(SO42-) to the modeled changes in oxidants is small. There is little net change in the Delta O-17(SO42-) in Antarctica, in spite of increased O-3, which can be explained by a compensatory effect from an even larger increase in H2O2. In the model, decreased oxidation by OH (due to lower OH concentrations) and O-3 (due to higher H2O2 concentrations) results in little net change in Delta O-17(SO42-) due to offsetting effects of Delta O-17(OH) and Delta O-17(O-3). Additional model simulations are conducted to explore the sensitivity of the oxygen isotopic composition of sulfate to uncertainties in the preindustrial emissions of oxidant precursors.</t>
  </si>
  <si>
    <t>[Sofen, E. D.; Alexander, B.] Univ Washington, Dept Atmospher Sci, Seattle, WA 98195 USA; [Kunasek, S. A.] Univ Washington, Dept Earth &amp; Space Sci, Seattle, WA 98195 USA</t>
  </si>
  <si>
    <t>University of Washington; University of Washington Seattle; University of Washington; University of Washington Seattle</t>
  </si>
  <si>
    <t>Alexander, B (corresponding author), Univ Washington, Dept Atmospher Sci, Box 351640,408 ATG Bldg, Seattle, WA 98195 USA.</t>
  </si>
  <si>
    <t>beckya@atmos.washington.edu</t>
  </si>
  <si>
    <t>Alexander, Becky/N-7048-2013</t>
  </si>
  <si>
    <t>Alexander, Becky/0000-0001-9915-4621; Sofen, Eric/0000-0002-4495-2148</t>
  </si>
  <si>
    <t>NSF [AGS 0704169]; UW Program on Climate Change Graduate Fellowship</t>
  </si>
  <si>
    <t>NSF(National Science Foundation (NSF)); UW Program on Climate Change Graduate Fellowship</t>
  </si>
  <si>
    <t>We thank Bob Yantosca for his guidance in preparing the offline oxidant fields and acknowledge financial support from grant NSF-AGS 0704169 and a UW Program on Climate Change Graduate Fellowship to E. Sofen.</t>
  </si>
  <si>
    <t>10.5194/acp-11-3565-2011</t>
  </si>
  <si>
    <t>750LN</t>
  </si>
  <si>
    <t>WOS:000289548200035</t>
  </si>
  <si>
    <t>Day, KA; Hibbins, RE; Mitchell, NJ</t>
  </si>
  <si>
    <t>Day, K. A.; Hibbins, R. E.; Mitchell, N. J.</t>
  </si>
  <si>
    <t>Aura MLS observations of the westward-propagating s=1, 16-day planetary wave in the stratosphere, mesosphere and lower thermosphere</t>
  </si>
  <si>
    <t>NONUNIFORM BACKGROUND CONFIGURATIONS; ROSSBY NORMAL-MODES; GRAVITY-WAVES; DIURNAL TIDE; RADAR; OSCILLATION; SATELLITE; 5-DAY; MF</t>
  </si>
  <si>
    <t>The Microwave Limb Sounder (MLS) on the Aura satellite has been used to measure temperatures in the stratosphere, mesosphere and lower thermosphere. The data used here are from August 2004 to December 2010 and latitudes 75 degrees N to 75 degrees S. The temperature data reveal the regular presence of a westward-propagating 16-day planetary wave with zonal wavenumber 1. The wave amplitudes maximise in winter at middle to high latitudes, where monthly-mean amplitudes can be as large as similar to 8 K. Significant wave amplitudes are also observed in the summer-time mesosphere and lower thermosphere (MLT) and at lower stratospheric heights of up to similar to 20 km at middle to high latitudes. Wave amplitudes in the Northern Hemisphere approach values twice as large as those in the Southern Hemisphere. Wave amplitudes are also closely related to mean zonal winds and are largest in regions of strongest eastward flow. There is a reduction in wave amplitudes at the stratopause. No significant wave amplitudes are observed near the equator or in the strongly westward background winds of the atmosphere in summer. This behaviour is interpreted as a consequence of wave/mean-flow interactions. Perturbations in wave amplitude summer MLT are compared to those simultaneously observed in the winter stratosphere of the opposite hemisphere and found to have a correlation coefficient of +0.22, suggesting a small degrees of inter-hemispheric coupling. We interpret this to mean that some of the summer-time MLT wave may originate in the winter stratosphere of the opposite hemisphere and have been ducted across the equator. We do not observe a significant QBO modulation of the 16-day wave amplitude in the polar summer-time MLT. Wave amplitudes were also observed to be suppressed during the major sudden stratospheric warming events of the Northern Hemisphere winters of 2006 and 2009.</t>
  </si>
  <si>
    <t>[Day, K. A.; Mitchell, N. J.] Univ Bath, Ctr Space Atmospher &amp; Ocean Sci, Dept Elect &amp; Elect Engn, Bath BA2 7AY, Avon, England; [Hibbins, R. E.] British Antarctic Survey, Cambridge CB3 0ET, England; [Hibbins, R. E.] Norwegian Univ Sci &amp; Technol, Dept Phys, NTNU, Trondheim, Norway</t>
  </si>
  <si>
    <t>University of Bath; UK Research &amp; Innovation (UKRI); Natural Environment Research Council (NERC); NERC British Antarctic Survey; Norwegian University of Science &amp; Technology (NTNU)</t>
  </si>
  <si>
    <t>Day, KA (corresponding author), Univ Bath, Ctr Space Atmospher &amp; Ocean Sci, Dept Elect &amp; Elect Engn, Bath BA2 7AY, Avon, England.</t>
  </si>
  <si>
    <t>k.a.day@bath.ac.uk</t>
  </si>
  <si>
    <t>Hibbins, Robert/0000-0002-6867-2255</t>
  </si>
  <si>
    <t>Natural Environment Research Council [NE/H009760/1, bas0100023] Funding Source: researchfish; NERC [bas0100023, NE/H009760/1] Funding Source: UKRI</t>
  </si>
  <si>
    <t>10.5194/acp-11-4149-2011</t>
  </si>
  <si>
    <t>764GT</t>
  </si>
  <si>
    <t>WOS:000290618600010</t>
  </si>
  <si>
    <t>Baumgaertner, AJG; Seppälä, A; Jöckel, P; Clilverd, MA</t>
  </si>
  <si>
    <t>Baumgaertner, A. J. G.; Seppaelae, A.; Joeckel, P.; Clilverd, M. A.</t>
  </si>
  <si>
    <t>Geomagnetic activity related NOx enhancements and polar surface air temperature variability in a chemistry climate model: modulation of the NAM index</t>
  </si>
  <si>
    <t>ENERGETIC PARTICLE-PRECIPITATION; GENERAL-CIRCULATION MODEL; UPPER ATMOSPHERIC NOX; DOWNWARD TRANSPORT; SOLAR-CYCLE; OZONE; STRATOSPHERE</t>
  </si>
  <si>
    <t>The atmospheric chemistry general circulation model ECHAM5/MESSy is used to simulate polar surface air temperature effects of geomagnetic activity variations. A transient model simulation was performed for the years 1960-2004 and is shown to develop polar surface air temperature patterns that depend on geomagnetic activity strength, similar to previous studies. In order to eliminate influencing factors such as sea surface temperatures (SST) or UV variations, two nine-year long simulations were carried out, with strong and weak geomagnetic activity, respectively, while all other boundary conditions were held to year 2000 levels. Statistically significant temperature effects that were observed in previous reanalysis and model results are also obtained from this set of simulations, suggesting that such patterns are indeed related to geomagnetic activity. In the model, strong geomagnetic activity and the associated NOx (=NO+NO2) enhancements lead to polar stratospheric ozone loss. Compared with the simulation with weak geomagnetic activity, the ozone loss causes a decrease in ozone radiative cooling and thus a temperature increase in the polar winter mesosphere. Similar to previous studies, a cooling is found below the stratopause, which other authors have attributed to a decrease in the mean meridional circulation. In the polar stratosphere this leads to a more stable vortex. A strong (weak) Northern Hemisphere vortex is known to be associated with a positive (negative) Northern Annular Mode (NAM) index; our simulations exhibit a positive NAM index for strong geomagnetic activity, and a negative NAM for weak geomagnetic activity. Such NAM anomalies have been shown to propagate to the surface, and this is also seen in the model simulations. NAM anomalies are known to lead to specific surface temperature anomalies: a positive NAM is associated with warmer than average northern Eurasia and colder than average eastern North Atlantic. This is also the case in our simulation. Our simulations suggest a link between geomagnetic activity, ozone loss, stratospheric cooling, the NAM, and surface temperature variability. Further work is required to identify the precise cause and effect of the coupling between these regions.</t>
  </si>
  <si>
    <t>[Baumgaertner, A. J. G.; Joeckel, P.] Max Planck Inst Chem, D-55020 Mainz, Germany; [Seppaelae, A.; Clilverd, M. A.] British Antarctic Survey, Cambridge CB3 0ET, England; [Joeckel, P.] Finnish Meteorol Inst, FIN-00101 Helsinki, Finland; [Seppaelae, A.] Deutsch Zentrum Luft &amp; Raumfahrt DLR, Inst Atmospher Phys, D-82234 Oberpfaffenhofen, Wessling, Germany</t>
  </si>
  <si>
    <t>Max Planck Society; UK Research &amp; Innovation (UKRI); Natural Environment Research Council (NERC); NERC British Antarctic Survey; Finnish Meteorological Institute; Helmholtz Association; German Aerospace Centre (DLR)</t>
  </si>
  <si>
    <t>Baumgaertner, AJG (corresponding author), Deutsch Zentrum Luft &amp; Raumfahrt DLR, Project Management Agcy, D-53227 Bonn, Germany.</t>
  </si>
  <si>
    <t>work@andreas-baumgaertner.net</t>
  </si>
  <si>
    <t>Baumgaertner, Andreas/C-4830-2011; Seppälä, Annika/C-8031-2014; Jöckel, Patrick/C-3687-2009</t>
  </si>
  <si>
    <t>Baumgaertner, Andreas/0000-0002-4740-0701; Seppälä, Annika/0000-0002-5028-8220; Jöckel, Patrick/0000-0002-8964-1394</t>
  </si>
  <si>
    <t>TIES [DFG SPP 1176 CAWSES]; FP7-PEOPLE-IEF Marie Curie project [EPPIC/237461]; Max Planck Society; NERC [bas0100023] Funding Source: UKRI; Natural Environment Research Council [bas0100023] Funding Source: researchfish</t>
  </si>
  <si>
    <t>TIES; FP7-PEOPLE-IEF Marie Curie project(European Union (EU)); Max Planck Society(Max Planck Society); NERC(UK Research &amp; Innovation (UKRI)Natural Environment Research Council (NERC)); Natural Environment Research Council(UK Research &amp; Innovation (UKRI)Natural Environment Research Council (NERC))</t>
  </si>
  <si>
    <t>This research was funded by the TIES project within the DFG SPP 1176 CAWSES. Thanks go to all MESSy developers and users for their support. We thank Cora Randall and Dan Marsh, and Robert Hibbins for fruitful discussions. The model simulations were performed on the POWER-6 computer at the RZG and DKRZ. The Ferret program (http://www.ferret.noaa.gov) from NOAA's Pacific Marine Environmental Laboratory was used for creating some of the graphics in this paper. The work of AS was funded through the FP7-PEOPLE-IEF Marie Curie project EPPIC/237461.; The service charges for this open access publication have been covered by the Max Planck Society.</t>
  </si>
  <si>
    <t>10.5194/acp-11-4521-2011</t>
  </si>
  <si>
    <t>WOS:000290618600032</t>
  </si>
  <si>
    <t>Salmi, SM; Verronen, PT; Thölix, L; Kyrölä, E; Backman, L; Karpechko, AY; Seppälä, A</t>
  </si>
  <si>
    <t>Salmi, S. -M.; Verronen, P. T.; Tholix, L.; Kyrola, E.; Backman, L.; Karpechko, A. Yu.; Seppala, A.</t>
  </si>
  <si>
    <t>Mesosphere-to-stratosphere descent of odd nitrogen in February-March 2009 after sudden stratospheric warming</t>
  </si>
  <si>
    <t>UPPER ATMOSPHERIC NOX; 11-YEAR SOLAR-CYCLE; MIDDLE ATMOSPHERE; DOWNWARD TRANSPORT; NITRIC-OXIDE; MODEL; SIMULATIONS; PRECIPITATION; THERMOSPHERE; ELECTRONS</t>
  </si>
  <si>
    <t>We use the 3-D FinROSE chemistry transport model (CTM) and Atmospheric Chemistry Experiment Fourier Transform Spectrometer (ACE-FTS) observations to study connections between atmospheric dynamics and middle atmospheric NOx (NOx = NO+NO2) distribution. Two cases are considered in the northern polar regions: (1) descent of mesospheric NOx in February-March 2009 after a major sudden stratospheric warming (SSW) and, for comparison, (2) early 2007 when no NOx descent occurred. The model uses the European Centre for Medium-Range-Weather Forecasts (ECMWF) operational data for winds and temperature, and we force NOx at the model upper altitude boundary (80 km) with ACE-FTS observations. We then compare the model results with ACE-FTS observations at lower altitudes. For the periods studied, geomagnetic indices are low, which indicates absence of local NOx production by particle precipitation. This gives us a good opportunity to study effects of atmospheric transport on polar NOx. The model results show no NOx descent in 2007, in agreement with ACE-FTS. In contrast, a large amount of NOx descends in February-March 2009 from the upper to lower mesosphere at latitudes larger than 60 degrees N, i.e. inside the polar vortex. Both observations and model results suggest NOx increases of 150-200 ppb (i.e. by factor of 50) at 65 km due to the descent. However, the model underestimates the amount of NOx around 55 km by 40-60 ppb. According to the model results, chemical loss of NOx is insignificant during the descent period, i.e. polar NOx is mainly controlled by dynamics. The descent is terminated and the polar NOx amounts return to pre-descent levels in mid-March, when the polar vortex breaks. The break-up prevents the descending NOx from reaching the upper stratosphere, where it could participate in catalytic ozone destruction. Both ACE-FTS observations and FinROSE show a decrease of ozone of 20-30% at 30-50 km from mid-February to mid-March. In the model, these ozone changes are not related to the descent but are due to solar activation of halogen and NOx chemistry.</t>
  </si>
  <si>
    <t>[Salmi, S. -M.; Verronen, P. T.; Tholix, L.; Kyrola, E.; Backman, L.; Karpechko, A. Yu.; Seppala, A.] Finnish Meteorol Inst, FIN-00101 Helsinki, Finland; [Salmi, S. -M.] Univ Helsinki, Dept Phys, Helsinki, Finland; [Seppala, A.] British Antarctic Survey, NERC, Cambridge CB3 0ET, England</t>
  </si>
  <si>
    <t>Finnish Meteorological Institute; University of Helsinki; UK Research &amp; Innovation (UKRI); Natural Environment Research Council (NERC); NERC British Antarctic Survey</t>
  </si>
  <si>
    <t>Salmi, SM (corresponding author), Finnish Meteorol Inst, FIN-00101 Helsinki, Finland.</t>
  </si>
  <si>
    <t>sanna-mari.salmi@fmi.fi</t>
  </si>
  <si>
    <t>Thölix, Laura/F-3076-2015; Päivärinta, Sanna-Mari/D-1084-2014; Kyrölä, Erkki T/E-1835-2014; Seppälä, Annika/C-8031-2014; Verronen, P. T./AIE-0203-2022; Verronen, Pekka T/G-6658-2014; Backman, Leif/F-6796-2014; Karpechko, Alexey/JVN-9414-2024</t>
  </si>
  <si>
    <t>Seppälä, Annika/0000-0002-5028-8220; Verronen, P. T./0000-0002-3479-9071; Backman, Leif/0000-0002-1501-2958; Karpechko, Alexey/0000-0003-0902-0414; Kyrola, Erkki/0000-0001-9197-9549</t>
  </si>
  <si>
    <t>Academy of Finland; European Commission [FP7-PEOPLE-IEF-2008/237461]; Canadian Space Agency; Natural Sciences and Engineering Research Council of Canada; Natural Environment Research Council [bas0100023] Funding Source: researchfish; NERC [bas0100023] Funding Source: UKRI</t>
  </si>
  <si>
    <t>Academy of Finland(Research Council of Finland); European Commission(European Union (EU)European Commission Joint Research Centre); Canadian Space Agency(Canadian Space Agency); Natural Sciences and Engineering Research Council of Canada(Natural Sciences and Engineering Research Council of Canada (NSERC)CGIAR); Natural Environment Research Council(UK Research &amp; Innovation (UKRI)Natural Environment Research Council (NERC)); NERC(UK Research &amp; Innovation (UKRI)Natural Environment Research Council (NERC))</t>
  </si>
  <si>
    <t>S.-M. Salmi would like to thank Viktoria Sofieva for helpful comments. All the authors thank also Cora Randall, Lynn Harvey and Kaley Walker for their help with the ACE-FTS data. Funding from the Academy of Finland through the THERMES, SPOC, SAARA and MIDAT projects is gratefully acknowledged. A. Seppala was supported by the European Commission project FP7-PEOPLE-IEF-2008/237461. The Atmospheric Chemistry Experiment (ACE) data were provided by the European Space Agency (ESA). ACE is a Canadian-led mission mainly supported by the Canadian Space Agency and the Natural Sciences and Engineering Research Council of Canada.</t>
  </si>
  <si>
    <t>10.5194/acp-11-4645-2011</t>
  </si>
  <si>
    <t>770NU</t>
  </si>
  <si>
    <t>WOS:000291094500003</t>
  </si>
  <si>
    <t>Baumgaertner, A. J. G.; Seppala, A.; Joeckel, P.; Clilverd, M. A.</t>
  </si>
  <si>
    <t>Geomagnetic activity related NOx enhancements and polar surface air temperature variability in a chemistry climate model: modulation of the NAM index (vol 11, pg 4521, 2011)</t>
  </si>
  <si>
    <t>Correction</t>
  </si>
  <si>
    <t>[Seppala, A.; Clilverd, M. A.] British Antarctic Survey, Cambridge CB3 0ET, England; [Seppala, A.] Finnish Meteorol Inst, FIN-00101 Helsinki, Finland; [Joeckel, P.] Deutsch Zentrum Luft &amp; Raumfahrt DLR, Inst Phys Atmosphare, D-82234 Oberpfaffenhofen, Wessling, Germany; [Baumgaertner, A. J. G.; Joeckel, P.] Max Planck Inst Chem, D-55020 Mainz, Germany</t>
  </si>
  <si>
    <t>UK Research &amp; Innovation (UKRI); Natural Environment Research Council (NERC); NERC British Antarctic Survey; Finnish Meteorological Institute; Helmholtz Association; German Aerospace Centre (DLR); Max Planck Society</t>
  </si>
  <si>
    <t>Jöckel, Patrick/C-3687-2009; Seppälä, Annika/C-8031-2014; Baumgaertner, Andreas/C-4830-2011</t>
  </si>
  <si>
    <t>Jöckel, Patrick/0000-0002-8964-1394; Seppälä, Annika/0000-0002-5028-8220; Baumgaertner, Andreas/0000-0002-4740-0701</t>
  </si>
  <si>
    <t>10.5194/acp-11-4687-2011</t>
  </si>
  <si>
    <t>WOS:000291094500007</t>
  </si>
  <si>
    <t>Kremser, S; Schofield, R; Bodeker, GE; Connor, BJ; Rex, M; Barret, J; Mooney, T; Salawitch, RJ; Canty, T; Frieler, K; Chipperfield, MP; Langematz, U; Feng, W</t>
  </si>
  <si>
    <t>Kremser, S.; Schofield, R.; Bodeker, G. E.; Connor, B. J.; Rex, M.; Barret, J.; Mooney, T.; Salawitch, R. J.; Canty, T.; Frieler, K.; Chipperfield, M. P.; Langematz, U.; Feng, W.</t>
  </si>
  <si>
    <t>Retrievals of chlorine chemistry kinetic parameters from Antarctic ClO microwave radiometer measurements</t>
  </si>
  <si>
    <t>ABSORPTION CROSS-SECTIONS; ARCTIC POLAR VORTEX; EQUILIBRIUM-CONSTANT; SELF-REACTION; OZONE; STRATOSPHERE; PEROXIDE; MONOXIDE; CL2O2</t>
  </si>
  <si>
    <t>Key kinetic parameters governing the partitioning of chlorine species in the Antarctic polar stratosphere were retrieved from 28 days of chlorine monoxide (ClO) microwave radiometer measurements made during the late winter/early spring of 2005 at Scott Base (77.85 degrees S, 166.75 degrees E). During day-time the loss of the ClO dimer chlorine peroxide (ClOOCl) occurs mainly by photolysis. Some time after sunrise, a photochemical equilibrium is established and the ClO/ClOOCl partitioning is determined by the ratio of the photolysis frequency, J, and the dimer formation rate, k(f). The values of J and k(f) from laboratory studies remain uncertain to a considerable extent, and as a complement to these ongoing studies, the goal of this work is to provide a constraint on that uncertainty based on observations of ClO profiles in the Antarctic. First an optimal estimation technique was used to derive J/k(f) ratios for a range of K-eq values. The optimal estimation forward model was a photochemical box model that takes J, k(f), and K-eq as inputs, together with a priori profiles of activated chlorine (ClOx = ClO+2xClOOCl), profiles of ozone, temperature, and pressure. JPL06 kinetics are used as a priori in the optimal estimation and for all other chemistry in the forward model. Using the more recent JPL09 kinetics results in insignificant differences in the retrieved value of J/k(f). A complementary approach was used to derive the optimal kinetic parameters; the full parameter space of J, k(f), K-eq and ClOx was sampled to find the minimum in differences between measured and modelled ClO profiles. Furthermore, values of K-eq up to 2.0 times larger than recommended by JPL06 were explored to test the sensitivity of the J/k(f) ratio to changes in K-eq. The results show that the retrieved J/k(f) ratios bracket the range of 1.23 to 1.97 times the J/k(f) value recommended by JPL06 over the range of K-eq values considered. The retrieved J/k(f) ratios lie in the lower half of the large uncertainty range of J/k(f) recommended by JPL06 and towards the upper portion of the smaller uncertainty range recommended by JPL09.</t>
  </si>
  <si>
    <t>[Kremser, S.; Bodeker, G. E.] Natl Inst Water &amp; Atmospher Res, Lauder, New Zealand; [Schofield, R.; Rex, M.] Forschungsstelle Potsdam, Stiftung Alfred Wegener Inst AWI, Potsdam, Germany; [Connor, B. J.] BC Consulting Ltd, Alexandra, New Zealand; [Barret, J.; Mooney, T.] SUNY Stony Brook, Stony Brook, NY 11794 USA; [Salawitch, R. J.; Canty, T.] Univ Maryland, Dept Atmosphere &amp; Ocean Sci, College Pk, MD 20742 USA; [Frieler, K.] Potsdam Inst Climate Impact Res PIK, Potsdam, Germany; [Chipperfield, M. P.; Feng, W.] Univ Leeds, Sch Earth &amp; Environm, Inst Climate &amp; Atmospher Sci, Leeds, W Yorkshire, England; [Langematz, U.] Free Univ Berlin, D-1000 Berlin, Germany</t>
  </si>
  <si>
    <t>National Institute of Water &amp; Atmospheric Research (NIWA) - New Zealand; Helmholtz Association; Alfred Wegener Institute, Helmholtz Centre for Polar &amp; Marine Research; State University of New York (SUNY) System; State University of New York (SUNY) Stony Brook; University System of Maryland; University of Maryland College Park; Potsdam Institut fur Klimafolgenforschung; University of Leeds; Free University of Berlin</t>
  </si>
  <si>
    <t>Kremser, S (corresponding author), Natl Inst Water &amp; Atmospher Res, Lauder, New Zealand.</t>
  </si>
  <si>
    <t>s.kremser@niwa.co.nz</t>
  </si>
  <si>
    <t>Salawitch, Ross/B-4605-2009; Schofield, Robyn/A-4062-2010; Canty, Tim/F-2631-2010; Chipperfield, Martyn/H-6359-2013; Bodeker, Greg E/A-8870-2008; FENG, WUHU/B-8327-2008; Rex, Markus/A-6054-2009</t>
  </si>
  <si>
    <t>Schofield, Robyn/0000-0002-4230-717X; Canty, Tim/0000-0003-0618-056X; Chipperfield, Martyn/0000-0002-6803-4149; FENG, WUHU/0000-0002-9907-9120; Rex, Markus/0000-0001-7847-8221; Frieler, Katja/0000-0003-4869-3013; Bodeker, Gregory/0000-0003-1094-5852; /0000-0002-3573-7083</t>
  </si>
  <si>
    <t>NASA [NNX09AF40G]; European Union (EU) [MIF1-CT-2006-039646]; NERC NCAS; German Academic Exchange Service (DAAD); Natural Environment Research Council [ncas10009] Funding Source: researchfish; NASA [118341, NNX09AF40G] Funding Source: Federal RePORTER</t>
  </si>
  <si>
    <t>NASA(National Aeronautics &amp; Space Administration (NASA)); European Union (EU)(European Union (EU)CGIAR); NERC NCAS(UK Research &amp; Innovation (UKRI)Natural Environment Research Council (NERC)); German Academic Exchange Service (DAAD)(Deutscher Akademischer Austausch Dienst (DAAD)); Natural Environment Research Council(UK Research &amp; Innovation (UKRI)Natural Environment Research Council (NERC)); NASA(National Aeronautics &amp; Space Administration (NASA))</t>
  </si>
  <si>
    <t>We thank Alan Parrish for his significant input in both the development of the ClO microwave radiometer and the initiation of the ground-based measurement program. We thank S. Wood, M. Kotkamp and Antarctica New Zealand for their help in maintaining the ClO microwave radiometer and their help in obtaining the ClO measurements. The ground-based measurement program is funded by NASA, grant NNX09AF40G. R. Schofield was funded by European Union (EU) project WaVES (MIF1-CT-2006-039646). The participation of R. Salawitch and T. Canty was supported by the NASA Aura and ACMAP programs. The SLIMCAT modelling work at Leeds was supported by NERC NCAS and the EU GEOMON project. S. Kremser thanks the German Academic Exchange Service (DAAD) for their support throughout the Doktorandenstipendium, which allowed this work to be conducted. We would like to thank Marc von Hobe and one anonymous reviewer for valuable comments and suggestions that contributed to a much improved manuscript following initial submission.</t>
  </si>
  <si>
    <t>10.5194/acp-11-5183-2011</t>
  </si>
  <si>
    <t>777PT</t>
  </si>
  <si>
    <t>WOS:000291636400005</t>
  </si>
  <si>
    <t>Hara, K; Osada, K; Nishita-Hara, C; Yamanouchi, T</t>
  </si>
  <si>
    <t>Hara, K.; Osada, K.; Nishita-Hara, C.; Yamanouchi, T.</t>
  </si>
  <si>
    <t>Seasonal variations and vertical features of aerosol particles in the Antarctic troposphere</t>
  </si>
  <si>
    <t>SEA-SALT SULFATE; DURVILLE COASTAL ANTARCTICA; NUMBER SIZE DISTRIBUTIONS; METHANE SULFONIC-ACID; ATMOSPHERIC DIMETHYLSULFIDE; FORMATION EVENTS; BOUNDARY-LAYER; SYOWA STATION; ICE CORES; SULFUR</t>
  </si>
  <si>
    <t>Tethered balloon-borne aerosol measurements were conducted at Syowa Station, Antarctica during the 46th Japanese Antarctic expedition (2005-2006). The CN concentration reached a maximum in the summer, although the number concentrations of fine particles (D-p &gt; 0.3 mu m) and coarse particles (D-p &gt; 2.0 mu m) increased during the winter-spring. The CN concentration was 30-2200 cm(-3) near the surface (surface - 500 m) and 7-7250 cm(-3) in the lower free troposphere (&gt; 1500 m). During the austral summer, higher CN concentration was often observed in the lower free troposphere, where the number concentrations in fine and coarse modes were remarkably lower. The frequent appearance of higher CN concentrations in the free troposphere relative to continuous aerosol measurements at the ground strongly suggests that new particle formation is more likely to occur in the lower free troposphere in Antarctic regions. Seasonal variations of size distribution of fine-coarse particles show that the contribution of the coarse mode was greater in the winter-spring than in summer because of the dominance of sea-salt particles in the winter-spring. The number concentrations of fine and coarse particles were high in air masses from the ocean and mid-latitudes. Particularly, aerosol enhancement was observed not only in the boundary layer, but also in the lower free troposphere during and immediately after Antarctic haze events occurring in May, July and September.</t>
  </si>
  <si>
    <t>[Hara, K.; Yamanouchi, T.] Natl Inst Polar Res, Tokyo, Japan; [Osada, K.; Nishita-Hara, C.] Nagoya Univ, Grad Sch Environm Studies, Nagoya, Aichi 4648601, Japan</t>
  </si>
  <si>
    <t>Research Organization of Information &amp; Systems (ROIS); National Institute of Polar Research (NIPR) - Japan; Nagoya University</t>
  </si>
  <si>
    <t>Grants-in-Aid for Scientific Research [21310014, 22310013] Funding Source: KAKEN</t>
  </si>
  <si>
    <t>10.5194/acp-11-5471-2011</t>
  </si>
  <si>
    <t>WOS:000291636400022</t>
  </si>
  <si>
    <t>Jones, AE; Wolff, EW; Ames, D; Bauguitte, SJB; Clemitshaw, KC; Fleming, Z; Mills, GP; Saiz-Lopez, A; Salmon, RA; Sturges, WT; Worton, DR</t>
  </si>
  <si>
    <t>Jones, A. E.; Wolff, E. W.; Ames, D.; Bauguitte, S. J. -B.; Clemitshaw, K. C.; Fleming, Z.; Mills, G. P.; Saiz-Lopez, A.; Salmon, R. A.; Sturges, W. T.; Worton, D. R.</t>
  </si>
  <si>
    <t>The multi-seasonal NOy budget in coastal Antarctica and its link with surface snow and ice core nitrate: results from the CHABLIS campaign</t>
  </si>
  <si>
    <t>ABSORPTION CROSS-SECTIONS; GAS-PHASE REACTIONS; NITROUS-ACID HONO; ALKYL NITRATES; BOUNDARY-LAYER; SOUTH-POLE; ATMOSPHERIC CHEMISTRY; PHOTOCHEMICAL PRODUCTION; NONMETHANE HYDROCARBONS; NEUMAYER-STATION</t>
  </si>
  <si>
    <t>Measurements of a suite of individual NOy components were carried out at Halley station in coastal Antarctica as part of the CHABLIS campaign (Chemistry of the Antarctic Boundary Layer and the Interface with Snow). Conincident measurements cover over half a year, from austral winter 2004 through to austral summer 2005. Results show clear dominance of organic NOy compounds (PAN and MeONO2) during the winter months, with low concentrations of inorganic NOy. During summer, concentrations of inorganic NOy compounds are considerably greater, while those of organic compounds, although lower than in winter, are nonetheless significant. The relative concentrations of the alkyl nitrates, as well as their seasonality, are consistent with an oceanic source. Multi-seasonal measurements of surface snow nitrate correlate strongly with inorganic NOy species (especially HNO3) rather than organic. One case study in August suggested that, on that occasion, particulate nitrate was the dominant source of nitrate to the snowpack, but this was not the consistent picture throughout the measurement period. An analysis of NOx production rates showed that emissions of NOx from the snowpack overwhelmingly dominate over gas-phase sources. This result suggests that, for certain periods in the past, the flux of NOx into the Antarctic boundary layer can be calculated from ice core nitrate data.</t>
  </si>
  <si>
    <t>[Jones, A. E.; Wolff, E. W.; Bauguitte, S. J. -B.; Salmon, R. A.] British Antarctic Survey, NERC, Cambridge CB3 0ET, England; [Ames, D.; Clemitshaw, K. C.; Fleming, Z.] Imperial Coll Sci Technol &amp; Med, Dept Environm Sci &amp; Technol, Ascot, Berks, England; [Mills, G. P.; Saiz-Lopez, A.; Sturges, W. T.; Worton, D. R.] Univ E Anglia, Sch Environm Sci, Norwich NR4 7TJ, Norfolk, England</t>
  </si>
  <si>
    <t>UK Research &amp; Innovation (UKRI); Natural Environment Research Council (NERC); NERC British Antarctic Survey; Imperial College London; University of East Anglia</t>
  </si>
  <si>
    <t>Jones, AE (corresponding author), British Antarctic Survey, NERC, Madingley Rd, Cambridge CB3 0ET, England.</t>
  </si>
  <si>
    <t>aejo@bas.ac.uk</t>
  </si>
  <si>
    <t>Sturges, William/B-8248-2012; Fleming, Zoe/AHB-1124-2022; Fleming, Zoë/AAU-8214-2020; Wolff, Eric W/D-7925-2014; Saiz-Lopez, Alfonso/B-3759-2015; Worton, David/A-8374-2012</t>
  </si>
  <si>
    <t>Fleming, Zoë/0000-0001-5732-1479; Wolff, Eric W/0000-0002-5914-8531; Saiz-Lopez, Alfonso/0000-0002-0060-1581; Worton, David/0000-0002-6558-5586</t>
  </si>
  <si>
    <t>Natural Environment Research Council Antarctic Funding Initiative [NER/G/S/2001/00010]; BAS; NERC [ncas10006, bas010016, bas0100024] Funding Source: UKRI; Natural Environment Research Council [bas010016, NER/G/S/2001/00010, bas0100024, ncas10006] Funding Source: researchfish</t>
  </si>
  <si>
    <t>Natural Environment Research Council Antarctic Funding Initiative(UK Research &amp; Innovation (UKRI)Natural Environment Research Council (NERC)); BAS; NERC(UK Research &amp; Innovation (UKRI)Natural Environment Research Council (NERC)); Natural Environment Research Council(UK Research &amp; Innovation (UKRI)Natural Environment Research Council (NERC))</t>
  </si>
  <si>
    <t>We gratefully acknowledge the assistance of the overwinterers at Halley research station who conducted the filter sampling for this work. The authors would like to thank Mat Evans for producing the CHABLIS data merger which was used as a source of data for some of the analyses presented here. We also thank Bill Bloss for providing us with the OH data used in Sect. 4. Finally, we are indebted to the Natural Environment Research Council Antarctic Funding Initiative for providing funding for this research under grant numbers NER/G/S/2001/00010, and the BAS core project CACHE-CEFAC.</t>
  </si>
  <si>
    <t>10.5194/acp-11-9271-2011</t>
  </si>
  <si>
    <t>819EW</t>
  </si>
  <si>
    <t>WOS:000294809200023</t>
  </si>
  <si>
    <t>Hurwitz, MM; Song, IS; Oman, LD; Newman, PA; Molod, AM; Frith, SM; Nielsen, JE</t>
  </si>
  <si>
    <t>Hurwitz, M. M.; Song, I. -S.; Oman, L. D.; Newman, P. A.; Molod, A. M.; Frith, S. M.; Nielsen, J. E.</t>
  </si>
  <si>
    <t>Response of the Antarctic stratosphere to warm pool El Nino Events in the GEOS CCM</t>
  </si>
  <si>
    <t>GRAVITY-WAVE DRAG; GENERAL-CIRCULATION; PARAMETERIZATION; CLIMATE; TEMPERATURE; WINTER; CONVECTION; ENSEMBLE</t>
  </si>
  <si>
    <t>The Goddard Earth Observing System Chemistry-Climate Model, Version 2 (GEOS V2 CCM) is used to investigate the response of the Antarctic stratosphere to (1) warm pool El Nino (WPEN) events and (2) the sensitivity of this response to the phase of the QBO. A new formulation of the GEOS V2 CCM includes an improved general circulation model and an internally generated quasi-biennial oscillation (QBO). Two 50-yr time-slice simulations are forced by repeating annual cycles of sea surface temperatures and sea ice concentrations composited from observed WPEN and neutral ENSO (ENSON) events. In these simulations, greenhouse gas and ozone-depleting substance concentrations represent the present-day climate. The modelled responses to WPEN, and to the phase of the QBO during WPEN, are compared with NASA's Modern Era Retrospective-Analysis for Research and Applications (MERRA) reanalysis. WPEN events enhance poleward tropospheric planetary wave activity in the central South Pacific region during austral spring, leading to relative warming of the Antarctic lower stratosphere in November/December. During the easterly phase of the QBO (QBO-E), the GEOS V2 CCM reproduces the observed 4-5K warming of the polar region at 50 hPa, in the WPEN simulation relative to ENSON. In the recent past, the response to WPEN events was sensitive to the phase of the QBO: the enhancement in planetary wave driving and the lower stratospheric warming signal were mainly associated with WPEN events coincident with QBO-E. In the GEOS V2 CCM, however, the Antarctic response to WPEN events is insensitive to the phase of the QBO: the modelled response is always easterly QBO-like. The QBO signal does not extend far enough into the lower stratosphere and upper troposphere to modulate convection and thus planetary wave activity in the south central Pacific.</t>
  </si>
  <si>
    <t>[Hurwitz, M. M.] NASA, Goddard Space Flight Ctr, Postdoctoral Program, Greenbelt, MD 20771 USA; [Song, I. -S.] Univ Maryland, Goddard Earth Sci &amp; Technol Ctr GEST, Baltimore, MD 21201 USA; [Molod, A. M.] Univ Maryland, Earth Syst Sci Interdisciplinary Ctr ESSIC, College Pk, MD 20742 USA; [Frith, S. M.; Nielsen, J. E.] Sci Syst &amp; Applicat Inc, Lanham, MD USA</t>
  </si>
  <si>
    <t>National Aeronautics &amp; Space Administration (NASA); NASA Goddard Space Flight Center; University System of Maryland; University of Maryland Baltimore; University System of Maryland; University of Maryland College Park; Science Systems and Applications Inc</t>
  </si>
  <si>
    <t>Hurwitz, MM (corresponding author), Morgan State Univ, NASA, Goddard Earth Sci Technol &amp; Res GESTAR, Baltimore, MD 21239 USA.</t>
  </si>
  <si>
    <t>margaret.m.hurwitz@nasa.gov</t>
  </si>
  <si>
    <t>Frith, Stacey/HMD-9437-2023; Molod, Andrea/J-8929-2018; Oman, Luke/C-2778-2009; Newman, Paul A./D-6208-2012</t>
  </si>
  <si>
    <t>Frith, Stacey/0000-0001-6894-0574; Oman, Luke/0000-0002-5487-2598; Newman, Paul A./0000-0003-1139-2508</t>
  </si>
  <si>
    <t>NASA; NASA at Goddard Space Flight Center</t>
  </si>
  <si>
    <t>NASA(National Aeronautics &amp; Space Administration (NASA)); NASA at Goddard Space Flight Center</t>
  </si>
  <si>
    <t>he authors thank Chaim Garfinkel for the Rossby wave source calculations, NASA's MAP program for funding, and two anonymous reviewers for their helpful comments. MMH acknowledges support from the NASA Postdoctoral Program at Goddard Space Flight Center, administered by Oak Ridge Associated Universities through a contract with NASA.</t>
  </si>
  <si>
    <t>10.5194/acp-11-9659-2011</t>
  </si>
  <si>
    <t>WOS:000295368700015</t>
  </si>
  <si>
    <t>France, JL; King, MD; Frey, MM; Erbland, J; Picard, G; Preunkert, S; MacArthur, A; Savarino, J</t>
  </si>
  <si>
    <t>France, J. L.; King, M. D.; Frey, M. M.; Erbland, J.; Picard, G.; Preunkert, S.; MacArthur, A.; Savarino, J.</t>
  </si>
  <si>
    <t>Snow optical properties at Dome C (Concordia), Antarctica; implications for snow emissions and snow chemistry of reactive nitrogen</t>
  </si>
  <si>
    <t>SOUTH-POLE; RADIATIVE-TRANSFER; QUANTUM YIELDS; SOLAR-RADIATION; SPECTRAL ALBEDO; NOX EMISSIONS; SURFACE-AREA; UV-RADIATION; ICE CORES; NITRATE</t>
  </si>
  <si>
    <t>Measurements of e-folding depth, nadir reflectivity and stratigraphy of the snowpack around Concordia station (Dome C, 75.10 degrees S, 123.31 degrees E) were undertaken to determine wavelength dependent coefficients (350 nm to 550 nm) for light scattering and absorption and to calculate potential fluxes (depth-integrated production rates) of nitrogen dioxide (NO2) from the snowpack due to nitrate photolysis within the snowpack. The stratigraphy of the top 80 cm of Dome C snowpack generally consists of three main layers:- a surface of soft windpack (not ubiquitous), a hard windpack, and a hoar-like layer beneath the windpack(s). The e-folding depths are similar to 10 cm for the two windpack layers and similar to 20 cm for the hoar-like layer for solar radiation at a wavelength of 400 nm; about a factor 2-4 larger than previous model estimates for South Pole. The absorption cross-section due to impurities in each snowpack layer are consistent with a combination of absorption due to black carbon and HULIS (HU-mic LIke Substances), with amounts of 1-2 ng g(-1) of black carbon for the surface snow layers. Depth-integrated photochemical production rates of NO2 in the Dome C snowpack were calculated as 5.3 x 10(12) molecules m(-2) s(-1), 2.3 x 10(12) molecules m(-2) s(-1) and 8 x 10(11) molecules m(-2) s(-1) for clear skies and solar zenith angles of 60 degrees, 70 degrees and 80 degrees respectively using the TUV-snow radiative-transfer model. Depending upon the snowpack stratigraphy, a minimum of 85% of the NO2 may originate from the top 20 cm of the Dome C snowpack. It is found that on a multi-annual time-scale photolysis can remove up to 80% of nitrate from surface snow, confirming independent isotopic evidence that photolysis is an important driver of nitrate loss occurring in the EAIS (East Antarctic Ice Sheet) snowpack. However, the model cannot completely account for the total observed nitrate loss of 90-95% or the shape of the observed nitrate concentration depth profile. A more complete model will need to include also physical processes such as evaporation, re-deposition or diffusion between the quasi-liquid layer on snow grains and firn air to account for the discrepancies.</t>
  </si>
  <si>
    <t>[France, J. L.; King, M. D.] Royal Holloway Univ London, Dept Earth Sci, Egham TW20 0EX, Surrey, England; [Frey, M. M.] British Antarctic Survey, Cambridge CB3 0ET, England; [Erbland, J.; Picard, G.; Preunkert, S.; Savarino, J.] UJF Grenoble 1, CNRS, Lab Glaciol &amp; Geophys Environm LGGE, UMR 5183, F-38041 Grenoble, France; [MacArthur, A.] Univ Edinburgh, Sch Geosci, Grant Inst, NERC Field Spect Facil, Edinburgh EH9 3JW, Midlothian, Scotland</t>
  </si>
  <si>
    <t>University of London; Royal Holloway University London; UK Research &amp; Innovation (UKRI); Natural Environment Research Council (NERC); NERC British Antarctic Survey; Centre National de la Recherche Scientifique (CNRS); Communaute Universite Grenoble Alpes; Universite Grenoble Alpes (UGA); University of Edinburgh; UK Research &amp; Innovation (UKRI); Natural Environment Research Council (NERC)</t>
  </si>
  <si>
    <t>King, MD (corresponding author), Royal Holloway Univ London, Dept Earth Sci, Egham TW20 0EX, Surrey, England.</t>
  </si>
  <si>
    <t>m.king@es.rhul.ac.uk</t>
  </si>
  <si>
    <t>Picard, Ghislain/D-4246-2013; Savarino, Joel/H-9730-2012; King, Martin/B-1308-2009; France, James/A-7885-2012; Frey, Markus/G-1756-2012; France, James/L-9719-2015</t>
  </si>
  <si>
    <t>Picard, Ghislain/0000-0003-1475-5853; Savarino, Joel/0000-0002-6708-9623; King, Martin/0000-0002-0089-7693; Frey, Markus/0000-0003-0535-0416; Erbland, Joseph/0000-0002-1186-1370; France, James/0000-0002-8785-1240</t>
  </si>
  <si>
    <t>NERC [NE/F0004796/1, NE/F010788, 555.0608, 584.0609]; ANR OPALE [NT09 451281]; INSU-LEFE; Royal Holloway Earth Sciences; IPEV [1011 NITEDC]; Natural Environment Research Council [bas0100024, NE/F004796/1] Funding Source: researchfish; NERC [bas0100024, NE/F004796/1] Funding Source: UKRI</t>
  </si>
  <si>
    <t>NERC(UK Research &amp; Innovation (UKRI)Natural Environment Research Council (NERC)); ANR OPALE(Agence Nationale de la Recherche (ANR)); INSU-LEFE; Royal Holloway Earth Sciences; IPEV; Natural Environment Research Council(UK Research &amp; Innovation (UKRI)Natural Environment Research Council (NERC)); NERC(UK Research &amp; Innovation (UKRI)Natural Environment Research Council (NERC))</t>
  </si>
  <si>
    <t>We would like to thank Institute Polaire Paul-Emile Victor (IPEV) for logistical support in the field and staff at Dome C for all the support and help with this project, this study was partly funded by the program IPEV 1011 NITEDC. JLF and MDK thank NERC for support through grants NE/F0004796/1 and NE/F010788. This study benefited from support by project ANR OPALE (contract NT09 451281) and INSU-LEFE. MDK and JLF thank NERC FSF for support and expertise through grants 555.0608 and 584.0609 and Royal Holloway Earth Sciences research strategy fund awards.</t>
  </si>
  <si>
    <t>10.5194/acp-11-9787-2011</t>
  </si>
  <si>
    <t>WOS:000295368700024</t>
  </si>
  <si>
    <t>Battle, MO; Severinghaus, JP; Sofen, ED; Plotkin, D; Orsi, AJ; Aydin, M; Montzka, SA; Sowers, T; Tans, PP</t>
  </si>
  <si>
    <t>Battle, M. O.; Severinghaus, J. P.; Sofen, E. D.; Plotkin, D.; Orsi, A. J.; Aydin, M.; Montzka, S. A.; Sowers, T.; Tans, P. P.</t>
  </si>
  <si>
    <t>Controls on the movement and composition of firn air at the West Antarctic Ice Sheet Divide</t>
  </si>
  <si>
    <t>ABRUPT CLIMATE-CHANGE; POLAR ICE; MOLECULAR-DIFFUSION; GAS CONCENTRATIONS; AGE; O-2; CO2; FRACTIONATION; CONVECTION; OXYGEN</t>
  </si>
  <si>
    <t>We sampled interstitial air from the perennial snowpack (firn) at a site near the West Antarctic Ice Sheet Divide (WAIS-D) and analyzed the air samples for a wide variety of gas species and their isotopes. We find limited convective influence (1.4-5.2 m, depending on detection method) in the shallow firn, gravitational enrichment of heavy species throughout the diffusive column in general agreement with theoretical expectations, a similar to 10 m thick lock-in zone beginning at similar to 67 m, and a total firn thickness consistent with predictions of Kaspers et al. (2004). Our modeling work shows that the air has an age spread (spectral width) of 4.8 yr for CO2 at the firn-ice transition. We also find that advection of firn air due to the 22 cm yr(-1) ice-equivalent accumulation rate has a minor impact on firn air composition, causing changes that are comparable to other modeling uncertainties and intrinsic sample variability. Furthermore, estimates of 1 age (the gas age/ice age difference) at WAIS-D appear to be largely unaffected by bubble closure above the lock-in zone. Within the lock-in zone, small gas species and their isotopes show evidence of size-dependent fractionation due to permeation through the ice lattice with a size threshold of 0.36 nm, as at other sites. We also see an unequivocal and unprecedented signal of oxygen isotope fractionation within the lock-in zone, which we interpret as the mass-dependent expression of a size-dependent fractionation process.</t>
  </si>
  <si>
    <t>[Battle, M. O.; Sofen, E. D.; Plotkin, D.] Bowdoin Coll, Dept Phys &amp; Astron, Brunswick, ME 04011 USA; [Severinghaus, J. P.; Orsi, A. J.] Univ Calif San Diego, Scripps Inst Oceanog, La Jolla, CA 92093 USA; [Aydin, M.] Univ Calif Irvine, Dept Earth Syst Sci, Irvine, CA 92697 USA; [Montzka, S. A.; Tans, P. P.] Natl Ocean &amp; Atmospher Adm, Global Monitoring Div, Earth Syst Res Lab, Boulder, CO 80305 USA; [Sowers, T.] Penn State Univ, Earth &amp; Environm Syst Inst, University Pk, PA 16802 USA</t>
  </si>
  <si>
    <t>Bowdoin College; University of California System; University of California San Diego; Scripps Institution of Oceanography; University of California System; University of California Irvine; National Oceanic Atmospheric Admin (NOAA) - USA; Pennsylvania Commonwealth System of Higher Education (PCSHE); Pennsylvania State University; Pennsylvania State University - University Park</t>
  </si>
  <si>
    <t>Battle, MO (corresponding author), Bowdoin Coll, Dept Phys &amp; Astron, 8800 Coll Stn, Brunswick, ME 04011 USA.</t>
  </si>
  <si>
    <t>mbattle@bowdoin.edu</t>
  </si>
  <si>
    <t>Tans, Pieter/AAG-8273-2019; montzka, stephen/V-6162-2019; Plotkin, David/M-3921-2013</t>
  </si>
  <si>
    <t>Tans, Pieter/0000-0002-9883-0787; montzka, stephen/0000-0002-9396-0400; Plotkin, David/0000-0002-8574-9111; Sofen, Eric/0000-0002-4495-2148</t>
  </si>
  <si>
    <t>NSF [0440602, 0440509, 0440701, 0739491, 0440759]; Directorate For Geosciences [0440602] Funding Source: National Science Foundation; Directorate For Geosciences; Office of Polar Programs (OPP) [0440759, 0440509, 0944584] Funding Source: National Science Foundation; Directorate For Geosciences; Office of Polar Programs (OPP) [0739491, 0440701] Funding Source: National Science Foundation; Office of Polar Programs (OPP) [0440602] Funding Source: National Science Foundation; Office Of The Director; Office Of Internatl Science &amp;Engineering [0968391] Funding Source: National Science Foundation</t>
  </si>
  <si>
    <t>NSF(National Science Foundation (NSF)); Directorate For Geosciences(National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 Office Of The Director; Office Of Internatl Science &amp;Engineering(National Science Foundation (NSF)NSF - Office of the Director (OD))</t>
  </si>
  <si>
    <t>We thank Lou Albershardt, Beth Bergeron, Terry Gacke, Jay Kyne and Mike Waszkiewics for their careful drilling of the holes. Markus Leuenberger graciously provided accommodations and helpful conversations while writing. The authors acknowledge NSF Antarctic Program support from the following grants: Aydin - 0440602, Battle - 0440509, Severinghaus - 0440701, Sowers - 0739491 and 0440759. Montzka thanks the Atmospheric Composition and Climate Program of NOAA's Climate Program Office.</t>
  </si>
  <si>
    <t>10.5194/acp-11-11007-2011</t>
  </si>
  <si>
    <t>847IZ</t>
  </si>
  <si>
    <t>WOS:000296967900016</t>
  </si>
  <si>
    <t>Weber, M; Dikty, S; Burrows, JP; Garny, H; Dameris, M; Kubin, A; Abalichin, J; Langematz, U</t>
  </si>
  <si>
    <t>Weber, M.; Dikty, S.; Burrows, J. P.; Garny, H.; Dameris, M.; Kubin, A.; Abalichin, J.; Langematz, U.</t>
  </si>
  <si>
    <t>The Brewer-Dobson circulation and total ozone from seasonal to decadal time scales</t>
  </si>
  <si>
    <t>ATMOSPHERIC CHEMISTRY; MIDDLE ATMOSPHERE; STRATOSPHERIC CIRCULATION; INTERANNUAL VARIATIONS; GOME OBSERVATIONS; ANTARCTIC WINTER; DOWNWARD CONTROL; HIGH-LATITUDES; DOUBLED CO2; SOLAR-CYCLE</t>
  </si>
  <si>
    <t>The effect of the winter Brewer-Dobson circulation (BDC) on the seasonal and decadal evolution of total ozone in both hemispheres is investigated using satellite total ozone data from the merged GOME/SCIAMACHY/GOME-2 (GSG) data set (19952010) and outputs from two chemistry-climate models (CCM), the FUB-EMAC and DLR-E39C-A models. Combining data from both hemispheres a linear relationship between the winter average extratropical 100 hPa eddy heat flux and the ozone ratio with respect to fall ozone levels exists and is statistically significant for tropical as well as polar ozone. The high correlation at high latitudes persists well into the summer months until the onset of the next winter season. The anti-correlation of the cumulative eddy heat flux with tropical ozone ratios, however, breaks down in spring as the polar vortex erodes and changes to a weak positive correlation similar to that observed at high latitudes. The inter-annual variability and decadal evolution of ozone in each hemisphere in winter, spring, and summer are therefore driven by the cumulative effect of the previous winter's meridional circulation. This compact linear relationship is also found in both CCMs used in this study indicating that current models realistically describe the variability in stratospheric circulation and its effect on total ozone. Both models show a positive trend in the winter mean eddy heat flux (and winter BDC strength) in both hemispheres until year 2050, however the inter-annual variability (peak-to-peak) is two to three times larger than the mean change between 1960 and 2050. It is, nevertheless, possible to detect a shift in this compact linear relationship related to past and future changes in the stratospheric halogen load. Using the SBUV/TOMS/OMI (MOD V8) merged data set (1980-2010), it can be shown that from the decade 1990-1999 to 2000-2010 this linear relationship remained unchanged (before and after the turnaround in the stratospheric halogen load), while a shift is evident between 1980-1989 (upward trend in stratospheric halogen) and the 1990s, which is a clear sign that an onset of recovery is detectable despite the large variability in polar ozone. Because of the large variability from year to year in the BDC circulation substantial polar ozone depletion may still occur in coming decades in selected winters with weak BDC and very low polar stratospheric temperatures.</t>
  </si>
  <si>
    <t>[Weber, M.; Dikty, S.; Burrows, J. P.] Univ Bremen FB1, Inst Umweltphys, Bremen, Germany; [Garny, H.; Dameris, M.] Deutsch Zentrum Luft &amp; Raumfahrt eV, Inst Atmosphare, Oberpfaffenhofen, Germany; [Kubin, A.; Abalichin, J.; Langematz, U.] Free Univ Berlin, Inst Meteorol, D-1000 Berlin, Germany</t>
  </si>
  <si>
    <t>University of Bremen; Helmholtz Association; German Aerospace Centre (DLR); Free University of Berlin</t>
  </si>
  <si>
    <t>Weber, M (corresponding author), Univ Bremen FB1, Inst Umweltphys, Bremen, Germany.</t>
  </si>
  <si>
    <t>weber@uni-bremen.de</t>
  </si>
  <si>
    <t>Burrows, John Philip/AAF-8468-2019; Weber, Mark/F-1409-2011</t>
  </si>
  <si>
    <t>Burrows, John Philip/0000-0002-6821-5580; Weber, Mark/0000-0001-8217-5450; Garny, Hella/0000-0003-4960-2304; Dameris, Martin/0000-0001-6700-0628</t>
  </si>
  <si>
    <t>DFG Research Unit [FOR 1095]; SHARP-OCF [Geschaftszeichen BU 688/22-1]; SHARP-BDC [Geschaftszeichen DA 233/3-1, LA 1025/13-1]; State of Bremen; EMAC-FUB CCM</t>
  </si>
  <si>
    <t>DFG Research Unit(German Research Foundation (DFG)); SHARP-OCF; SHARP-BDC; State of Bremen; EMAC-FUB CCM</t>
  </si>
  <si>
    <t>This work was supported by the DFG Research Unit FOR 1095 Stratospheric Change and its Role for Climate Prediction (SHARP) and the SHARP-OCF Project, Geschaftszeichen BU 688/22-1, and SHARP-BDC, Geschaftszeichen DA 233/3-1 and LA 1025/13-1. Part of this work was also funded by the State of Bremen. ECMWF reanalysis data has been provided by the ECMWF Special Project DECDIO. FUB would like to thank Patrick Jockel (DLR) for helpful advice and support with the EMAC-FUB CCM.</t>
  </si>
  <si>
    <t>10.5194/acp-11-11221-2011</t>
  </si>
  <si>
    <t>gold, Green Accepted, Green Submitted</t>
  </si>
  <si>
    <t>WOS:000296967900028</t>
  </si>
  <si>
    <t>Bageston, JV; Wrasse, CM; Batista, PP; Hibbins, RE; Fritts, DC; Gobbi, D; Andrioli, VF</t>
  </si>
  <si>
    <t>Bageston, J. V.; Wrasse, C. M.; Batista, P. P.; Hibbins, R. E.; Fritts, D. C.; Gobbi, D.; Andrioli, V. F.</t>
  </si>
  <si>
    <t>Observation of a mesospheric front in a thermal-doppler duct over King George Island, Antarctica</t>
  </si>
  <si>
    <t>AIRGLOW EMISSIONS; GRAVITY-WAVES; BORE EVENT; OH; CLIMATOLOGY; STATION; REGION; TIDES</t>
  </si>
  <si>
    <t>A mesospheric front was observed with an all-sky airglow imager on the night of 9-10 July 2007 at Ferraz Station (62 degrees S, 58 degrees W), located on King George island on the Antarctic Peninsula. The observed wave propagated from southwest to northeast with a well defined wave front and a series of crests behind the main front. The wave parameters were obtained via a 2-D Fourier transform of the imager data providing a horizontal wavelength of 33 km, an observed period of 6 min, and a horizontal phase speed of 92ms(-1). Simultaneous mesospheric winds were measured with a medium frequency (MF) radar at Rothera Station (68 degrees S, 68 degrees W) and temperature profiles were obtained from the SABER instrument on the TIMED satellite. These wind and temperature profiles were used to estimate the propagation environment of the wave event. A wavelet technique was applied to the wind in the plane of wave propagation at the OH emission height spanning three days centered on the front event to define the dominant periodicities. Results revealed a dominance of near-inertial periods, and semi-diurnal and terdiurnal tides suggesting that the ducting structure enabling mesospheric front propagation occurred on large spatial scales. The observed tidal motions were used to reconstruct the winds employing a least-squares method, which were then compared to the observed ducting environment. Results suggest an important contribution of large-scale winds to the ducting structure, but with buoyancy frequency variations in the vertical also expected to be important. These results allow us to conclude that the wave front event was supported by a duct including contributions from both winds and temperature.</t>
  </si>
  <si>
    <t>[Bageston, J. V.; Batista, P. P.; Gobbi, D.; Andrioli, V. F.] Inst Nacl Pesquisas Espaciais, BR-12201 Sao Jose Dos Campos, Brazil; [Wrasse, C. M.] VSE, Sao Jose Dos Campos, Brazil; [Hibbins, R. E.] Norwegian Univ Sci &amp; Technol, N-7034 Trondheim, Norway; [Hibbins, R. E.] British Antarctic Survey, Cambridge CB3 0ET, England; [Fritts, D. C.] Colorado Res Associates CoRA, Boulder, CO USA</t>
  </si>
  <si>
    <t>Instituto Nacional de Pesquisas Espaciais (INPE); Norwegian University of Science &amp; Technology (NTNU); UK Research &amp; Innovation (UKRI); Natural Environment Research Council (NERC); NERC British Antarctic Survey</t>
  </si>
  <si>
    <t>Bageston, JV (corresponding author), Inst Nacl Pesquisas Espaciais, BR-12201 Sao Jose Dos Campos, Brazil.</t>
  </si>
  <si>
    <t>Andrioli, Vania F/C-9976-2012; BATISTA, PAULO PRADO/C-2616-2009; Wrasse, Cristiano Max/U-6351-2017; Wrasse, Cristiano C. M./N-6556-2013; Wrasse, Cristiano Max/HRA-3982-2023; Bageston, Jose Valentin/F-1269-2018; Gobbi, Delano/J-2380-2018</t>
  </si>
  <si>
    <t>BATISTA, PAULO PRADO/0000-0002-5448-5803; Wrasse, Cristiano Max/0000-0001-8026-3625; Hibbins, Robert/0000-0002-6867-2255; Bageston, Jose V/0000-0003-2931-8488; Gobbi, Delano/0000-0002-8260-1007; Andrioli, Vania Fatima/0000-0001-9065-2122</t>
  </si>
  <si>
    <t>FAPESP [2010/06608-2]; CNPq [151593/2009-4, 304277/2008-8]; FAPERJ [E-26/170.023/2008]; Proantar/MCT/CNPq; National Science Foundation [OPP-0839084]; UK Natural Environment Research Council; NERC [bas0100023] Funding Source: UKRI; Natural Environment Research Council [bas0100023] Funding Source: researchfish; Fundacao de Amparo a Pesquisa do Estado de Sao Paulo (FAPESP) [10/06608-2] Funding Source: FAPESP; Directorate For Geosciences; Office of Polar Programs (OPP) [0839084] Funding Source: National Science Foundation</t>
  </si>
  <si>
    <t>FAPESP(Fundacao de Amparo a Pesquisa do Estado de Sao Paulo (FAPESP)); CNPq(Conselho Nacional de Desenvolvimento Cientifico e Tecnologico (CNPQ)); FAPERJ(Fundacao Carlos Chagas Filho de Amparo a Pesquisa do Estado do Rio De Janeiro (FAPERJ)); Proantar/MCT/CNPq; National Science Foundation(National Science Foundation (NSF));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 Fundacao de Amparo a Pesquisa do Estado de Sao Paulo (FAPESP)(Fundacao de Amparo a Pesquisa do Estado de Sao Paulo (FAPESP)); Directorate For Geosciences; Office of Polar Programs (OPP)(National Science Foundation (NSF)NSF - Directorate for Geosciences (GEO))</t>
  </si>
  <si>
    <t>The present research was supported by FAPESP under the grant no 2010/06608-2, and partially by CNPq (grant no. 151593/2009-4). Also, this work combines results of the INCT-APA (CNPq process no. 574018/2008-5, FAPERJ process no. E-26/170.023/2008) in the project Study of the Mesosphere, Stratosphere and Troposphere over Antarctica and its connections with the Southern America (ATMANTAR), under process no. 52.0182/2006-5, Proantar/MCT/CNPq. The authors thank the Secretariat of the Interministerial Commission for the Resources of the Sea (SECIRM). Support for the Rothera MF radar was jointly supported by National Science Foundation grant OPP-0839084 and by the UK Natural Environment Research Council. We also thank the TIMED/SABER team, especially M. G. Mlynczak and J. M. Russell, for providing SABER data and J. Fechine for processing these SABER data. Wavelet software used in the present work was provided by C. Torrence and G. Compo and is available at http://paos.colorado.edu/research/wavelets/. C. M. Wrasse thanks CNPq for the support under the grant no. 304277/2008-8.</t>
  </si>
  <si>
    <t>10.5194/acp-11-12137-2011</t>
  </si>
  <si>
    <t>863AD</t>
  </si>
  <si>
    <t>WOS:000298134300014</t>
  </si>
  <si>
    <t>Grooss, JU; Brautzsch, K; Pommrich, R; Solomon, S; Müller, R</t>
  </si>
  <si>
    <t>Grooss, J. -U.; Brautzsch, K.; Pommrich, R.; Solomon, S.; Mueller, R.</t>
  </si>
  <si>
    <t>Stratospheric ozone chemistry in the Antarctic: what determines the lowest ozone values reached and their recovery?</t>
  </si>
  <si>
    <t>SULFURIC-ACID; HCL; DEPLETION; CLONO2; IMPACT; TROPOSPHERE; SIMULATION; RADIATION; CHLORINE; MODEL</t>
  </si>
  <si>
    <t>Balloon-borne observations of ozone from the South Pole Station have been reported to reach ozone mixing ratios below the detection limit of about 10 ppbv at the 70 hPa level by late September. After reaching a minimum, ozone mixing ratios increase to above 1 ppmv on the 70 hPa level by late December. While the basic mechanisms causing the ozone hole have been known for more than 20 yr, the detailed chemical processes determining how low the local concentration can fall, and how it recovers from the minimum have not been explored so far. Both of these aspects are investigated here by analysing results from the Chemical Lagrangian Model of the Stratosphere (CLaMS). As ozone falls below about 0.5 ppmv, a balance is maintained by gas phase production of both HCl and HOCl followed by heterogeneous reaction between these two compounds in these simulations. Thereafter, a very rapid, irreversible chlorine deactivation into HCl can occur, either when ozone drops to values low enough for gas phase HCl production to exceed chlorine activation processes or when temperatures increase above the polar stratospheric cloud (PSC) threshold. As a consequence, the timing and mixing ratio of the minimum ozone depends sensitively on model parameters, including the ozone initialisation. The subsequent ozone increase between October and December is linked mainly to photochemical ozone production, caused by oxygen photolysis and by the oxidation of carbon monoxide and methane.</t>
  </si>
  <si>
    <t>[Grooss, J. -U.; Brautzsch, K.; Pommrich, R.; Mueller, R.] Forschungszentrum Julich, Inst Energie &amp; Klimaforsch Stratosphare IEK 7, D-52425 Julich, Germany; [Pommrich, R.] Univ Toulouse, Lab Aerol, CNRS INSU, Toulouse, France; [Pommrich, R.] CNRM GAME, Grp Etud Atmosphere Meteorol, Toulouse, France; [Solomon, S.] Univ Colorado, Dept Atmospher &amp; Ocean Sci, Boulder, CO 80309 USA</t>
  </si>
  <si>
    <t>Helmholtz Association; Research Center Julich; Universite de Toulouse; Universite Toulouse III - Paul Sabatier; Centre National de la Recherche Scientifique (CNRS); CNRS - National Institute for Earth Sciences &amp; Astronomy (INSU); Centre National de la Recherche Scientifique (CNRS); University of Colorado System; University of Colorado Boulder</t>
  </si>
  <si>
    <t>Grooss, JU (corresponding author), Forschungszentrum Julich, Inst Energie &amp; Klimaforsch Stratosphare IEK 7, D-52425 Julich, Germany.</t>
  </si>
  <si>
    <t>j.-u.grooss@fz-juelich.de</t>
  </si>
  <si>
    <t>Grooß, Jens-Uwe/A-7315-2013; Müller, Rolf/ABA-8213-2021; Grooß, Jens-Uwe/N-3305-2019</t>
  </si>
  <si>
    <t>Grooß, Jens-Uwe/0000-0002-9485-866X; Müller, Rolf/0000-0002-5024-9977; Grooß, Jens-Uwe/0000-0002-9485-866X</t>
  </si>
  <si>
    <t>RECONCILE of the European Commission [RECONCILE-226365-FP7-ENV-2008-1]</t>
  </si>
  <si>
    <t>RECONCILE of the European Commission</t>
  </si>
  <si>
    <t>We thank Herman Smit and Peter von der Gathen for helpful discussions on the detection limits of ozone sondes. This work was supported by the RECONCILE project of the European Commission Seventh Framework Programme (FP7) under the Grant number RECONCILE-226365-FP7-ENV-2008-1.</t>
  </si>
  <si>
    <t>10.5194/acp-11-12217-2011</t>
  </si>
  <si>
    <t>WOS:000298134300019</t>
  </si>
  <si>
    <t>Hansen, J; Sato, M; Kharecha, P; von Schuckmann, K</t>
  </si>
  <si>
    <t>Hansen, J.; Sato, M.; Kharecha, P.; von Schuckmann, K.</t>
  </si>
  <si>
    <t>Earth's energy imbalance and implications</t>
  </si>
  <si>
    <t>SEA-LEVEL RISE; UPPER-OCEAN TEMPERATURE; GALACTIC COSMIC-RAYS; CLIMATE SENSITIVITY; SOLAR IRRADIANCE; GREENHOUSE-GAS; IN-SITU; MODEL; HEAT; AEROSOLS</t>
  </si>
  <si>
    <t>Improving observations of ocean heat content show that Earth is absorbing more energy from the Sun than it is radiating to space as heat, even during the recent solar minimum. The inferred planetary energy imbalance, 0.58 +/- 0.15Wm(-2) during the 6-yr period 2005-2010, confirms the dominant role of the human-made greenhouse effect in driving global climate change. Observed surface temperature change and ocean heat gain together constrain the net climate forcing and ocean mixing rates. We conclude that most climate models mix heat too efficiently into the deep ocean and as a result underestimate the negative forcing by human-made aerosols. Aerosol climate forcing today is inferred to be -1.6 +/- 0.3Wm(-2), implying substantial aerosol indirect climate forcing via cloud changes. Continued failure to quantify the specific origins of this large forcing is untenable, as knowledge of changing aerosol effects is needed to understand future climate change. We conclude that recent slowdown of ocean heat uptake was caused by a delayed rebound effect from Mount Pinatubo aerosols and a deep prolonged solar minimum. Observed sea level rise during the Argo float era is readily accounted for by ice melt and ocean thermal expansion, but the ascendency of ice melt leads us to anticipate acceleration of the rate of sea level rise this decade.</t>
  </si>
  <si>
    <t>[Hansen, J.; Sato, M.; Kharecha, P.] NASA, Goddard Inst Space Studies, New York, NY 10025 USA; [Hansen, J.; Sato, M.; Kharecha, P.] Columbia Univ, Earth Inst, New York, NY 10027 USA; [von Schuckmann, K.] LOCEAN Paris, Ctr Natl Rech Sci, Brest, France</t>
  </si>
  <si>
    <t>National Aeronautics &amp; Space Administration (NASA); NASA Goddard Space Flight Center; Goddard Institute for Space Studies; Columbia University; Centre National de la Recherche Scientifique (CNRS)</t>
  </si>
  <si>
    <t>Hansen, J (corresponding author), NASA, Goddard Inst Space Studies, New York, NY 10025 USA.</t>
  </si>
  <si>
    <t>james.e.hansen@nasa.gov</t>
  </si>
  <si>
    <t>von Schuckmann, Karina/AAZ-8897-2021</t>
  </si>
  <si>
    <t>von Schuckmann, Karina/0000-0002-9922-8528</t>
  </si>
  <si>
    <t>NASA; ClimateWorks; Lenfest Foundation; Rockefeller Family Fund; European Commission</t>
  </si>
  <si>
    <t>NASA(National Aeronautics &amp; Space Administration (NASA)); ClimateWorks; Lenfest Foundation; Rockefeller Family Fund; European Commission(European Union (EU)European Commission Joint Research Centre)</t>
  </si>
  <si>
    <t>We thank two anonymous referees for many helpful suggestions, Gokhan Danabasoglu, Tom Delworth, and Jonathan Gregory for providing data and papers defining responses of the NCAR, GFDL and Hadley climate models, Greg Johnson, John Lyman and Sarah Purkey for providing ocean heat data and preprints of their papers, Sarah Purkey for computing the sea level rise due to Southern Ocean warming excluding overlap with Argo data, Catia Domingues for illuminating information, Norm Loeb for references and discussion on satellite radiation budget measurements, Eric Rignot for providing data on Greenland and Antarctic ice sheet mass balance, and Robert Gibson, Wayne Hamilton, John Marshall, Don McKensie, Gregory Monahan, Tim Palmer, Bill Rossow, Ken Schatten, Gavin Schmidt, Steve Schwartz and Michael Wright for comments on a draft of this paper. Research support was provided by NASA managers Jack Kaye and David Considine, ClimateWorks, Lenfest Foundation, and the Rockefeller Family Fund. KvS work is partly supported by the MyOcean FP7 project (European Commission).</t>
  </si>
  <si>
    <t>10.5194/acp-11-13421-2011</t>
  </si>
  <si>
    <t>WOS:000298667600048</t>
  </si>
  <si>
    <t>Smirnov, A; Holben, BN; Giles, DM; Slutsker, I; O'Neill, NT; Eck, TF; Macke, A; Croot, P; Courcoux, Y; Sakerin, SM; Smyth, TJ; Zielinski, T; Zibordi, G; Goes, JI; Harvey, MJ; Quinn, PK; Nelson, NB; Radionov, VF; Duarte, CM; Losno, R; Sciare, J; Voss, KJ; Kinne, S; Nalli, NR; Joseph, E; Moorthy, KK; Covert, DS; Gulev, SK; Milinevsky, G; Larouche, P; Belanger, S; Horne, E; Chin, M; Remer, LA; Kahn, RA; Reid, JS; Schulz, M; Heald, CL; Zhang, J; Lapina, K; Kleidman, RG; Griesfeller, J; Gaitley, BJ; Tan, Q; Diehl, TL</t>
  </si>
  <si>
    <t>Smirnov, A.; Holben, B. N.; Giles, D. M.; Slutsker, I.; O'Neill, N. T.; Eck, T. F.; Macke, A.; Croot, P.; Courcoux, Y.; Sakerin, S. M.; Smyth, T. J.; Zielinski, T.; Zibordi, G.; Goes, J. I.; Harvey, M. J.; Quinn, P. K.; Nelson, N. B.; Radionov, V. F.; Duarte, C. M.; Losno, R.; Sciare, J.; Voss, K. J.; Kinne, S.; Nalli, N. R.; Joseph, E.; Moorthy, K. Krishna; Covert, D. S.; Gulev, S. K.; Milinevsky, G.; Larouche, P.; Belanger, S.; Horne, E.; Chin, M.; Remer, L. A.; Kahn, R. A.; Reid, J. S.; Schulz, M.; Heald, C. L.; Zhang, J.; Lapina, K.; Kleidman, R. G.; Griesfeller, J.; Gaitley, B. J.; Tan, Q.; Diehl, T. L.</t>
  </si>
  <si>
    <t>Maritime aerosol network as a component of AERONET - first results and comparison with global aerosol models and satellite retrievals</t>
  </si>
  <si>
    <t>SUN PHOTOMETER MEASUREMENTS; OPTICAL DEPTH; SEA-SALT; GOCART MODEL; AEROCOM; MODIS; PREINDUSTRIAL; ASSIMILATION; THICKNESS; OCEAN</t>
  </si>
  <si>
    <t>The Maritime Aerosol Network (MAN) has been collecting data over the oceans since November 2006. Over 80 cruises were completed through early 2010 with deployments continuing. Measurement areas included various parts of the Atlantic Ocean, the Northern and Southern Pacific Ocean, the South Indian Ocean, the Southern Ocean, the Arctic Ocean and inland seas. MAN deploys Microtops hand-held sunphotometers and utilizes a calibration procedure and data processing traceable to AERONET. Data collection included areas that previously had no aerosol optical depth (AOD) coverage at all, particularly vast areas of the Southern Ocean. The MAN data archive provides a valuable resource for aerosol studies in maritime environments. In the current paper we present results of AOD measurements over the oceans, and make a comparison with satellite AOD retrievals and model simulations.</t>
  </si>
  <si>
    <t>[Smirnov, A.; Giles, D. M.; Slutsker, I.] Sigma Space Corp, Lanham, MD 20706 USA; [Smirnov, A.; Holben, B. N.; Giles, D. M.; Slutsker, I.; Eck, T. F.] NASA, Goddard Space Flight Ctr, Biospher Sci Branch, Greenbelt, MD 20771 USA; [O'Neill, N. T.] Univ Sherbrooke, CARTEL, Sherbrooke, PQ J1K 2R1, Canada; [Eck, T. F.; Tan, Q.; Diehl, T. L.] Univ Maryland Baltimore Cty, Goddard Earth Sci &amp; Technol Ctr, Baltimore, MD 21228 USA; [Macke, A.] Leibniz Inst Tropospher Res, Leipzig, Germany; [Croot, P.] Univ Kiel IFM GEOMAR, Leibniz Inst Marine Sci, Kiel, Germany; [Courcoux, Y.] Univ Reunion, OPAR, St Denis, Reunion, France; [Sakerin, S. M.] Russian Acad Sci, Inst Atmospher Opt, Siberian Branch, Tomsk, Russia; [Smyth, T. J.] Plymouth Marine Lab, Plymouth, Devon, England; [Zielinski, T.] Polish Acad Sci, Inst Oceanol, Sopot, Poland; [Zibordi, G.] Commiss European Communities, Joint Res Ctr, Inst Environm &amp; Sustainabil, I-21020 Ispra, Italy; [Goes, J. I.] Bigelow Lab Ocean Sci, W Boothbay Harbor, ME USA; [Harvey, M. J.] Natl Inst Water &amp; Atmospher Res, Wellington, New Zealand; [Quinn, P. K.] NOAA, Pacific Marine Environm Lab, Seattle, WA 98115 USA; [Nelson, N. B.] Univ Calif Santa Barbara, Inst Computat Earth Syst Sci, Santa Barbara, CA 93106 USA; [Radionov, V. F.] Arctic &amp; Antarctic Res Inst, St Petersburg 199226, Russia; [Duarte, C. M.] IMEDEA CSIC UIB, Inst Mediterraneo Estudios Avanzados, Esporles, Mallorca, Spain; [Losno, R.] Univ Paris 07, Lab Interuniv Syst Atmospher, Creteil, France; [Losno, R.] Univ Paris 12, Creteil, France; [Sciare, J.; Schulz, M.] Lab Sci Climat &amp; Environm, Gif Sur Yvette, France; [Voss, K. J.] Univ Miami, Dept Phys, Coral Gables, FL 33124 USA; [Kinne, S.] Univ Hamburg, Inst Meteorol, D-2000 Hamburg, Germany; [Nalli, N. R.] NOAA NESDIS Ctr Satellite Applicat &amp; Res STAR, Camp Springs, MD USA; [Joseph, E.] Howard Univ, Dept Phys &amp; Astron, Washington, DC 20059 USA; [Moorthy, K. Krishna] Vikram Sarabhai Space Ctr, Space Phys Lab, Trivandrum 695022, Kerala, India; [Covert, D. S.] Univ Washington, Dept Atmospher Sci, Seattle, WA 98195 USA; [Gulev, S. K.] Russian Acad Sci, PP Shirshov Oceanol Inst, Moscow, Russia; [Milinevsky, G.] Taras Shevchenko Natl Univ Kyiv, Space Phys Lab, Kiev, Ukraine; [Larouche, P.] Inst Maurice Lamontagne, Mont Joli, PQ, Canada; [Belanger, S.] Univ Quebec, Dept Biol Chim &amp; Geog, Rimouski, PQ G5L 3A1, Canada; [Horne, E.] Bedford Inst Oceanog, Bedford, NS, Canada; [Chin, M.; Tan, Q.; Diehl, T. L.] NASA, Goddard Space Flight Ctr, Atmospher Chem &amp; Dynam Branch, Greenbelt, MD 20771 USA; [Remer, L. A.; Kleidman, R. G.] NASA, Goddard Space Flight Ctr, Climate &amp; Radiat Branch, Greenbelt, MD 20771 USA; [Reid, J. S.] USN, Marine Meteorol Div, Res Lab, Monterey, CA USA; [Heald, C. L.; Lapina, K.] Colorado State Univ, Dept Atmospher Sci, Ft Collins, CO 80523 USA; [Zhang, J.] Univ N Dakota, Grand Forks, ND 58201 USA; [Kleidman, R. G.] Sci Syst &amp; Applicat Inc, Lanham, MD USA; [Gaitley, B. J.] CALTECH, Jet Prop Lab, Pasadena, CA USA</t>
  </si>
  <si>
    <t>National Aeronautics &amp; Space Administration (NASA); NASA Goddard Space Flight Center; University of Sherbrooke; National Aeronautics &amp; Space Administration (NASA); NASA Goddard Space Flight Center; University System of Maryland; University of Maryland Baltimore County; Leibniz Institut fur Tropospharenforschung (TROPOS); University of Kiel; Helmholtz Association; GEOMAR Helmholtz Center for Ocean Research Kiel; University of La Reunion; Zuev Institute of Atmospheric Optics, Siberian Branch of the Russian Academy of Sciences; Russian Academy of Sciences; Plymouth Marine Laboratory; Polish Academy of Sciences; Institute of Oceanology of the Polish Academy of Sciences; European Commission Joint Research Centre; EC JRC ISPRA Site; Bigelow Laboratory for Ocean Sciences; National Institute of Water &amp; Atmospheric Research (NIWA) - New Zealand; National Oceanic Atmospheric Admin (NOAA) - USA; University of California System; University of California Santa Barbara; Arctic &amp; Antarctic Research Institute; Consejo Superior de Investigaciones Cientificas (CSIC); ATTITUS Educacao; Universitat de les Illes Balears; Universite Paris-Est-Creteil-Val-de-Marne (UPEC); Universite Paris Cite; Universite Paris-Est-Creteil-Val-de-Marne (UPEC); CEA; Centre National de la Recherche Scientifique (CNRS); Universite Paris Saclay; University of Miami; University of Hamburg; National Oceanic Atmospheric Admin (NOAA) - USA; Howard University; Department of Space (DoS), Government of India; Indian Space Research Organisation (ISRO); Vikram Sarabhai Space Center (VSSC); University of Washington; University of Washington Seattle; Russian Academy of Sciences; Shirshov Institute of Oceanology; Ministry of Education &amp; Science of Ukraine; Taras Shevchenko National University of Kyiv; Fisheries &amp; Oceans Canada; University of Quebec; Bedford Institute of Oceanography; National Aeronautics &amp; Space Administration (NASA); NASA Goddard Space Flight Center; National Aeronautics &amp; Space Administration (NASA); NASA Goddard Space Flight Center; United States Department of Defense; United States Navy; Naval Research Laboratory; Colorado State University; University of North Dakota Grand Forks; Science Systems and Applications Inc; California Institute of Technology; National Aeronautics &amp; Space Administration (NASA); NASA Jet Propulsion Laboratory (JPL)</t>
  </si>
  <si>
    <t>Smirnov, A (corresponding author), Sigma Space Corp, Lanham, MD 20706 USA.</t>
  </si>
  <si>
    <t>alexander.smirnov-1@nasa.gov</t>
  </si>
  <si>
    <t>Duarte, Carlos M/A-7670-2013; Sakerin, Sergey/A-6508-2014; Smyth, Tim/D-2008-2012; MOORTHY, KRISHNA/AAG-6807-2019; Schulz, Michael/A-6930-2011; Radionov, Vladimir F./O-3038-2017; sciare, jean/A-9529-2008; Milinevsky, Gennadi/AAD-8801-2019; Duarte Quesada, Carlos Manuel/ABD-6208-2021; Quinn, Patricia/R-1493-2016; Croot, Peter/C-8460-2009; Nalli, Nicholas R/F-6731-2010; Giles, David/AAL-8479-2020; Kahn, Ralph A/D-5371-2012; Heald, Colette L/A-6813-2011; Nelson, Norman B/B-7343-2014; ECK, THOMAS F/D-7407-2012; Losno, Rémi/AAE-9536-2019; Gulev, Sergey/A-4994-2014; Croot, Peter/U-5296-2019; Harvey, Mike/A-5354-2010; Voss, Kenneth J/JAN-7204-2023; Chin, Mian/J-8354-2012; Voss, Kenneth J/A-5328-2013; Reid, Jeffrey/B-7633-2014; Smirnov, Alexander/C-2121-2009</t>
  </si>
  <si>
    <t>Duarte, Carlos M/0000-0002-1213-1361; Smyth, Tim/0000-0003-0659-1422; Schulz, Michael/0000-0003-4493-4158; Milinevsky, Gennadi/0000-0002-2342-2615; Quinn, Patricia/0000-0003-0337-4895; Croot, Peter/0000-0003-1396-0601; Nalli, Nicholas R/0000-0002-6914-5537; Giles, David/0000-0001-6093-2051; Kahn, Ralph A/0000-0002-5234-6359; Losno, Rémi/0000-0003-0246-862X; Harvey, Mike/0000-0002-0979-0227; Voss, Kenneth J/0000-0002-7860-5080; Zibordi, Giuseppe/0000-0002-2253-1828; Reid, Jeffrey/0000-0002-5147-7955; Smirnov, Alexander/0000-0002-8208-1304; sciare, jean/0000-0002-9908-6718; Zielinski, Tymon/0000-0003-4712-8899; Goes, Joaquim/0000-0002-9785-6985; /0000-0003-2894-5738; Moorthy, K. Krishna/0000-0002-7234-3868</t>
  </si>
  <si>
    <t>Institut Polaire Francais (IPEV); Institut Polaire Francais (IPEV); Division Of Ocean Sciences; Directorate For Geosciences [1121022] Funding Source: National Science Foundation</t>
  </si>
  <si>
    <t>Institut Polaire Francais (IPEV); Institut Polaire Francais (IPEV); Division Of Ocean Sciences; Directorate For Geosciences(National Science Foundation (NSF)NSF - Directorate for Geosciences (GEO))</t>
  </si>
  <si>
    <t>The authors thank Hal Maring (NASA Headquarters) for his support of AERONET. The authors would like to acknowledge managerial and operational support from M. Sorokin, A. Scully, A. Tran, P. Kenny, D. Hamilton, L. Bariteau, R. Dunn, M. Conley, P. Schoessow, H. Gomes, L. Logan, M. Reynolds, A. Flores, D. A. Siegel, A. Proshutinsky, L. Rainville, A. Jayakumar, S. Schick, D. Menzies, E. Emry, C. Swan, K. G. Fairbarn (USA); M. Panchenko, O. Kopelevich, A. Sinitsyn, D. Kabanov, A. Tikhomirov, A. Kalsin, S. Terpugova, V. Polkin (Sr), V. Polkin (Jr), N. Vlasov, Y. Turchinovich, A. Gubin, Y. Zyulyaeva (Russia); P. Goloub, L. Blarel, S. Triquet, P. Hernandez, V. Duflot, T. Lecointre, S. Barataud, P. Ricaud, P. Sangiardi, A. Kartavtseff, J.-F. Ternon, F. Jourdin, C. Petus, J. Nicolas, S. Devidal, L. Martinon, M. Faillot, F. Gabarrot, N. Villeneuve, I. Jubert, M. Barblu, G. Duval (France); C. Powell, C. Gallienne (UK); C. Schlosser, Y. Zoll, M. Schlundt, M. Heller, T. Hanschmann, K. Lengfeld, A. Tessendorf, N. Renkosik, T. Heus, K. Lonitz, B. Quack, T. Dinter, A. Wassmann, M. Schlundt, B. Pospichal, F. Wittrock (Germany); A. Bromley, R. Martin, G. Brailsford (New Zealand); J. Kowalczyk, A. Ponczkowska, J. Pasnicki, K. Zielinski, P. Makuch, B. Lednicka (Poland); K. Niranjan, S. Babu, S. K. Satheesh, V. S. Nair, S. N. Beegum (India), S. Piketh, D. Williams, B. Kuyper, E. Robertson (South Africa), L. Jankowski, R. Matarrese (Italy), R. M. Castillo (Spain). One of the co-authors (Jean Sciare) would like to thank Institut Polaire Francais (IPEV) for the support provided within the AEROTRACE project.</t>
  </si>
  <si>
    <t>10.5194/amt-4-583-2011</t>
  </si>
  <si>
    <t>742AR</t>
  </si>
  <si>
    <t>Green Published, Green Accepted, gold</t>
  </si>
  <si>
    <t>WOS:000288911000015</t>
  </si>
  <si>
    <t>Bauguitte, SJB; Brough, N; Frey, MM; Jones, AE; Maxfield, DJ; Roscoe, HK; Rose, MC; Wolff, EW</t>
  </si>
  <si>
    <t>Bauguitte, S. J. -B.; Brough, N.; Frey, M. M.; Jones, A. E.; Maxfield, D. J.; Roscoe, H. K.; Rose, M. C.; Wolff, E. W.</t>
  </si>
  <si>
    <t>A network of autonomous surface ozone monitors in Antarctica: technical description and first results</t>
  </si>
  <si>
    <t>BOUNDARY-LAYER; POLAR-REGIONS; ARCTIC-OCEAN; SEA-ICE; DEPLETION; ATMOSPHERE; SNOW</t>
  </si>
  <si>
    <t>A suite of 10 autonomous ozone monitoring units, each powered using renewable energy, was developed and built to study surface ozone in Antarctica during the International Polar Year (2007-2009). The monitoring systems were deployed in a network around the Weddell Sea sector of coastal Antarctica with a transect up onto the Antarctic Plateau. The aim was to measure for a full year, thus gaining a much-improved broader view of boundary layer ozone seasonality at different locations as well as of factors affecting the budget of surface ozone in Antarctica. Ozone mixing ratios were measured based on UV photometry using a modified version of the commercial 2B Technologies Inc. Model 202 instrument. All but one of the autonomous units measured successfully within its predefined duty cycle throughout the year, with some differences in performance dependent on power availability and ambient temperature. Mean data recovery after removal of outliers was on average 70% (range 44-83%) and precision varied between 1.5 and 8 ppbv, thus was sufficiently good to resolve year-round the main ozone features of scientific interest. We conclude that, with adequate power, and noting a minor communication problem, our units would be able to operate successfully at ambient temperatures down to -60 degrees C. Systems such as the one described in this paper, or derivatives of it, could therefore be deployed either as local or regional networks elsewhere in the Arctic or Antarctic. Here we present technical information and first results from the experiment.</t>
  </si>
  <si>
    <t>[Bauguitte, S. J. -B.; Brough, N.; Frey, M. M.; Jones, A. E.; Maxfield, D. J.; Roscoe, H. K.; Rose, M. C.; Wolff, E. W.] British Antarctic Survey, Nat Environm Res Council, Cambridge, England</t>
  </si>
  <si>
    <t>Jones, AE (corresponding author), British Antarctic Survey, Nat Environm Res Council, Cambridge, England.</t>
  </si>
  <si>
    <t>brough, neil/AAG-8550-2019; Wolff, Eric W/D-7925-2014; Frey, Markus/G-1756-2012</t>
  </si>
  <si>
    <t>brough, neil/0000-0002-2316-5292; Wolff, Eric W/0000-0002-5914-8531; Frey, Markus/0000-0003-0535-0416</t>
  </si>
  <si>
    <t>Natural Environment Research Council; NERC [ncas10008, bas0100024] Funding Source: UKRI; Natural Environment Research Council [ncas10008, bas0100024]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</si>
  <si>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</si>
  <si>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Particular thanks go to the British Antarctic Survey personnel who installed and uploaded the autonomous ozone monitoring systems. In particular, Andrew Rankin 's enthusiasm contributed to the smooth installation of the network in 2007/2008. We are grateful for the considerable support received from the BAS Operations and Logistics group during system deployment and retrieval. John Birks and his technical team at 2B Technologies Inc. provided prototypes and advice on specification for low temperature operation. We would like to thank Peter Kirsch and Paul Breen for help with data handling. This study is part of the British Antarctic Survey Polar Science for Planet Earth Programme. It was funded by the Natural Environment Research Council.</t>
  </si>
  <si>
    <t>10.5194/amt-4-645-2011</t>
  </si>
  <si>
    <t>756MY</t>
  </si>
  <si>
    <t>WOS:000290017400001</t>
  </si>
  <si>
    <t>Schmitt, J; Schneider, R; Fischer, H</t>
  </si>
  <si>
    <t>Schmitt, J.; Schneider, R.; Fischer, H.</t>
  </si>
  <si>
    <t>A sublimation technique for high-precision measurements of δ13CO2 and mixing ratios of CO2 and N2O from air trapped in ice cores</t>
  </si>
  <si>
    <t>MASS-SPECTROMETRY SYSTEM; ATMOSPHERIC CO2; ANTARCTIC ICE; CARBON-CYCLE; POLAR ICE; DELTA-C-13 MEASUREMENTS; SAMPLES; FRACTIONATION; CLIMATE; DOME</t>
  </si>
  <si>
    <t>In order to provide high precision stable carbon isotope ratios (delta(CO2)-C-13 or delta C-13 of CO2) from small bubbly, partially and fully clathrated ice core samples we developed a new method based on sublimation coupled to gas chromatography-isotope ratio mass spectrometry (GC-IRMS). In a first step the trapped air is quantitatively released from similar to 30 g of ice and CO2 together with N2O are separated from the bulk air components and stored in a miniature glass tube. In an off-line step, the extracted sample is introduced into a helium carrier flow using a minimised tube cracker device. Prior to measurement, N2O and organic sample contaminants are gas chromatographically separated from CO2. Pulses of a CO2/N2O mixture are admitted to the tube cracker and follow the path of the sample through the system. This allows an identical treatment and comparison of sample and standard peaks. The ability of the method to reproduce delta C-13 from bubble and clathrate ice is verified on different ice cores. We achieve reproducibilities for bubble ice between 0.05 parts per thousand and 0.07 parts per thousand and for clathrate ice between 0.05 parts per thousand and 0.09 parts per thousand (dependent on the ice core used). A comparison of our data with measurements on bubble ice from the same ice core but using a mechanical extraction device shows no significant systematic offset. In addition to delta C-13, the CO2 and N2O mixing ratios can be volumetrically derived with a precision of 2 ppmv and 8 ppbv, respectively.</t>
  </si>
  <si>
    <t>[Schmitt, J.; Schneider, R.; Fischer, H.] Univ Bern, Inst Phys, CH-3012 Bern, Switzerland; [Schmitt, J.; Schneider, R.; Fischer, H.] Univ Bern, Oeschger Ctr Climate Change Res, CH-3012 Bern, Switzerland; [Schmitt, J.; Fischer, H.] Alfred Wegener Inst Polar &amp; Marine Res, D-2850 Bremerhaven, Germany</t>
  </si>
  <si>
    <t>University of Bern; University of Bern; Helmholtz Association; Alfred Wegener Institute, Helmholtz Centre for Polar &amp; Marine Research</t>
  </si>
  <si>
    <t>Schmitt, J (corresponding author), Univ Bern, Inst Phys, Sidlerstr 5, CH-3012 Bern, Switzerland.</t>
  </si>
  <si>
    <t>schmitt@climate.unibe.ch</t>
  </si>
  <si>
    <t>Schmitt, Jochen/B-7893-2009; Fischer, Hubertus/A-1211-2014</t>
  </si>
  <si>
    <t>Schmitt, Jochen/0000-0003-4695-3029; Fischer, Hubertus/0000-0002-2787-4221</t>
  </si>
  <si>
    <t>EC; German Ministry of Education and Research (BMBF)</t>
  </si>
  <si>
    <t>EC(European Union (EU)European Commission Joint Research Centre); German Ministry of Education and Research (BMBF)(Federal Ministry of Education &amp; Research (BMBF))</t>
  </si>
  <si>
    <t>We thank Hinrich Schafer and the second anonymous reviewer for their very constructive and detailed comments which helped to improve the paper. This work is a contribution to the European Project for Ice Coring in Antarctica (EPICA), a joint European Science Foundation/European Commission (EC) scientific program, funded by the EC under the Environment and Climate Program and by national contributions from Belgium, Denmark, France, Germany, Italy, The Netherlands, Norway, Sweden, Switzerland, and UK. This is an EPICA publication. Funding by the German Ministry of Education and Research (BMBF) through the German climate research program DEKLIM (project RESPIC) is acknowledged. The assistance of Melanie Behrens is gratefully acknowledged for running the MS and the organization of the lab at the Alfred Wegener Institute for Polar and Marine Research, Bremerhaven, Germany. We also thank for the technical advice from Klaus-Uwe Richter.</t>
  </si>
  <si>
    <t>10.5194/amt-4-1445-2011</t>
  </si>
  <si>
    <t>814LZ</t>
  </si>
  <si>
    <t>WOS:000294457000007</t>
  </si>
  <si>
    <t>Mangano, S; Caruso, C; Michaud, L; Lo Giudice, A; Bruni, V</t>
  </si>
  <si>
    <t>Mangano, Santina; Caruso, Consolazione; Michaud, Luigi; Lo Giudice, Angelina; Bruni, Vivia</t>
  </si>
  <si>
    <t>INCIDENCE OF PLASMID AND ANTIBIOTIC RESISTANCE IN PSYCHROTROPHIC BACTERIA ISOLATED FROM ANTARCTIC SPONGES</t>
  </si>
  <si>
    <t>ATTI ACCADEMIA PELORITANA DEI PERICOLANTI-CLASSE DI SCIENZE FISICHE MATEMATICHE E NATURALI</t>
  </si>
  <si>
    <t>A total of 297 bacterial strains were isolated from five Antarctic sponge species and tested by agarose gel electrophoresis for the presence of plasmid molecules. At least one kind of plasmid was carried by 69 isolates (about 23%). The disc diffusion susceptibility test was used to assay the resistance of plasmid-harbouring bacteria towards 11 antibiotics. A multiple resistance was observed for the 72% of strains, among which the 33% were resistant to only two antibiotics. Bacteria showed a high degree of resistance towards O/ 129 (71%), tetracycline (42%) and nalidixic acid (25%), whereas any isolate showed resistance to gentamicin. The 16S rDNA sequencing revealed that plasmid-harbouring strains were mainly affiliated to the Gammaproteobacteria (81%), whereas the other detected phylogenetic groups (i.e. Firmicutes, Alphaproteobacteria, Actinobacteria and CFB group of Bacteroidetes) were less abundant, each representing between 1% and 6% of the total isolates. The present study will contribute to the poor and fragmentary knowledge on plasmid incidence in natural microbial populations. In addition, monitoring antibiotic resistance in bacteria from remote areas, such as Antarctica, could also be a useful tool to evaluate the impact of anthropic pressure.</t>
  </si>
  <si>
    <t>[Mangano, Santina; Caruso, Consolazione; Michaud, Luigi; Lo Giudice, Angelina; Bruni, Vivia] Univ Messina, Dipartimento Biol Anim Ecol Marina, Viale F Stagno d Alcontres 31, I-98166 Messina, Italy</t>
  </si>
  <si>
    <t>University of Messina</t>
  </si>
  <si>
    <t>Mangano, S (corresponding author), Univ Messina, Dipartimento Biol Anim Ecol Marina, Viale F Stagno d Alcontres 31, I-98166 Messina, Italy.</t>
  </si>
  <si>
    <t>smangano@unime.it</t>
  </si>
  <si>
    <t>Programma Nazionale di Ricerche in Antartide (PNRA); Italian Ministry of Education and Research [PNRA 2004/1.6]; Museo Nazionale dell'Antartide (MNA)</t>
  </si>
  <si>
    <t>Programma Nazionale di Ricerche in Antartide (PNRA); Italian Ministry of Education and Research(Ministry of Education, Universities and Research (MIUR)); Museo Nazionale dell'Antartide (MNA)</t>
  </si>
  <si>
    <t>This research was supported by grants from the Programma Nazionale di Ricerche in Antartide (PNRA), Italian Ministry of Education and Research (PEA 2004, Research Project PNRA 2004/1.6) and from the Museo Nazionale dell'Antartide (MNA).</t>
  </si>
  <si>
    <t>ACCAD PELORITANA PERICOLANTI</t>
  </si>
  <si>
    <t>MESSINA</t>
  </si>
  <si>
    <t>PIAZZA PUGLIATTI 1, MESSINA, 98122, ITALY</t>
  </si>
  <si>
    <t>0365-0359</t>
  </si>
  <si>
    <t>1825-1242</t>
  </si>
  <si>
    <t>ATTI ACCAD PELORIT</t>
  </si>
  <si>
    <t>Atti Accad. Pelorit. Pericol.</t>
  </si>
  <si>
    <t>C1A8901003</t>
  </si>
  <si>
    <t>10.1478/C1A8901003</t>
  </si>
  <si>
    <t>V0M9B</t>
  </si>
  <si>
    <t>WOS:000216373000003</t>
  </si>
  <si>
    <t>Wojnar, JM; Evans, CW; DeVries, AL; Brimble, MA</t>
  </si>
  <si>
    <t>Wojnar, Joanna M.; Evans, Clive W.; DeVries, Arthur L.; Brimble, Margaret A.</t>
  </si>
  <si>
    <t>Synthesis of an Isotopically-labelled Antarctic Fish Antifreeze Glycoprotein Probe</t>
  </si>
  <si>
    <t>AUSTRALIAN JOURNAL OF CHEMISTRY</t>
  </si>
  <si>
    <t>MICROWAVE-ASSISTED SYNTHESIS; SOLID-PHASE SYNTHESIS; ANOMERIC DEACETYLATION; POLAR FISH; GLYCOPEPTIDE; EFFICIENT; PEPTIDE; HYDROLYSIS; CONVENIENT; GLYCOSIDES</t>
  </si>
  <si>
    <t>Antifreeze glycoproteins (AFGPs) are glycosylated polypeptides produced by Antarctic and Arctic fishes, which allow them to survive in seawater at sub-zero temperatures. An investigation into the postulated enteric uptake of AFGP synthesized in the exocrine pancreas of Antarctic fishes required a custom-prepared AFGP probe that incorporated seven isotopically-labelled Ala residues for detection by mass spectrometry. The AFGPs are composed of a repetitive three amino acid unit (Ala-Ala-Thr), in which the threonine residue is glycosylated with the disaccharide beta-D-Gal-(1 -&gt; 3)-alpha-D-GalNAc. The synthesis of isotopically-labelled AFGP8 (1), as well as the optimized synthesis of the protected glycosylated amino acid building block 2, is reported.</t>
  </si>
  <si>
    <t>[Wojnar, Joanna M.; Brimble, Margaret A.] Univ Auckland, Dept Chem, Auckland 1142, New Zealand; [Evans, Clive W.] Univ Auckland, Sch Biol Sci, Auckland 1142, New Zealand; [DeVries, Arthur L.] Univ Illinois, Dept Anim Biol, Urbana, IL 61801 USA</t>
  </si>
  <si>
    <t>University of Auckland; University of Auckland; University of Illinois System; University of Illinois Urbana-Champaign</t>
  </si>
  <si>
    <t>Brimble, MA (corresponding author), Univ Auckland, Dept Chem, 23 Symonds St, Auckland 1142, New Zealand.</t>
  </si>
  <si>
    <t>m.brimble@auckland.ac.nz</t>
  </si>
  <si>
    <t>Evans, Clive/AAZ-4699-2021</t>
  </si>
  <si>
    <t>Dowle, Joanna/0000-0002-7319-565X; Brimble, Margaret/0000-0002-7086-4096; Evans, Clive/0000-0003-2888-842X</t>
  </si>
  <si>
    <t>Human Frontier Science Program [RGP003/2009-C]</t>
  </si>
  <si>
    <t>Human Frontier Science Program(Human Frontier Science Program)</t>
  </si>
  <si>
    <t>This research was supported by the Human Frontier Science Program (grant RGP003/2009-C). The authors thank Dr Nicole Miller for assistance in the synthesis of tetra-O-acetyl-2-azido-2-deoxygalactose.</t>
  </si>
  <si>
    <t>0004-9425</t>
  </si>
  <si>
    <t>1445-0038</t>
  </si>
  <si>
    <t>AUST J CHEM</t>
  </si>
  <si>
    <t>Aust. J. Chem.</t>
  </si>
  <si>
    <t>10.1071/CH10464</t>
  </si>
  <si>
    <t>Chemistry, Multidisciplinary</t>
  </si>
  <si>
    <t>Science Citation Index Expanded (SCI-EXPANDED); Index Chemicus (IC)</t>
  </si>
  <si>
    <t>785CX</t>
  </si>
  <si>
    <t>WOS:000292206100011</t>
  </si>
  <si>
    <t>Dmitriyev, V; Kaledin, N; Kassens, H; Kakhro, N; Troyan, V; Fyodorova, I</t>
  </si>
  <si>
    <t>Dmitriyev, Vasily; Kaledin, Nikolai; Kassens, Heidemarie; Kakhro, Nadezhda; Troyan, Vladimir; Fyodorova, Irina</t>
  </si>
  <si>
    <t>RUSSIAN-GERMAN RESEARCH AND ACADEMIC COOPERATION IN THE ARCTIC</t>
  </si>
  <si>
    <t>BALTIC REGION</t>
  </si>
  <si>
    <t>priorities in polar research; experience of academic cooperation of Saint Petersburg State University in the field of polar exploration; Applied polar and marine studies master's programme (POMOR)</t>
  </si>
  <si>
    <t>This article is dedicated to the stages of development of international research cooperation in the framework of research and education projects focusing on the study of marine and polar territories of the Russian Federation and the Federative Republic of Germany. The largest and most stable projects are the establishment of the Russian-German laboratory of polar and marine research named after the Russian polar explorer of German origin, Otto Schmidt, - OSL - on the premises of AARI, the Russian-German education project - the Applied polar and marine studies master's programme (POMOR) - implemented by the Russian and German partners at Saint Petersburg State University, and the Laptev Sea system research programme bringing together around 20 Russian and German organisations.</t>
  </si>
  <si>
    <t>[Kaledin, Nikolai] St Petersburg State Univ, Dept Reg Polit &amp; Polit Geog, Acad Affairs, St Petersburg, Russia; [Kaledin, Nikolai] St Petersburg State Univ, Dept Reg Polit &amp; Polit Geog, St Petersburg, Russia; [Dmitriyev, Vasily; Fyodorova, Irina] St Petersburg State Univ, Dept Land Hydrol, St Petersburg, Russia; [Dmitriyev, Vasily] St Petersburg State Univ, Res Lab Geosyst Modelling &amp; Diagnost, St Petersburg, Russia; [Troyan, Vladimir] St Petersburg State Univ, Dept Phys Earth, St Petersburg, Russia; [Kakhro, Nadezhda] St Petersburg State Univ, Fac Philol, St Petersburg, Russia; [Kassens, Heidemarie] Univ Kiel, Leibniz Inst Marine Sci, Kiel, Germany; [Fyodorova, Irina] St Petersburg State Univ, Russian German Otto Schmidt Lab, Arctic &amp; Antarctic Res Inst, St Petersburg, Russia</t>
  </si>
  <si>
    <t>Saint Petersburg State University; Saint Petersburg State University; Saint Petersburg State University; Saint Petersburg State University; Saint Petersburg State University; Saint Petersburg State University; Helmholtz Association; GEOMAR Helmholtz Center for Ocean Research Kiel; University of Kiel; Arctic &amp; Antarctic Research Institute; Saint Petersburg State University</t>
  </si>
  <si>
    <t>Dmitriyev, V (corresponding author), St Petersburg State Univ, Dept Land Hydrol, St Petersburg, Russia.</t>
  </si>
  <si>
    <t>vasiliy-dmitriev@rambler.ru; Kaledin@politreg.pu.ru; hkassens@ifm-geomar.de; nkakhro@ifm-geomar.de; vtroyan@hq.pu.ru; umnichka@mail.ru</t>
  </si>
  <si>
    <t>Dmitriev, Vasiliy V/N-6455-2013</t>
  </si>
  <si>
    <t>Dmitriev, Vasiliy V/0000-0003-3849-1186</t>
  </si>
  <si>
    <t>IMMANUEL KANT BALTIC FEDERAL UNIV</t>
  </si>
  <si>
    <t>KALININGRAD</t>
  </si>
  <si>
    <t>UL A NEVSKOGO, 14, KAB 500, KALININGRAD, 236041, RUSSIA</t>
  </si>
  <si>
    <t>2079-8555</t>
  </si>
  <si>
    <t>2310-0524</t>
  </si>
  <si>
    <t>BALT REG</t>
  </si>
  <si>
    <t>Balt. Reg.</t>
  </si>
  <si>
    <t>10.5922/2079-8555-2011-1-1</t>
  </si>
  <si>
    <t>Area Studies</t>
  </si>
  <si>
    <t>V27MM</t>
  </si>
  <si>
    <t>WOS:000215363900002</t>
  </si>
  <si>
    <t>Foote, CG; Daunt, F; González-Solís, J; Nasir, L; Phillips, RA; Monaghan, P</t>
  </si>
  <si>
    <t>Foote, Christopher G.; Daunt, Francis; Gonzalez-Solis, Jacob; Nasir, Lubna; Phillips, Richard A.; Monaghan, Pat</t>
  </si>
  <si>
    <t>Individual state and survival prospects: age, sex, and telomere length in a long-lived seabird</t>
  </si>
  <si>
    <t>BEHAVIORAL ECOLOGY</t>
  </si>
  <si>
    <t>giant petrel; life span; sex differences; survival; telomere dynamics</t>
  </si>
  <si>
    <t>GIANT-PETRELS MACRONECTES; CHRONIC OXIDATIVE STRESS; LIFE-SPAN; FORAGING STRATEGIES; SOUTH GEORGIA; OLDEST-OLD; BIRDS; MORTALITY; DYNAMICS; CELLS</t>
  </si>
  <si>
    <t>Identifying markers that are indicative of individual state, related to fitness, and which could be used to study life-history tradeoffs in wild populations is extremely difficult. Recently, it has been suggested that telomeres, the ends of eukaryote chromosomes, might be useful in this context. However, little is known of the link between telomere length and fitness in natural populations and whether it is a useful indicator of biological state. We measured average telomere length in red blood cell samples taken from a wide age range of individuals of a very long-lived and highly sexually dimorphic seabird, the southern giant petrel (Macronectes giganteus). We examined the relationship with age, sex, and subsequent survival over an 8-year period. Telomere length was longer in chicks than adults. Within the adult group, which ranged in age from 12 to 40 years, telomere length was not related to age. For the first time in birds, there was some evidence of a sex difference. Male giant petrels, which are substantially larger than females, had significantly shorter telomere lengths than females. This difference was evident from an early stage in life and is likely to relate to differences in growth trajectories. Those adults that died during the 8-year time window following the telomere length measurement had significantly shorter telomere lengths than those that survived this period, irrespective of age or sex, neither of which were significant predictors of survival. These results show that relatively short telomere length is related to future life expectancy at any adult age, demonstrating its usefulness as a state variable.</t>
  </si>
  <si>
    <t>[Foote, Christopher G.; Nasir, Lubna; Monaghan, Pat] Univ Glasgow, Coll Med Vet &amp; Life Sci, Glasgow G12 8QQ, Lanark, Scotland; [Daunt, Francis] NERC, Ctr Ecol &amp; Hydrol, Penicuik EH26 0QB, Midlothian, Scotland; [Gonzalez-Solis, Jacob] Univ Barcelona, Dept Biol Anim, E-08028 Barcelona, Spain; [Phillips, Richard A.] NERC, British Antarctic Survey, Cambridge CB3 0ET, England</t>
  </si>
  <si>
    <t>University of Glasgow; UK Research &amp; Innovation (UKRI); Natural Environment Research Council (NERC); UK Centre for Ecology &amp; Hydrology (UKCEH); University of Barcelona; UK Research &amp; Innovation (UKRI); Natural Environment Research Council (NERC); NERC British Antarctic Survey</t>
  </si>
  <si>
    <t>Monaghan, P (corresponding author), Univ Glasgow, Coll Med Vet &amp; Life Sci, Glasgow G12 8QQ, Lanark, Scotland.</t>
  </si>
  <si>
    <t>p.monaghan@bio.gla.ac.uk</t>
  </si>
  <si>
    <t>Monaghan, Pat/E-6810-2015; Monaghan, Pat/A-4271-2008; González-Solís, Jacob/AAB-1161-2019; Gonzalez-Solis, Jacob/C-3942-2008; Daunt, Francis/K-6688-2012</t>
  </si>
  <si>
    <t>Monaghan, Pat/0000-0003-2430-0326; Gonzalez-Solis, Jacob/0000-0002-8691-9397; Foote, Christopher/0000-0001-6929-1238; Daunt, Francis/0000-0003-4638-3388</t>
  </si>
  <si>
    <t>Natural Environmental Research Council; Natural Environment Research Council [CEH010021, bas0100025] Funding Source: researchfish; NERC [bas0100025] Funding Source: UKRI</t>
  </si>
  <si>
    <t>Natural Environmental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</si>
  <si>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C.G.F was supported by a Natural Environmental Research Council research studentship.</t>
  </si>
  <si>
    <t>1045-2249</t>
  </si>
  <si>
    <t>1465-7279</t>
  </si>
  <si>
    <t>BEHAV ECOL</t>
  </si>
  <si>
    <t>Behav. Ecol.</t>
  </si>
  <si>
    <t>10.1093/beheco/arq178</t>
  </si>
  <si>
    <t>Behavioral Sciences; Biology; Ecology; Zoology</t>
  </si>
  <si>
    <t>Behavioral Sciences; Life Sciences &amp; Biomedicine - Other Topics; Environmental Sciences &amp; Ecology; Zoology</t>
  </si>
  <si>
    <t>733PW</t>
  </si>
  <si>
    <t>WOS:000288276100026</t>
  </si>
  <si>
    <t>Blihoghe, D; Manzo, E; Villela, A; Cutignano, A; Picariello, G; Faimali, M; Fontana, A</t>
  </si>
  <si>
    <t>Blihoghe, Daniela; Manzo, Emiliano; Villela, Alexandre; Cutignano, Adele; Picariello, Gianluca; Faimali, Marco; Fontana, Angelo</t>
  </si>
  <si>
    <t>Evaluation of the antifouling properties of 3-alyklpyridine compounds</t>
  </si>
  <si>
    <t>BIOFOULING</t>
  </si>
  <si>
    <t>poly-alkylpyridins; haminols; saraine-1; anti-settlement activity; Amphibalanus (=Balanus) amphitrite; Tigriopus fulvus</t>
  </si>
  <si>
    <t>SPONGE RENIERA-SARAI; POLYMERIC 3-ALKYLPYRIDINIUM SALTS; NATURAL-PRODUCT ANTIFOULANTS; COPEPOD TIGRIOPUS-JAPONICUS; MARINE SPONGE; BIOLOGICAL-ACTIVITIES; LABORATORY BIOASSAYS; BALANUS-AMPHITRITE; ALARM PHEROMONES; SETTLEMENT</t>
  </si>
  <si>
    <t>One of the most promising alternative technologies to antifouling (AF) biocides based on toxic heavy metals lies in the development of natural eco-friendly biocides. The present study evaluates the AF potential of structurally different compounds containing a 3-alkylpyridine moiety. The products, namely poly 3-alkylpyridinium salts, saraine, and haminols, were either extracted or derived from natural sources (the sponges Haliclona sp. and Reniera sarai and the mollusc Haminoea fusari), or obtained by chemical synthesis. All the molecules tested showed generally good anti-settlement activity against larvae of the barnacle Amphibalanus (=Balanus) amphitrite (EC50 values between 0.19 and 3.61 mu g ml(-1)) and low toxicity (LC50 values ranging from 2.04 to over 100 mu g ml(-1)) with nontarget organisms. For the first time, the AF potential of a synthetic monomeric 3-alkylpyridine was demonstrated, suggesting that chemical synthesis is as a realistic way to produce large amounts of these compounds for future research and development of environmentally-friendly AF biocides.</t>
  </si>
  <si>
    <t>[Blihoghe, Daniela; Manzo, Emiliano; Villela, Alexandre; Cutignano, Adele; Fontana, Angelo] CNR Ist Chim Biomol ICB, I-80078 Pozzuoli, NA, Italy; [Picariello, Gianluca] CNR Ist Sci Alimentaz ISA, I-83100 Avellino, Italy; [Faimali, Marco] CNR Ist Sci Marine ISMAR, I-16149 Genoa, Italy</t>
  </si>
  <si>
    <t>Consiglio Nazionale delle Ricerche (CNR); Istituto di Chimica Biomolecolare (ICB-CNR); Consiglio Nazionale delle Ricerche (CNR); Istituto di Scienze dell' Alimentazione (ISA-CNR); Consiglio Nazionale delle Ricerche (CNR); Istituto di Scienze Marine (ISMAR-CNR)</t>
  </si>
  <si>
    <t>Blihoghe, D (corresponding author), CNR Ist Chim Biomol ICB, Via Campi Flegrei 34, I-80078 Pozzuoli, NA, Italy.</t>
  </si>
  <si>
    <t>dblihoghe@icb.cnr.it; mfaimali@ismar.cnr.it</t>
  </si>
  <si>
    <t>Villela, Alexandre/AAZ-2264-2021; Cutignano, Adele/C-3343-2012; Fontana, Angelo/AAO-2741-2021; Faimali, Marco/B-7191-2008; Fontana, Angelo/C-3354-2012; Faimali, Marco/AAK-5723-2021; CNR, Ismar/P-1247-2014</t>
  </si>
  <si>
    <t>Villela, Alexandre/0000-0003-0720-2011; Cutignano, Adele/0000-0003-3035-9252; Fontana, Angelo/0000-0002-5453-461X; Faimali, Marco/0000-0001-5558-3555; CNR, Ismar/0000-0001-5351-1486; PICARIELLO, Gianluca/0000-0003-1290-1239; manzo, emiliano/0000-0002-7394-020X</t>
  </si>
  <si>
    <t>Marie Curie FP6 RTN fellowship from the European Community Program [MRTN-CT-2004-512301]</t>
  </si>
  <si>
    <t>Marie Curie FP6 RTN fellowship from the European Community Program(European Union (EU))</t>
  </si>
  <si>
    <t>DB was supported by a Marie Curie FP6 RTN fellowship from the European Community Program MRTN-CT-2004-512301. The authors thank Dr Maria Grazia Aluigi (University of Genoa, Italy) for help with the inhibition of acetylcholinesterase assay, Dr Guido Villani (CNR-ICB) for H. fusari collection, Mr Antonio Esposito (CNR-ICB) for the work on fractionating and screening the Haliclona sp. extract, and Dr Conxita Avila (University of Barcelona, Spain) for identification of the Antarctic sponge. The authors also kindly acknowledge Prof. Micha Ilan (Tel Aviv University) for valuable advice and comments on the manuscript, Ms Naomi Paz (Tel Aviv University) for editorial help, the staff of CNR-ISMAR, especially Dr Veronica Piazza, for the help with barnacle and algal rearing, and the staff of CNR-ICB for technical support. Many thanks also to the three anonymous referees for constructive remarks on the manuscript.</t>
  </si>
  <si>
    <t>0892-7014</t>
  </si>
  <si>
    <t>1029-2454</t>
  </si>
  <si>
    <t>Biofouling</t>
  </si>
  <si>
    <t>10.1080/08927014.2010.542587</t>
  </si>
  <si>
    <t>Biotechnology &amp; Applied Microbiology; Marine &amp; Freshwater Biology</t>
  </si>
  <si>
    <t>V27ME</t>
  </si>
  <si>
    <t>WOS:000208616500001</t>
  </si>
  <si>
    <t>Cassar, N; DiFiore, PJ; Barnett, BA; Bender, ML; Bowie, AR; Tilbrook, B; Petrou, K; Westwood, KJ; Wright, SW; Lefevre, D</t>
  </si>
  <si>
    <t>Cassar, N.; DiFiore, P. J.; Barnett, B. A.; Bender, M. L.; Bowie, A. R.; Tilbrook, B.; Petrou, K.; Westwood, K. J.; Wright, S. W.; Lefevre, D.</t>
  </si>
  <si>
    <t>The influence of iron and light on net community production in the Subantarctic and Polar Frontal Zones</t>
  </si>
  <si>
    <t>SOUTHERN-OCEAN; PHYTOPLANKTON PHOTOSYNTHESIS; CARBON SEQUESTRATION; SEASONAL EVOLUTION; AUSTRALIAN SECTOR; DISSOLVED IRON; GAS-EXCHANGE; LIMITATION; GROWTH; MARINE</t>
  </si>
  <si>
    <t>The roles of iron and light in controlling biomass and primary productivity are clearly established in the Southern Ocean. However, their influence on net community production (NCP) and carbon export remains to be quantified. To improve our understanding of NCP and carbon export production in the Subantarctic Zone (SAZ) and the northern reaches of the Polar Frontal Zone (PFZ), we conducted continuous onboard determinations of NCP as part of the Sub-Antarctic Sensitivity to Environmental Change (SAZ-Sense) study, which occurred in January-February 2007. Biological O-2 supersaturation was derived from measuring O-2/Ar ratios by equilibrator inlet mass spectrometry. Based on these continuous measurements, NCP during the austral summer 2007 in the Australian SAZ was approximately 43 mmol O-2 m(-2) d(-1). NCP showed significant spatial variability, with larger values near the Subtropical front, and a general southward decrease. For shallower mixed layers (&lt; 50 m), dissolved Fe concentrations and Fe sufficiency, estimated from variable fluorescence, correlated strongly with NCP. The strong correlation between NCP and dissolved Fe may be difficult to interpret because of the correlation of dissolved Fe to MLD and because the concentration of iron may not be a good indicator of its availability. At stations with deeper mixed layers, NCP was consistently low, regardless of iron sufficiency, consistent with light availability also being an important control of NCP. Our new observations provide independent evidence for the critical roles of iron and light in mediating carbon export from the Southern Ocean mixed layer.</t>
  </si>
  <si>
    <t>[Cassar, N.; DiFiore, P. J.; Barnett, B. A.; Bender, M. L.] Princeton Univ, Dept Geosci, Princeton, NJ 08544 USA; [Bowie, A. R.; Tilbrook, B.] Univ Tasmania, Antarctic Climate &amp; Ecosyst CRC, Hobart, Tas 7001, Australia; [Tilbrook, B.] CSIRO, Hobart, Tas 7001, Australia; [Petrou, K.] Univ Technol Sydney, Sydney, NSW 2007, Australia; [Westwood, K. J.; Wright, S. W.] Australian Antarctic Div, Kingston, Tas 7050, Australia; [Westwood, K. J.; Wright, S. W.] Antarctic Climate &amp; Ecosyst Cooperat Res Ctr, Kingston, Tas 7050, Australia; [Lefevre, D.] Univ Mediterranee, Ctr Oceanol Marseille, CNRS, INSU,LMGEM,UMR 6117, F-13288 Marseille 9, France</t>
  </si>
  <si>
    <t>Princeton University; University of Tasmania; Commonwealth Scientific &amp; Industrial Research Organisation (CSIRO); University of Technology Sydney; Australian Antarctic Division; Antarctic Climate &amp; Ecosystems Cooperative Research Centre (ACE CRC); Aix-Marseille Universite; Centre National de la Recherche Scientifique (CNRS); CNRS - National Institute for Earth Sciences &amp; Astronomy (INSU)</t>
  </si>
  <si>
    <t>Cassar, N (corresponding author), Duke Univ, Nicholas Sch Environm, Div Earth &amp; Ocean Sci, Durham, NC 27708 USA.</t>
  </si>
  <si>
    <t>nicolas.cassar@duke.edu</t>
  </si>
  <si>
    <t>Lefevre, Dominique/AAN-8201-2021; Tilbrook, Bronte/W-4007-2019; Cassar, Nicolas/B-4260-2011; Bowie, Andrew/C-8677-2013</t>
  </si>
  <si>
    <t>Lefevre, Dominique/0000-0003-1694-3807; Tilbrook, Bronte/0000-0001-9385-3827; Petrou, Katherina/0000-0002-2703-0694; Cassar, Nicolas/0000-0003-0100-3783; Bowie, Andrew/0000-0002-5144-7799; Westwood, Karen/0000-0003-1060-7140</t>
  </si>
  <si>
    <t>Australian Government through the Antarctic Climate and Ecosystems Cooperative Research Centre; Australian Antarctic Science project [2720]; National Science Foundation Office of Polar Programs; NASA; Princeton-BP/Amoco Carbon Mitigation Initiative</t>
  </si>
  <si>
    <t>Australian Government through the Antarctic Climate and Ecosystems Cooperative Research Centre(Australian GovernmentDepartment of Industry, Innovation and ScienceCooperative Research Centres (CRC) Programme); Australian Antarctic Science project; National Science Foundation Office of Polar Programs(National Science Foundation (NSF)NSF - Directorate for Geosciences (GEO)); NASA(National Aeronautics &amp; Space Administration (NASA)); Princeton-BP/Amoco Carbon Mitigation Initiative</t>
  </si>
  <si>
    <t>We would like to thank Thibaut Wagener (IFM-GEOMAR) for providing the atmospheric Fe deposition data, Richard Matear and Thomas Trull (CSIRO, Australia) for helpful discussions, Brian Griffiths for acting as Chief Scientist on SAZ-Sense, and the officers and crew of the R/V Aurora Australis for technical support. This work was partly supported by the Australian Government's Cooperative Research Centres Programme through the Antarctic Climate and Ecosystems Cooperative Research Centre (ACE CRC) and Australian Antarctic Science project #2720, by grants from the National Science Foundation Office of Polar Programs and NASA, and by the Princeton-BP/Amoco Carbon Mitigation Initiative.</t>
  </si>
  <si>
    <t>10.5194/bg-8-227-2011</t>
  </si>
  <si>
    <t>727KF</t>
  </si>
  <si>
    <t>WOS:000287796800001</t>
  </si>
  <si>
    <t>Saba, VS; Friedrichs, MAM; Antoine, D; Armstrong, RA; Asanuma, I; Behrenfeld, MJ; Ciotti, AM; Dowell, M; Hoepffner, N; Hyde, KJW; Ishizaka, J; Kameda, T; Marra, J; Mélin, F; Morel, A; O'Reilly, J; Scardi, M; Smith, WO; Smyth, TJ; Tang, S; Uitz, J; Waters, K; Westberry, TK</t>
  </si>
  <si>
    <t>Saba, V. S.; Friedrichs, M. A. M.; Antoine, D.; Armstrong, R. A.; Asanuma, I.; Behrenfeld, M. J.; Ciotti, A. M.; Dowell, M.; Hoepffner, N.; Hyde, K. J. W.; Ishizaka, J.; Kameda, T.; Marra, J.; Melin, F.; Morel, A.; O'Reilly, J.; Scardi, M.; Smith, W. O., Jr.; Smyth, T. J.; Tang, S.; Uitz, J.; Waters, K.; Westberry, T. K.</t>
  </si>
  <si>
    <t>An evaluation of ocean color model estimates of marine primary productivity in coastal and pelagic regions across the globe</t>
  </si>
  <si>
    <t>SATELLITE CHLOROPHYLL; SKILL ASSESSMENT; PACIFIC-OCEAN; NORTH PACIFIC; PHOTOSYNTHESIS; TEMPERATURE; VARIABILITY; SIMULATION; RATES; SEA</t>
  </si>
  <si>
    <t>Nearly half of the earth's photosynthetically fixed carbon derives from the oceans. To determine global and region specific rates, we rely on models that estimate marine net primary productivity (NPP) thus it is essential that these models are evaluated to determine their accuracy. Here we assessed the skill of 21 ocean color models by comparing their estimates of depth-integrated NPP to 1156 in situ C-14 measurements encompassing ten marine regions including the Sargasso Sea, pelagic North Atlantic, coastal Northeast Atlantic, Black Sea, Mediterranean Sea, Arabian Sea, subtropical North Pacific, Ross Sea, West Antarctic Peninsula, and the Antarctic Polar Frontal Zone. Average model skill, as determined by root-mean square difference calculations, was lowest in the Black and Mediterranean Seas, highest in the pelagic North Atlantic and the Antarctic Polar Frontal Zone, and intermediate in the other six regions. The maximum fraction of model skill that may be attributable to uncertainties in both the input variables and in situ NPP measurements was nearly 72%. On average, the simplest depth/wavelength integrated models performed no worse than the more complex depth/wavelength resolved models. Ocean color models were not highly challenged in extreme conditions of surface chlorophyll-a and sea surface temperature, nor in high-nitrate low-chlorophyll waters. Water column depth was the primary influence on ocean color model performance such that average skill was significantly higher at depths greater than 250 m, suggesting that ocean color models are more challenged in Case-2 waters (coastal) than in Case-1 (pelagic) waters. Given that in situ chlorophyll-a data was used as input data, algorithm improvement is required to eliminate the poor performance of ocean color NPP models in Case-2 waters that are close to coastlines. Finally, ocean color chlorophyll-a algorithms are challenged by optically complex Case-2 waters, thus using satellite-derived chlorophyll-a to estimate NPP in coastal areas would likely further reduce the skill of ocean color models.</t>
  </si>
  <si>
    <t>[Saba, V. S.; Friedrichs, M. A. M.; Smith, W. O., Jr.] Virginia Inst Marine Sci, Coll William &amp; Mary, Gloucester Point, VA 23062 USA; [Antoine, D.; Morel, A.] CNRS, LOV, Villefranche Sur Mer, France; [Antoine, D.; Morel, A.] Univ Paris 06, UMR 7093, Villefranche Sur Mer, France; [Armstrong, R. A.] SUNY Stony Brook, Sch Marine &amp; Atmospher Sci, Stony Brook, NY 11794 USA; [Asanuma, I.] Tokyo Univ Informat Sci, Chiba 2658501, Japan; [Behrenfeld, M. J.; Westberry, T. K.] Oregon State Univ, Dept Bot &amp; Plant Pathol, Corvallis, OR 97331 USA; [Ciotti, A. M.] Univ Estadual Paulista, BR-11330900 Sao Paulo, Brazil; [Dowell, M.; Hoepffner, N.; Melin, F.] European Commiss, Joint Res Ctr, I-21027 Ispra, Italy; [Hyde, K. J. W.; O'Reilly, J.] NOAA, NMFS, Narragansett Lab, Narragansett, RI 02882 USA; [Ishizaka, J.] Nagoya Univ, Hydrospher Atmospher Res Ctr, Nagoya, Aichi 4648601, Japan; [Kameda, T.] Seikai Natl Fisheries Res Inst, Ishigaki Trop Stn, Okinawa 9070451, Japan; [Marra, J.] CUNY, Brooklyn Coll, Dept Geol, Brooklyn, NY 11210 USA; [Scardi, M.] Univ Roma Tor Vergata, Dept Biol, I-00173 Rome, Italy; [Smyth, T. J.] Plymouth Marine Lab, Plymouth PL1 3DH, Devon, England; [Tang, S.] Fisheries &amp; Oceans Canada, Inst Freshwater, Winnipeg, MB R3T 2N6, Canada; [Uitz, J.] Univ Calif San Diego, Scripps Inst Oceanog, La Jolla, CA 92093 USA; [Waters, K.] NOAA, Coastal Serv Ctr, Charleston, SC 29405 USA</t>
  </si>
  <si>
    <t>William &amp; Mary; Virginia Institute of Marine Science; Centre National de la Recherche Scientifique (CNRS); Sorbonne Universite; Centre National de la Recherche Scientifique (CNRS); CNRS - National Institute for Earth Sciences &amp; Astronomy (INSU); State University of New York (SUNY) System; State University of New York (SUNY) Stony Brook; Oregon State University; Universidade Estadual Paulista; European Commission Joint Research Centre; EC JRC ISPRA Site; National Oceanic Atmospheric Admin (NOAA) - USA; Nagoya University; Japan Fisheries Research &amp; Education Agency (FRA); City University of New York (CUNY) System; Brooklyn College (CUNY); University of Rome Tor Vergata; Plymouth Marine Laboratory; Fisheries &amp; Oceans Canada; University of California System; University of California San Diego; Scripps Institution of Oceanography; National Oceanic Atmospheric Admin (NOAA) - USA</t>
  </si>
  <si>
    <t>Saba, VS (corresponding author), Princeton Univ, Atmospher &amp; Ocean Sci Program, Princeton, NJ 08544 USA.</t>
  </si>
  <si>
    <t>vsaba@princeton.edu</t>
  </si>
  <si>
    <t>Saba, Vincent/A-3799-2010; UITZ, Julia/Q-7487-2018; Uitz, Julia/JTV-4579-2023; Antoine, David/C-3817-2013; Westberry, Toby/IUN-6529-2023; Ciotti, Aurea Maria/M-9025-2019; Smyth, Tim/D-2008-2012; Ciotti, Aurea Maria/B-7188-2011; Westberry, Toby/A-9871-2013; Scardi, Michele/AFL-8936-2022; Ishizaka, Joji/B-3587-2009</t>
  </si>
  <si>
    <t>Saba, Vincent/0000-0002-2974-4826; Antoine, David/0000-0002-9082-2395; Ciotti, Aurea Maria/0000-0001-7163-8819; Smyth, Tim/0000-0003-0659-1422; Ciotti, Aurea Maria/0000-0001-7163-8819; Scardi, Michele/0000-0003-0684-3941; Friedrichs, Marjorie/0000-0003-2828-7595; Ishizaka, Joji/0000-0003-0398-1572; Dowell, Mark/0000-0002-8009-6166; Hyde, Kimberly/0000-0002-1564-5499</t>
  </si>
  <si>
    <t>National Aeronautics and Space Agency [NNG06GA03G]</t>
  </si>
  <si>
    <t>National Aeronautics and Space Agency</t>
  </si>
  <si>
    <t>This research was supported by a grant from the National Aeronautics and Space Agency Ocean Biology and Biogeochemistry program (NNG06GA03G), as well as by numerous other grants to the various participating investigators. We thank Michael Dinniman, Birol Kara, and Scott Doney for providing MLD data for WAP, the Black Sea, and BATS/NEA, respectively. We also thank Marta Estrada and Zosim Finenko for providing data from the Mediterranean and Black Seas, respectively. We are grateful to the various sampling programs (Tables 1 and S1) for allowing public access to their datasets. We are also grateful for the hard work of the many scientists who helped acquire the in situ data used in this study. This is VIMS contribution # 3132.</t>
  </si>
  <si>
    <t>10.5194/bg-8-489-2011</t>
  </si>
  <si>
    <t>WOS:000287796800018</t>
  </si>
  <si>
    <t>Iudicone, D; Rodgers, KB; Stendardo, I; Aumont, O; Madec, G; Bopp, L; Mangoni, O; d'Alcala', MR</t>
  </si>
  <si>
    <t>Iudicone, D.; Rodgers, K. B.; Stendardo, I.; Aumont, O.; Madec, G.; Bopp, L.; Mangoni, O.; d'Alcala', M. Ribera</t>
  </si>
  <si>
    <t>Water masses as a unifying framework for understanding the Southern Ocean Carbon Cycle</t>
  </si>
  <si>
    <t>ANTHROPOGENIC CO2; CIRCULATION; SURFACE; MODEL; TRANSFORMATIONS; REPRESENTATION; SENSITIVITY; EXCHANGE; PACIFIC; EDDIES</t>
  </si>
  <si>
    <t>The scientific motivation for this study is to understand the processes in the ocean interior controlling carbon transfer across 30 degrees S. To address this, we have developed a unified framework for understanding the interplay between physical drivers such as buoyancy fluxes and ocean mixing, and carbon-specific processes such as biology, gas exchange and carbon mixing. Given the importance of density in determining the ocean interior structure and circulation, the framework is one that is organized by density and water masses, and it makes combined use of Eulerian and Lagrangian diagnostics. This is achieved through application to a global ice-ocean circulation model and an ocean biogeochemistry model, with both components being part of the widely-used IPSL coupled ocean/atmosphere/carbon cycle model. Our main new result is the dominance of the overturning circulation (identified by water masses) in setting the vertical distribution of carbon transport from the Southern Ocean towards the global ocean. A net contrast emerges between the role of Subantarctic Mode Water (SAMW), associated with large northward transport and ingassing, and Antarctic Intermediate Water (AAIW), associated with a much smaller export and outgassing. The differences in their export rate reflects differences in their water mass formation processes. For SAMW, two-thirds of the surface waters are provided as a result of the densification of thermocline water (TW), and upon densification this water carries with it a substantial di-apycnal flux of dissolved inorganic carbon (DIC). For AAIW, principal formatin processes include buoyancy forcing and mixing, with these serving to lighten CDW. An additional important formation pathway of AAIW is through the effect of interior processing (mixing, including cabelling) that serve to densify SAMW. A quantitative evaluation of the contribution of mixing, biology and gas exchange to the DIC evolution per water mass reveals that mixing and, secondarily, gas exchange, effectively nearly balance biology on annual scales (while the latter process can be dominant at seasonal scale). The distribution of DIC in the northward flowing water at 30 degrees S is thus primarily set by the DIC values of the water masses that are involved in the formation processes.</t>
  </si>
  <si>
    <t>[Iudicone, D.; Stendardo, I.; d'Alcala', M. Ribera] Staz Zool Anton Dohrn, Naples, Italy; [Rodgers, K. B.] Princeton Univ, Atmospher &amp; Ocean Sci Program, Princeton, NJ 08544 USA; [Stendardo, I.] Swiss Fed Inst Technol, Inst Biogeochem &amp; Pollutant Dynam, Zurich, Switzerland; [Aumont, O.] UBO, IRD, IFREMER, Lab Phys Oceans,CNRS, Plouzane, France; [Madec, G.] MNHN, UPMC, IRD, CNRS,IPSL,LOCEAN, Paris, France; [Madec, G.] Nat Oceanog Ctr, Southampton, Hants, England; [Bopp, L.] UVSQ, CEA, CNRS, IPSL,LSCE, Gif Sur Yvette, France; [Mangoni, O.] Univ Naples Federico II, Dipartimento Sci Biol, Naples, Italy</t>
  </si>
  <si>
    <t>Stazione Zoologica Anton Dohrn di Napoli; Princeton University; National Oceanic Atmospheric Admin (NOAA) - USA; Swiss Federal Institutes of Technology Domain; ETH Zurich; Universite de Bretagne Occidentale; Institut Universitaire Europeen de la Mer (IUEM); Centre National de la Recherche Scientifique (CNRS); Ifremer; Institut de Recherche pour le Developpement (IRD); Institut de Recherche pour le Developpement (IRD); Sorbonne Universite; Universite Paris Cite; Museum National d'Histoire Naturelle (MNHN); Centre National de la Recherche Scientifique (CNRS); NERC National Oceanography Centre; Universite Paris Cite; Universite Paris Saclay; CEA; Centre National de la Recherche Scientifique (CNRS); University of Naples Federico II</t>
  </si>
  <si>
    <t>Iudicone, D (corresponding author), Staz Zool Anton Dohrn, Naples, Italy.</t>
  </si>
  <si>
    <t>iudicone@szn.it</t>
  </si>
  <si>
    <t>Rodgers, Keith/AAL-4329-2021; Aumont, Olivier/G-5207-2016; bopp, laurent/ABF-5302-2020; madec, gurvan/E-7825-2010; Iudicone, Daniele/B-9008-2008; Ribera d'Alcala', Maurizio/B-7114-2012</t>
  </si>
  <si>
    <t>Aumont, Olivier/0000-0003-3954-506X; bopp, laurent/0000-0003-4732-4953; madec, gurvan/0000-0002-6447-4198; Ribera d'Alcala', Maurizio/0000-0002-5492-9961; Stendardo, Ilaria/0000-0002-3105-6045</t>
  </si>
  <si>
    <t>Vincenzo Saggiomo; Carbon Mitigation Initiative (CMI) at Princeton University; Ford Motor Company; NASA [NNX09AI13G]; NOAA Office of Climate Observations (OCO); [NA17RJ2612]; [NA08OAR4320752]; NERC [noc010010, noc010005] Funding Source: UKRI; Natural Environment Research Council [noc010005, noc010010] Funding Source: researchfish; NASA [NNX09AI13G, 117449] Funding Source: Federal RePORTER</t>
  </si>
  <si>
    <t>Vincenzo Saggiomo; Carbon Mitigation Initiative (CMI) at Princeton University; Ford Motor Company; NASA(National Aeronautics &amp; Space Administration (NASA)); NOAA Office of Climate Observations (OCO); ; ; NERC(UK Research &amp; Innovation (UKRI)Natural Environment Research Council (NERC)); Natural Environment Research Council(UK Research &amp; Innovation (UKRI)Natural Environment Research Council (NERC)); NASA(National Aeronautics &amp; Space Administration (NASA))</t>
  </si>
  <si>
    <t>We gratefully acknowledge the support by Vincenzo Saggiomo. We would like to thank Bruno Blanke for providing the Lagrangian ARIANE code (http://stockage.univ-brest.fr/similar to grima/Ariane/) and for the support for its optimal use. We would like to thank Sarah E. Mikaloff Fletcher, Stephen Griffies and Jorge L. Sarmiento for helpful discussions and suggestions. Discussion with B. Linne' are also kindly acknowledged. We would like to thank the three anonymous referees for providing us with constructive comments and suggestions.; The contribution of KBR was partially supported by the Carbon Mitigation Initiative (CMI) project at Princeton University, sponsored by BP and the Ford Motor Company, and by NASA award NNX09AI13G. Additionally, the contribution of KBR was also partially supported through awards NA17RJ2612 and NA08OAR4320752, which includes support through the NOAA Office of Climate Observations (OCO). The statements, findings, conclusions, and recommendations are those of the authors and do not necessarily reflect the views of the National Oceanic and Atmospheric Administration or the US Department of Commerce.</t>
  </si>
  <si>
    <t>10.5194/bg-8-1031-2011</t>
  </si>
  <si>
    <t>769HK</t>
  </si>
  <si>
    <t>WOS:000291003200001</t>
  </si>
  <si>
    <t>González-Dávila, M; Santana-Casiano, JM; Fine, RA; Happell, J; Delille, B; Speich, S</t>
  </si>
  <si>
    <t>Gonzalez-Davila, M.; Santana-Casiano, J. M.; Fine, R. A.; Happell, J.; Delille, B.; Speich, S.</t>
  </si>
  <si>
    <t>Carbonate system in the water masses of the Southeast Atlantic sector of the Southern Ocean during February and March 2008</t>
  </si>
  <si>
    <t>ANTARCTIC CIRCUMPOLAR CURRENT; WEDDELL GYRE; INTERANNUAL VARIABILITY; ATMOSPHERIC CO2; CANARY-ISLANDS; CLIMATE-CHANGE; INDIAN SECTOR; SEAWATER; DIOXIDE; AFRICA</t>
  </si>
  <si>
    <t>Carbonate system variables were measured in the South Atlantic sector of the Southern Ocean along a transect from South Africa to the southern limit of the Antarctic Circumpolar Current (ACC) from February to March 2008. Eddies detached from the retroflection of the Agulhas Current increased the gradients observed along the fronts. Minima in the fugacity of CO(2), fCO(2), and maxima in pH on either side of the frontal zone were observed, noting that within the frontal zone fCO(2) reached maximum values and pH was at a minimum. Vertical distributions of water masses were described by their carbonate system properties and their relationship to CFC concentrations. Upper Circumpolar Deep Water (UCDW) and Lower Circumpolar Deep Water (LCDW) offered pH(T,25) values of 7.56 and 7.61, respectively. The UCDW also had higher concentrations of CFC-12 (&gt;0.2 pmol kg(-1)) as compared to deeper waters, revealing that UCDW was mixed with recently ventilated waters. Calcite and aragonite saturation states (Omega) were also affected by the presence of these two water masses with high carbonate concentrations. The aragonite saturation horizon was observed at 1000 m in the subtropical area and north of the Subantarctic Front. At the position of the Polar Front, and under the influence of UCDW and LCDW, the aragonite saturation horizon deepened from 800 m to 1500 m at 50.37 degrees S, and reached 700 m south of 57.5 degrees S. High latitudes proved to be the most sensitive areas to predicted anthropogenic carbon increase. Buffer coefficients related to changes in [CO(2)], [H(+)] and Omega with changes in dissolved inorganic carbon (C(T)) and total alkalinity (A(T)) offered minima values in the Antarctic Intermediate Water and UCDW layers. These coefficients suggest that a small increase in C(T) will sharply decrease the status of pH and carbonate saturation. Here we present data that suggest that south of 55 degrees S, surface water will be under-saturated with respect to aragonite within the next few decades.</t>
  </si>
  <si>
    <t>[Gonzalez-Davila, M.; Santana-Casiano, J. M.] Univ Las Palmas Gran Canaria, Fac Ciencias Mar, Dept Quim, Las Palmas Gran Canaria 35017, Spain; [Fine, R. A.; Happell, J.] Univ Miami, Rosenstiel Sch, Miami, FL 33149 USA; [Delille, B.] Univ Liege, Astrophys Geophys &amp; Oceanog Dept, Unit Oceanog Chim, B-4000 Liege, Belgium; [Speich, S.] CNRS IFREMER UBO, Lab Phys Oceans LPO, Brest, France</t>
  </si>
  <si>
    <t>Universidad de Las Palmas de Gran Canaria; University of Miami; University of Liege; Centre National de la Recherche Scientifique (CNRS); Ifremer; Institut de Recherche pour le Developpement (IRD)</t>
  </si>
  <si>
    <t>González-Dávila, M (corresponding author), Univ Las Palmas Gran Canaria, Fac Ciencias Mar, Dept Quim, Las Palmas Gran Canaria 35017, Spain.</t>
  </si>
  <si>
    <t>mgonzalez@dqui.ulpgc.es</t>
  </si>
  <si>
    <t>CASIANO, JUANA MAGDALENA SANTANA/K-5058-2014; Speich, Sabrina/L-3780-2014; DAVILA, MELCHOR GONZALEZ/K-4958-2014; GONZALEZ-DAVILA, MELCHOR/K-5058-2014; Delille, Bruno/C-3486-2008</t>
  </si>
  <si>
    <t>CASIANO, JUANA MAGDALENA SANTANA/0000-0002-7930-7683; Speich, Sabrina/0000-0002-5452-8287; GONZALEZ-DAVILA, MELCHOR/0000-0003-3230-8985; Happell, James/0000-0001-6049-3909; Delille, Bruno/0000-0003-0502-8101</t>
  </si>
  <si>
    <t>Spanish Ministry of Science [CGL2007-28899-E]</t>
  </si>
  <si>
    <t>Spanish Ministry of Science(Spanish Government)</t>
  </si>
  <si>
    <t>This research was carried out within the framework of the French International Polar Year Program under the BONUS-GoodHope project. The carbon dioxide study was funded by the Spanish Ministry of Science under grant CGL2007-28899-E. We are grateful to the officers and crew on the R/V Marion Dufresne for making this experiment possible. The comments and helpful discussions to this paper offered by Michel Arhan, by the Editor, M. Hoppema, and by the two anonymous reviewers have made valuable contributions to the final version and are, therefore, gratefully acknowledged. The invaluable work of M. Boye, F. Dehairs and S. Speich to co-ordinate a large expedition with an enormous variety of research is also gratefully acknowledged.</t>
  </si>
  <si>
    <t>10.5194/bg-8-1401-2011</t>
  </si>
  <si>
    <t>781OE</t>
  </si>
  <si>
    <t>WOS:000291942000002</t>
  </si>
  <si>
    <t>Thomalla, SJ; Fauchereau, N; Swart, S; Monteiro, PMS</t>
  </si>
  <si>
    <t>Thomalla, S. J.; Fauchereau, N.; Swart, S.; Monteiro, P. M. S.</t>
  </si>
  <si>
    <t>Regional scale characteristics of the seasonal cycle of chlorophyll in the Southern Ocean</t>
  </si>
  <si>
    <t>ANTARCTIC CIRCUMPOLAR CURRENT; NATURAL IRON FERTILIZATION; PHYTOPLANKTON BLOOMS; NORTH-ATLANTIC; INTERANNUAL VARIABILITY; TEMPORAL VARIABILITY; POLAR FRONT; CELL-SIZE; IMPACT; WORLD</t>
  </si>
  <si>
    <t>In the Ocean, the seasonal cycle is the mode that couples climate forcing to ecosystem response in production, diversity and carbon export. A better characterisation of the ecosystem's seasonal cycle therefore addresses an important gap in our ability to estimate the sensitivity of the biological pump to climate change. In this study, the regional characteristics of the seasonal cycle of phytoplankton biomass in the Southern Ocean are examined in terms of the timing of the bloom initiation, its amplitude, regional scale variability and the importance of the climatological seasonal cycle in explaining the overall variance. The seasonal cycle was consequently defined into four broad zonal regions; the subtropical zone (STZ), the transition zone (TZ), the Antarctic circumpolar zone (ACZ) and the marginal ice zone (MIZ). Defining the Southern Ocean according to the characteristics of its seasonal cycle provides a more dynamic understanding of ocean productivity based on underlying physical drivers rather than climatological biomass. The response of the biology to the underlying physics of the different seasonal zones resulted in an additional classification of four regions based on the extent of inter-annual seasonal phase locking and the magnitude of the integrated seasonal biomass. This regionalisation contributes towards an improved understanding of the regional differences in the sensitivity of the Southern Oceans ecosystem to climate forcing, potentially allowing more robust predictions of the effects of long term climate trends.</t>
  </si>
  <si>
    <t>[Thomalla, S. J.; Fauchereau, N.; Swart, S.; Monteiro, P. M. S.] CSIR, Ocean Syst &amp; Climate Grp, ZA-7599 Stellenbosch, South Africa; [Thomalla, S. J.; Swart, S.] Univ Cape Town, Dept Oceanog, ZA-7700 Rondebosch, South Africa</t>
  </si>
  <si>
    <t>Council for Scientific &amp; Industrial Research (CSIR) - South Africa; University of Cape Town</t>
  </si>
  <si>
    <t>Thomalla, SJ (corresponding author), CSIR, Ocean Syst &amp; Climate Grp, POB 320, ZA-7599 Stellenbosch, South Africa.</t>
  </si>
  <si>
    <t>sandy.thomalla@gmail.com</t>
  </si>
  <si>
    <t>Monteiro, Pedro M. S./D-3767-2009; Thomalla, Sandy/AAS-4133-2021; Swart, Sebastiaan/U-5498-2017</t>
  </si>
  <si>
    <t>Swart, Sebastiaan/0000-0002-2251-8826</t>
  </si>
  <si>
    <t>Southern Ocean Carbon and Climate Observatory (SOCCO); European Commission [265294]; ACCESS; NRF/SANAP [SNA2007051100001]; CSIR</t>
  </si>
  <si>
    <t>Southern Ocean Carbon and Climate Observatory (SOCCO); European Commission(European Union (EU)European Commission Joint Research Centre); ACCESS; NRF/SANAP; CSIR(Council of Scientific &amp; Industrial Research (CSIR) - India)</t>
  </si>
  <si>
    <t>This work was undertaken and supported through the Southern Ocean Carbon and Climate Observatory (SOCCO) Programme. In addition, this work was partially funded by the European Commission 7th framework program through the GreenSeas Collaborative Project, FP7-ENV-2010 contract No. 265294. S. J. Thomalla and S. Swart were supported through SOCCO post doctoral fellowships funded by ACCESS and NRF/SANAP SNA2007051100001. P. M. S. Monteiro and N. Fauchereau were supported by CSIR's Parliamentary Grant. We would like to thank our anonymous reviewers for their valuable contribution to the improvement of this manuscript.</t>
  </si>
  <si>
    <t>10.5194/bg-8-2849-2011</t>
  </si>
  <si>
    <t>844KV</t>
  </si>
  <si>
    <t>WOS:000296747000003</t>
  </si>
  <si>
    <t>Joubert, WR; Thomalla, SJ; Waldron, HN; Lucas, MI; Boye, M; Le Moigne, FAC; Planchon, F; Speich, S</t>
  </si>
  <si>
    <t>Joubert, W. R.; Thomalla, S. J.; Waldron, H. N.; Lucas, M. I.; Boye, M.; Le Moigne, F. A. C.; Planchon, F.; Speich, S.</t>
  </si>
  <si>
    <t>Nitrogen uptake by phytoplankton in the Atlantic sector of the Southern Ocean during late austral summer</t>
  </si>
  <si>
    <t>ANTARCTIC POLAR FRONT; HIGH-NUTRIENT; SURFACE CHLOROPHYLL; COMMUNITY STRUCTURE; EQUATORIAL PACIFIC; CO2 FLUX; IRON; CARBON; SEA; DYNAMICS</t>
  </si>
  <si>
    <t>As part of the Bonus-GoodHope (BGH) campaign, N-15-labelled nitrate, ammonium and urea uptake measurements were made along the BGH transect from Cape Town to similar to 60 degrees S in late austral summer, 2008. Our results are categorised according to distinct hydrographic regions defined by oceanic fronts and open ocean zones. High regenerated nitrate uptake rate in the oligotrophic Subtropical Zone (STZ) resulted in low f-ratios (f = 0.2) with nitrogen uptake being dominated by rho urea, which contributed up to 70% of total nitrogen uptake. Size fractionated chlorophyll data showed that the greatest contribution (&gt;50 %) of picophytoplankton (&lt;2 mu m) were found in the STZ, consistent with a community based on regenerated production. The Subantarctic Zone (SAZ) showed the greatest total integrated nitrogen uptake (10.3 mmol m(-2) d(-1)), mainly due to enhanced nutrient supply within an anticyclonic eddy observed in this region. A decrease in the contribution of smaller size classes to the phytoplankton community was observed with increasing latitude, concurrent with a decrease in the contribution of regenerated production. Higher f-ratios observed in the SAZ (f = 0.49), Polar Frontal Zone (f = 0.41) and Antarctic Zone (f = 0.45) relative to the STZ (f = 0.24), indicate a higher contribution of NO3--uptake relative to total nitrogen and potentially higher export production. High ambient regenerated nutrient concentrations are indicative of active regeneration processes throughout the transect and ascribed to late summer season sampling. Higher depth integrated uptake rates also correspond with higher surface iron concentrations. No clear correlation was observed between carbon export estimates derived from new production and Th-234 flux. In addition, export derived from N-15 estimates were 220 times greater than those based on Th-234 flux. Variability in the magnitude of export is likely due to intrinsically different methods, compounded by differences in integration time scales for the two proxies of carbon export.</t>
  </si>
  <si>
    <t>[Joubert, W. R.; Thomalla, S. J.] CSIR, ZA-7599 Stellenbosch, South Africa; [Joubert, W. R.; Thomalla, S. J.; Waldron, H. N.] Univ Cape Town, Dept Oceanog, ZA-7701 Cape Town, South Africa; [Lucas, M. I.] Univ Cape Town, Dept Zool, ZA-7701 Cape Town, South Africa; [Boye, M.; Le Moigne, F. A. C.; Planchon, F.] Inst Univ Europeen Mer Technopole Brest Iroise, Lab Sci Environ Marin, UBO CNRS IRD, UMR6539, F-29280 Plouzane, France; [Speich, S.] Ctr Ifremer, CNRS IFREMER IRD UBO IUEM, LPO, UMR6523, F-29820 Plouzane, France</t>
  </si>
  <si>
    <t>Council for Scientific &amp; Industrial Research (CSIR) - South Africa; University of Cape Town; University of Cape Town; Universite de Bretagne Occidentale; Institut Universitaire Europeen de la Mer (IUEM); Centre National de la Recherche Scientifique (CNRS); Ifremer; Institut de Recherche pour le Developpement (IRD); CNRS - Institute of Ecology &amp; Environment (INEE); Centre National de la Recherche Scientifique (CNRS); CNRS - National Institute for Earth Sciences &amp; Astronomy (INSU); Ifremer; Universite de Bretagne Occidentale; Institut de Recherche pour le Developpement (IRD)</t>
  </si>
  <si>
    <t>Joubert, WR (corresponding author), CSIR, POB 320, ZA-7599 Stellenbosch, South Africa.</t>
  </si>
  <si>
    <t>wjoubert@csir.co.za</t>
  </si>
  <si>
    <t>Speich, Sabrina/L-3780-2014; Thomalla, Sandy/AAS-4133-2021; Frederic, Planchon A.M./A-8651-2010; Le Moigne, Frederic/H-9410-2013; Le Moigne, Frederic/O-9851-2014</t>
  </si>
  <si>
    <t>Speich, Sabrina/0000-0002-5452-8287; Planchon, Frederic/0000-0003-1288-9698; Le Moigne, Frederic/0000-0001-7316-5111</t>
  </si>
  <si>
    <t>Institut National des Sciences de L'Univers of the Centre National de la Recherche Scientifique; French Polar Institute (Institut Polaire Emile Victor); French Research Institute for Exploitation of the Sea; National Agency for Research Funding (ANR); University of Brest/IUEM; Southern Ocean Carbon - Climate Observatory (SOCCO); CSIR; ACCESS; NRF/SANAP</t>
  </si>
  <si>
    <t>Institut National des Sciences de L'Univers of the Centre National de la Recherche Scientifique(Centre National de la Recherche Scientifique (CNRS)); French Polar Institute (Institut Polaire Emile Victor); French Research Institute for Exploitation of the Sea; National Agency for Research Funding (ANR)(Agence Nationale de la Recherche (ANR)); University of Brest/IUEM; Southern Ocean Carbon - Climate Observatory (SOCCO); CSIR(Council of Scientific &amp; Industrial Research (CSIR) - India); ACCESS; NRF/SANAP</t>
  </si>
  <si>
    <t>We thank the captain, officers and the crew of the R/V Marion Dufresne for their invaluable assistance in completing the BGH survey. We acknowledge Frank Dehairs and Anne-Julie Cavagna for providing the unpublished 234Th data collected during the cruise. We also thank Annick Masson, Audrey Guenneugues for providing the macronutrient, chl-a and POC data. This work was supported by the Institut National des Sciences de L'Univers of the Centre National de la Recherche Scientifique, the French Polar Institute (Institut Polaire Emile Victor), the French Research Institute for Exploitation of the Sea, the National Agency for Research Funding (ANR), and the University of Brest/IUEM. This work was also funded through the Southern Ocean Carbon - Climate Observatory (SOCCO) programme and the CSIR Parliamentary Grant. S. J. Thomalla was supported through a SOCCO post doctoral fellowship funded by ACCESS and NRF/SANAP.</t>
  </si>
  <si>
    <t>10.5194/bg-8-2947-2011</t>
  </si>
  <si>
    <t>WOS:000296747000011</t>
  </si>
  <si>
    <t>St Clair, JJH</t>
  </si>
  <si>
    <t>St Clair, James J. H.</t>
  </si>
  <si>
    <t>The impacts of invasive rodents on island invertebrates</t>
  </si>
  <si>
    <t>BIOLOGICAL CONSERVATION</t>
  </si>
  <si>
    <t>Invasive species; Rodents; Rattus; Mus; Invertebrate; Trophic cascade; Weta; New Zealand</t>
  </si>
  <si>
    <t>FERAL HOUSE MICE; RATS RATTUS-NORVEGICUS; SUB-ANTARCTIC MARION; NEW-ZEALAND; NORWAY RATS; INTRODUCED RODENTS; MUS-MUSCULUS; PLACOSTYLUS-AMBAGIOSUS; BEETLE COLEOPTERA; SMALL MAMMALS</t>
  </si>
  <si>
    <t>The widespread invasive rodents Rattus norvegicus, R. rattus, R. exulans and Mus musculus have been implicated in the decline and extinction of hundreds of island endemic vertebrates, but their effects on island invertebrates are less well-known. Here I present the first global review of the subject, which confirms that large-bodied invertebrates are most at risk from these rodents, and that although a disproportionate number of studies (69%) are from New Zealand, rodent-invertebrate impacts are geographically widespread. Mechanisms of impact are both direct (mediated by predation) and indirect (involving intermediary species). Some studies also suggest knock-on effects on ecosystem properties, and given the diverse ecological functions of invertebrates (as detritivores, primary consumers, predators, prey and pollinators). I suggest that an understanding of the interactions between invasive rodents and invertebrates in island ecosystems is essential for effective conservation management. Currently many reported impacts are unquantified, come from uncontrolled and unreplicated designs, or rely on time-series with inadequate baseline data. In addition to basic improvements in study design, this review highlights a need for studies which investigate mechanisms of impact, or impacts across trophic levels. (C) 2010 Elsevier Ltd. All rights reserved.</t>
  </si>
  <si>
    <t>[St Clair, James J. H.] Univ Bath, Dept Biol &amp; Biochem, Bath BA2 7AY, Avon, England</t>
  </si>
  <si>
    <t>University of Bath</t>
  </si>
  <si>
    <t>St Clair, JJH (corresponding author), Univ Oxford, Dept Zool, Tinbergen Bldg,S Parks Rd, Oxford OX1 3PS, England.</t>
  </si>
  <si>
    <t>james.st-clair@zoo.ox.ac.uk</t>
  </si>
  <si>
    <t>St Clair, James J H/H-4946-2011</t>
  </si>
  <si>
    <t>St Clair, James/0000-0003-2902-4391</t>
  </si>
  <si>
    <t>University of Bath [9 PTO REG 5/1]; European Union</t>
  </si>
  <si>
    <t>University of Bath; European Union(European Union (EU))</t>
  </si>
  <si>
    <t>Funding was provided by the University of Bath and the European Union's EDF-9 programme through the South Atlantic Invasive Species Project (Project No. 9 PTO REG 5/1) administered by RSPB. I am grateful to T. Szekely, F. Burns, P. Hammond, R. Young and two anonymous reviewers for their comments on earlier drafts of the review. I contacted a number of field researchers and conservation practitioners during the compilation process, too numerous to list here, to whom I am grateful for supplying me with unpublished details of their studies, inaccessible pieces of literature, and very welcome comments and encouragement.</t>
  </si>
  <si>
    <t>0006-3207</t>
  </si>
  <si>
    <t>1873-2917</t>
  </si>
  <si>
    <t>BIOL CONSERV</t>
  </si>
  <si>
    <t>Biol. Conserv.</t>
  </si>
  <si>
    <t>10.1016/j.biocon.2010.10.006</t>
  </si>
  <si>
    <t>719AA</t>
  </si>
  <si>
    <t>WOS:000287168100007</t>
  </si>
  <si>
    <t>Smith, RIL; Richardson, M</t>
  </si>
  <si>
    <t>Smith, Ronald I. Lewis; Richardson, Michael</t>
  </si>
  <si>
    <t>Fuegian plants in Antarctica: natural or anthropogenically assisted immigrants?</t>
  </si>
  <si>
    <t>BIOLOGICAL INVASIONS</t>
  </si>
  <si>
    <t>Nassauvia magellanica; Gamochaeta nivalis; Alien or natural immigrant; Biosecurity; Deception Island; Antarctica</t>
  </si>
  <si>
    <t>VASCULAR PLANTS; CLIMATE-CHANGE; IMPACTS; RESPONSES; ISLANDS</t>
  </si>
  <si>
    <t>Two species of flowering plant of Fuegian montane provenance have been discovered on Deception Island in the maritime Antarctic, 950 km south of South America. Four individuals of Nassauvia magellanica and one of Gamochaeta nivalis (both Asteraceae) are growing robustly and in close proximity of each other on dry ash and scoria soil near a ruined whaling station which, in recent years, has been frequently visited by large numbers of ship-borne tourists. The Protocol on Environmental Protection to the Antarctic Treaty and the Management Plan for the island, designated an Antarctic Specially Managed Area, provide strict regulations for the conduct of visitors to this site and precautions against the accidental introduction of non-indigenous species. While their establishment on this remote volcanic island may have been anthropogenically mediated, natural immigration cannot be ruled out as both species produce seed adapted for wind-dispersal in their native Tierra del Fuego. The ecological consequences if one or both of these aliens spreads beyond their present restricted location are considered. While determined efforts are being made to implement rigorous biosecurity measures in Antarctica, current Antarctic Treaty policy on dealing with colonizing invasive alien species is indecisive and requires urgent action and clear recommendations.</t>
  </si>
  <si>
    <t>[Smith, Ronald I. Lewis] Ctr Antarctic Plant Ecol &amp; Divers, Moffat DG10 9LB, Dumfries, Scotland</t>
  </si>
  <si>
    <t>Smith, RIL (corresponding author), Ctr Antarctic Plant Ecol &amp; Divers, Alton Rd, Moffat DG10 9LB, Dumfries, Scotland.</t>
  </si>
  <si>
    <t>rils1@o2.co.uk; mrtree@kos.net</t>
  </si>
  <si>
    <t>1387-3547</t>
  </si>
  <si>
    <t>1573-1464</t>
  </si>
  <si>
    <t>BIOL INVASIONS</t>
  </si>
  <si>
    <t>Biol. Invasions</t>
  </si>
  <si>
    <t>10.1007/s10530-010-9784-x</t>
  </si>
  <si>
    <t>695GT</t>
  </si>
  <si>
    <t>WOS:000285359300001</t>
  </si>
  <si>
    <t>van Rensburg, BJ; Weyl, OLF; Davies, SJ; van Wilgen, NJ; Spear, D; Chimimba, CT; Peacock, F</t>
  </si>
  <si>
    <t>Pimentel, D</t>
  </si>
  <si>
    <t>van Rensburg, Berndt J.; Weyl, Olaf L. F.; Davies, Sarah J.; van Wilgen, Nicola J.; Spear, Dian; Chimimba, Christian T.; Peacock, Faansie</t>
  </si>
  <si>
    <t>Invasive vertebrates of South Africa</t>
  </si>
  <si>
    <t>BIOLOGICAL INVASIONS: ECONOMIC AND ENVIRONMENTAL COSTS OF ALIEN PLANT, ANIMAL, AND MICROBE SPECIES, 2ND EDITION</t>
  </si>
  <si>
    <t>SUB-ANTARCTIC MARION; BULLFROG RANA-CATESBEIANA; CAPE FLORISTIC REGION; RED-LEGGED FROGS; HOUSE MICE; XENOPUS-LAEVIS; CLIMATE-CHANGE; HABITAT USE; BIOLOGICAL INVASIONS; POPULATION-SIZE</t>
  </si>
  <si>
    <t>[van Rensburg, Berndt J.] Univ Pretoria, Dept Zool &amp; Entomol, ZA-0002 Pretoria, South Africa; [Weyl, Olaf L. F.] South African Inst Aquat Biodivers, Grahamstown, South Africa; [Davies, Sarah J.] Univ Stellenbosch, Fac Sci, DST NRF Ctr Excellence Invas Biol CIB, Matieland, South Africa; [van Wilgen, Nicola J.; Spear, Dian] Univ Stellenbosch, Dept Bot &amp; Zool, DST NRF Ctr Excellence Invas Biol CIB, Matieland, South Africa; [Chimimba, Christian T.] Univ Pretoria, MRI, ZA-0002 Pretoria, South Africa; [Chimimba, Christian T.] Univ Pretoria, Dept Zool &amp; Entomol, DST NRF Ctr Excellence Invas Biol CIB, ZA-0002 Pretoria, South Africa; [Peacock, Faansie] Univ Pretoria, Dept Zool &amp; Entomol, DST NRF Ctr Excellence Invas Biol, ZA-0002 Pretoria, South Africa</t>
  </si>
  <si>
    <t>University of Pretoria; National Research Foundation - South Africa; South African Institute for Aquatic Biodiversity; National Research Foundation - South Africa; Stellenbosch University; National Research Foundation - South Africa; Stellenbosch University; University of Pretoria; University of Pretoria; National Research Foundation - South Africa; National Research Foundation - South Africa; University of Pretoria</t>
  </si>
  <si>
    <t>van Rensburg, BJ (corresponding author), Univ Pretoria, Dept Zool &amp; Entomol, ZA-0002 Pretoria, South Africa.</t>
  </si>
  <si>
    <t>Davies, Sarah/ITT-3963-2023; Chimimba, Christian/AAX-4146-2020; van Rensburg, Berndt/A-4154-2009; van Wilgen, Nicola/D-7262-2012; Spear, Dian/B-2469-2009</t>
  </si>
  <si>
    <t>van Rensburg, Berndt/0000-0002-5274-5536; van Wilgen, Nicola/0000-0001-8110-698X; Spear, Dian/0000-0002-2417-3980; Davies, Sarah/0000-0003-2407-914X</t>
  </si>
  <si>
    <t>CRC PRESS-TAYLOR &amp; FRANCIS GROUP</t>
  </si>
  <si>
    <t>BOCA RATON</t>
  </si>
  <si>
    <t>6000 BROKEN SOUND PARKWAY NW, STE 300, BOCA RATON, FL 33487-2742 USA</t>
  </si>
  <si>
    <t>978-1-4398-2991-2; 978-1-4398-2990-5</t>
  </si>
  <si>
    <t>10.1201/b10938</t>
  </si>
  <si>
    <t>BC4XY</t>
  </si>
  <si>
    <t>WOS:000352996300015</t>
  </si>
  <si>
    <t>Martínez, CMO; Momo, FR; Echeverry, GES</t>
  </si>
  <si>
    <t>Mondaini, RP</t>
  </si>
  <si>
    <t>Ocampo Martinez, Carlos Mario; Roberto Momo, Fernando; Salcedo Echeverry, Gladys Elena</t>
  </si>
  <si>
    <t>ESTIMATING THE PHOTOSYNTHETIC INHIBITION BY ULTRA VIOLET RADIATION ON THE ANTARCTIC PHYTOPLANKTON ALGAE</t>
  </si>
  <si>
    <t>BIOMAT 2010: INTERNATIONAL SYMPOSIUM ON MATHEMATICAL AND COMPUTATIONAL BIOLOGY</t>
  </si>
  <si>
    <t>1st International Symposium on Mathematical and Computational Biology of the Society-for-Mathematical-Biology</t>
  </si>
  <si>
    <t>JUL 24-29, 2010</t>
  </si>
  <si>
    <t>Rio de Janeiro, BRAZIL</t>
  </si>
  <si>
    <t>The thinning of the ozone layer has resulted into an increase in the UVR (Ultra Violet Radiation) doses entering the water column in the Antarctic Sea; such that together with several physical chemical influential factors in the vertical mixing are affecting photoinhibition to the phytoplankton. Starting with a single mathematical model among other factors the algal cell self-repairing during a vertical mixing cycle, we obtained on 1-hr basis estimations of photosynthetic inhibition of the Antarctic algae. We obtained such estimations by using data from Melchior scientific station, a research facility located in the Archipielago Melchior, in the Billingshausen Sea. Samplings were registered between February 11th and March 10th, 2002. We calculated two photosynthetic inhibition time series: The first one by using the irradiance series measured at these wavelengths: 305, 320, 340 and 380 nm. A second series was obtained by using the irradiance series calculated after verifying the statistical hypothesis related to the proportionality of the sampled series.</t>
  </si>
  <si>
    <t>[Ocampo Martinez, Carlos Mario] Univ Quindio, Maestra Biomatemat, Cra 15 Calle 12 N, Armenia 460, Quindio, Colombia; [Roberto Momo, Fernando] Univ Nacl Gen Sarmiento, Inst Ciencias, RA-B1613GSX Buenos Aires, DF, Argentina; [Salcedo Echeverry, Gladys Elena] Univ Quindio, Dept Matemat, Armenia 460, Quindio, Colombia</t>
  </si>
  <si>
    <t>Universidad del Quindio; Universidad del Quindio</t>
  </si>
  <si>
    <t>Martínez, CMO (corresponding author), Univ Quindio, Maestra Biomatemat, Cra 15 Calle 12 N, Armenia 460, Quindio, Colombia.</t>
  </si>
  <si>
    <t>cmom24@gmail.com</t>
  </si>
  <si>
    <t>Momo, Fernando R/E-3426-2012; Salcedo, Gladys/AAW-2620-2021</t>
  </si>
  <si>
    <t>Momo, Fernando R/0000-0003-0710-1149; Salcedo, Gladys/0000-0002-2316-2585</t>
  </si>
  <si>
    <t>conacyt [0125851, p51739-r, 105844]</t>
  </si>
  <si>
    <t>conacyt(Consejo Nacional de Ciencia y Tecnologia (CONACyT))</t>
  </si>
  <si>
    <t>This work is supported by grants conacyt 0125851, p51739-r, 105844.</t>
  </si>
  <si>
    <t>WORLD SCIENTIFIC PUBL CO PTE LTD</t>
  </si>
  <si>
    <t>SINGAPORE</t>
  </si>
  <si>
    <t>PO BOX 128 FARRER RD, SINGAPORE 9128, SINGAPORE</t>
  </si>
  <si>
    <t>978-981-4343-42-8</t>
  </si>
  <si>
    <t>Mathematical &amp; Computational Biology</t>
  </si>
  <si>
    <t>BA7BE</t>
  </si>
  <si>
    <t>WOS:000337352200015</t>
  </si>
  <si>
    <t>Galloway, DJ</t>
  </si>
  <si>
    <t>Bates, ST; Bungartz, F; Lucking, R; HerreraCampos, MA; Zambrano, A</t>
  </si>
  <si>
    <t>Galloway, David J.</t>
  </si>
  <si>
    <t>Aspiciliopsis (Mull. Arg.) M. Choisy and Placopsis (Nyl.) Linds. (Trapeliaceae: Ascomycota) in Iles Kerguelen</t>
  </si>
  <si>
    <t>BIOMONITORING, ECOLOGY, AND SYSTEMATICS OF LICHENS: RECOGNIZING THE LICHENOLOGICAL LEGACY OF THOMAS H. NASH III ON HIS 65TH BIRTHDAY</t>
  </si>
  <si>
    <t>Bibliotheca Lichenologica</t>
  </si>
  <si>
    <t>Aspiciliopsis; Placopsis; Trapeliaceae; Isles Kerguelen; lichens</t>
  </si>
  <si>
    <t>SUB-ANTARCTIC ISLANDS; PRINCE-EDWARD ISLANDS; CHROMATOGRAPHIC METHOD; MYCOBIOTA; IDENTIFICATION; AGYRIACEAE; ADDITIONS; LICHENS</t>
  </si>
  <si>
    <t>Aspiciliospis macrophthalma and five species of Placopsis, viz., P. bicolor, P. dusenii, P. fuscidula, P. lambii and P. lateritioides are recorded from Iles Kerguelen in the Southern Ocean, largely from collections made by Prof H.A Imshaug and others during Eltanin Cruise 47 in 1971. A key to species is given together with descriptive notes, and comments on their ecology and distribution.</t>
  </si>
  <si>
    <t>Landcare Res, Dunedin, New Zealand</t>
  </si>
  <si>
    <t>Landcare Research - New Zealand</t>
  </si>
  <si>
    <t>Galloway, DJ (corresponding author), Landcare Res, Private Bay 1930, Dunedin, New Zealand.</t>
  </si>
  <si>
    <t>gallowayd@landcare.cri.nz</t>
  </si>
  <si>
    <t>J CRAMER</t>
  </si>
  <si>
    <t>1436-1698</t>
  </si>
  <si>
    <t>978-3-443-58085-8</t>
  </si>
  <si>
    <t>BIBL LICHENOL</t>
  </si>
  <si>
    <t>Bibl. Lichen.</t>
  </si>
  <si>
    <t>BVF22</t>
  </si>
  <si>
    <t>WOS:000291365700008</t>
  </si>
  <si>
    <t>Bratchkova, A; Ivanova, V</t>
  </si>
  <si>
    <t>Bratchkova, Anna; Ivanova, Veneta</t>
  </si>
  <si>
    <t>BIOACTIVE METABOLITES PRODUCED BY MICROORGANISMS COLLECTED IN ANTARCTICA AND THE ARCTIC</t>
  </si>
  <si>
    <t>BIOTECHNOLOGY &amp; BIOTECHNOLOGICAL EQUIPMENT</t>
  </si>
  <si>
    <t>Antarctica; the Arctic; bioactive metabolites; secondary metabolites; antibiotics; alkaloids</t>
  </si>
  <si>
    <t>LIVINGSTON ISLAND; BACTERIUM; STRAIN</t>
  </si>
  <si>
    <t>Survival of microorganisms in the Antarctic and Arctic conditions of life requires of the relevant genera and species special adaptability and resistance against stressors such as lack of substrate, UV-radiation, low temperatures for a long time and short-term intense heat during the Antarctic and Arctic summer. Therefore genetic adaptation of Antarctic and Arctic organisms to stress factors would be expected. All this suggests in a global aspect synthesis of new metabolites with unique structures and specific biological activity. Antarctic and Arctic polar regions are considered as a huge reservoir of microorganisms with versatile antimicrobial potential. Our studies are motivated by an interest in the functional role played by natural products in the ecological interactions of the polar strains with the other members of the microbial community. This overview presents some of the most important secondary metabolites (antibiotics, alkaloids, high carbon amino acids, nitro compounds, diketopiperazines etc.) produced by Antarctic and Arctic microorganisms. The secondary metabolites biosynthesis probably plays an important role in the adaptation and survival of microorganisms in the ice deserts of Antarctica and the Arctic.</t>
  </si>
  <si>
    <t>[Bratchkova, Anna; Ivanova, Veneta] Bulgarian Acad Sci, Stephan Angeloff Inst Microbiol, Sofia, Bulgaria</t>
  </si>
  <si>
    <t>Bulgarian Academy of Sciences; Stephan Angeloff Institute of Microbiology, Bulgarian Academy of Sciences</t>
  </si>
  <si>
    <t>Bratchkova, A (corresponding author), Bulgarian Acad Sci, Stephan Angeloff Inst Microbiol, Sofia, Bulgaria.</t>
  </si>
  <si>
    <t>kaamos@abv.bg</t>
  </si>
  <si>
    <t>Operational Programme Human Resources Development [BG051PO001-3.3.04/32]; European Social Fund of the European Union</t>
  </si>
  <si>
    <t>Operational Programme Human Resources Development; European Social Fund of the European Union</t>
  </si>
  <si>
    <t>This work was supported by grant BG051PO001-3.3.04/32 financed by Operational Programme Human Resources Development (2007 - 2013) and co-financed by the European Social Fund of the European Union.</t>
  </si>
  <si>
    <t>1310-2818</t>
  </si>
  <si>
    <t>1314-3530</t>
  </si>
  <si>
    <t>BIOTECHNOL BIOTEC EQ</t>
  </si>
  <si>
    <t>Biotechnol. Biotechnol. Equip.</t>
  </si>
  <si>
    <t>10.5504/bbeq.2011.0116</t>
  </si>
  <si>
    <t>V33TM</t>
  </si>
  <si>
    <t>WOS:000209041100001</t>
  </si>
  <si>
    <t>Kostadinova, N; Vassilev, S; Spasova, B; Angelova, M</t>
  </si>
  <si>
    <t>Kostadinova, Nedelina; Vassilev, Spassen; Spasova, Boryana; Angelova, Maria</t>
  </si>
  <si>
    <t>COLD STRESS IN ANTARCTIC FUNGI TARGETS ENZYMES OF THE GLYCOLYTIC PATHWAY AND TRICARBOXYLIC ACID CYCLE</t>
  </si>
  <si>
    <t>Antarctica; cold-adaptation; filamentous fungi; oxidative stress; glycolytic pathway; tricarboxylic acid cycle</t>
  </si>
  <si>
    <t>OXIDATIVE STRESS; SUPEROXIDE-DISMUTASE; FILAMENTOUS FUNGUS; ANTIOXIDANT RESPONSE; TCA CYCLE; TEMPERATURE; MODULATION; TREHALOSE; YEAST; DEHYDROGENASE</t>
  </si>
  <si>
    <t>To evaluate the concept of metabolic cold adaptation in Antarctic fungi, we compared the activities of several key enzymes of the glycolytic pathway and the TCA cycle (hexokinase, glucose-6-phosphate dehydrogenase, glyceraldehyde-3-phosphate dehydrogenase, succinate dehydrogenase, isocitrate dehydrogenase, and malate dehydrogenase) in psychrotolerant Penicillium sp. 161 and mesophilic Aspergillus glaucus 363 during both the stress exposure (6 h) and recovery phases. Mycelia of the Antarctic strains, grown until middle exponential phase at optimal temperature, were shifted to colder temperatures, i.e., 4 and 10 degrees C. Our investigations showed a re-routing of carbon metabolism away from glycolysis into the pentose phosphate pathway (PPP), which serves as a cellular stress-resistance mechanism under cold stress conditions. Moreover, the data clearly suggest strain-dependent differences in cold stress response concerning TCA enzyme activities between both fungi. The psychrotolerant strain induces glyoxalate cycle activities and the mesophilic strain uses a reduction of respiratory activity. A recovery response after removal of the stress factor was observed.</t>
  </si>
  <si>
    <t>[Kostadinova, Nedelina; Vassilev, Spassen; Spasova, Boryana; Angelova, Maria] Bulgarian Acad Sci, Stephan Angeloff Inst Microbiol, Sofia, Bulgaria</t>
  </si>
  <si>
    <t>Angelova, M (corresponding author), Bulgarian Acad Sci, Stephan Angeloff Inst Microbiol, Sofia, Bulgaria.</t>
  </si>
  <si>
    <t>mariange_bg@yahoo.com</t>
  </si>
  <si>
    <t>Kostadinova, Nedelina/AAW-4852-2021</t>
  </si>
  <si>
    <t>10.5504/bbeq.2011.0122</t>
  </si>
  <si>
    <t>WOS:000209041100010</t>
  </si>
  <si>
    <t>Miteva-Staleva, J; Stefanova, T; Krumova, E; Angelova, M</t>
  </si>
  <si>
    <t>Miteva-Staleva, Jeny; Stefanova, Tsvetanka; Krumova, Ekaterina; Angelova, Maria</t>
  </si>
  <si>
    <t>GROWTH-PHASE-RELATED CHANGES IN REACTIVE OXYGEN SPECIES GENERATION AS A COLD STRESS RESPONSE IN ANTARCTIC PENICILLIUM STRAINS</t>
  </si>
  <si>
    <t>Antarctica; fungi; cold stress; aging; reactive oxygen species</t>
  </si>
  <si>
    <t>OXIDATIVE STRESS; HYDROGEN-PEROXIDE; SACCHAROMYCES-CEREVISIAE; ANTIOXIDANT RESPONSE; ELECTRON-TRANSPORT; YEAST; SUPEROXIDE; MITOCHONDRIA; TEMPERATURE; ADAPTATION</t>
  </si>
  <si>
    <t>The Free Radical/Oxidative Stress Theory of Aging postulated that the accumulation of damage caused by reactive oxygen species (ROS) was the underlying mechanism by which organisms age. Our previous studies reported that the growth at low temperature caused oxidative stress events in Antarctic strains, including enhanced ROS generation. However, there is no data about agerelated differences in cold stress-induced ROS accumulation in microorganisms living permanently in cold environments. The aim of the present paper was to evaluate the growth-phase-related changes in ROS level in two Antarctic strains belonging to different thermal classes, psychrotolerant (Penicillium olsonii p14) and mesophilic (Penicillium waksmanii m12) and the role of cold adaptation in this process. Intact cells and mitochondrial fractions from the middle exponential phase or stationary phase at optimal temperature were exposure to temperature of 6 degrees C and 15 degrees C, respectively. The results demonstrated that the temperature downshift led to a significant induction in the superoxide and H2O2 level in a dose-and growth-phase-dependent manner. Additionally, cold-stress response is not dependent on cold-adaptation of the model strains.</t>
  </si>
  <si>
    <t>[Miteva-Staleva, Jeny; Stefanova, Tsvetanka; Krumova, Ekaterina; Angelova, Maria] Bulgarian Acad Sci, Stephan Angeloff Inst Microbiol, Sofia, Bulgaria</t>
  </si>
  <si>
    <t>Miteva-Staleva, J (corresponding author), Bulgarian Acad Sci, Stephan Angeloff Inst Microbiol, Sofia, Bulgaria.</t>
  </si>
  <si>
    <t>j_m@abv.bg</t>
  </si>
  <si>
    <t>10.5504/bbeq.2011.0131</t>
  </si>
  <si>
    <t>WOS:000209041100011</t>
  </si>
  <si>
    <t>Rusinova-Videva, S; Pavlova, K; Georgieva, K</t>
  </si>
  <si>
    <t>Rusinova-Videva, Snezhana; Pavlova, Kostantsa; Georgieva, Katerina</t>
  </si>
  <si>
    <t>EFFECT OF DIFFERENT CARBON SOURCES ON BIOSYNTHESIS OF EXOPOLYSACCHARIDE FROM ANTARCTIC STRAIN CRYPTOCOCCUS LAURENTII AL62</t>
  </si>
  <si>
    <t>Antarctic yeast strain Cryptococcus laurentii; biosynthesis; exopolysaccharide</t>
  </si>
  <si>
    <t>Isolate AL(62) isolated from Antarctic soil was identified as Cryptococcus laurentii AL(62) based on its morphological, cultural and physiological properties and was selected as an active producer of exopolysaccharide. Different carbon sources (pentoses, hexoses and oligosaccharides) were investigated for biosynthesis of biopolymer and sucrose was chosen as the most suitable and available carbon source. The time course of exopolysaccharide synthesis, biomass and pH on different sucrose concentration (30, 40, 50 g/L) were studied. The heteropolysaccharide was composed of the following monosaccharides: xylose, 45.2 %; mannose, 33.6 %; glucose, 18.4 %. It was characterized by polydispersity of the polymer molecule, 60 % of it having molecular mass of 8000 Da.</t>
  </si>
  <si>
    <t>[Rusinova-Videva, Snezhana; Pavlova, Kostantsa; Georgieva, Katerina] Bulgarian Acad Sci, Stephan Angeloff Inst Microbiol, Lab Appl Biotechnol, Plovdiv, Bulgaria</t>
  </si>
  <si>
    <t>Rusinova-Videva, S (corresponding author), Bulgarian Acad Sci, Stephan Angeloff Inst Microbiol, Lab Appl Biotechnol, Plovdiv, Bulgaria.</t>
  </si>
  <si>
    <t>jrusinova@abv.bg</t>
  </si>
  <si>
    <t>10.5504/BBEQ.2011.0121</t>
  </si>
  <si>
    <t>WOS:000209041100015</t>
  </si>
  <si>
    <t>Guerra, MBB; Schaefer, CEGR; Michel, RFM; Rosa, PD; Pereira, ER</t>
  </si>
  <si>
    <t>Bueno Guerra, Marcelo Braga; Goncalves Reynaud Schaefer, Carlos Ernesto; Machado Michel, Roberto Ferreira; Rosa, Paula de Freitas; Pereira-Filho, Edenir Rodrigues</t>
  </si>
  <si>
    <t>CHEMOMETRIC AND ANALYTICAL STRATEGIES FOR THE STUDY OF SOILS FROM MARITIME ANTARCTICA</t>
  </si>
  <si>
    <t>BRAZILIAN JOURNAL OF ANALYTICAL CHEMISTRY</t>
  </si>
  <si>
    <t>Soil contamination; Antarctica; Fast-sequential AAS; Chemometrics; STAT-FAAS; TS-FF-AAS</t>
  </si>
  <si>
    <t>In this study, some analytical and chemometric strategies were used for the comparison of chemical features of soil samples collected near the Brazilian Antarctic Station and sites further from it. As a preliminary analysis, synchrotron radiation X-Ray Fluorescence was employed. Besides, the soil characteristics: total organic carbon, soil pH and bioavailable/pseudototal concentrations of Cd, Cr, Ni and Pb were determined. In order to achieve both high analytical throughput and sensitivity over the conventional mono-element flame AAS, Slotted Tube Atom Trap (STAT) was combined with FS-FAAS for the sequential determination of Cd and Pb in the aqua regia soil extracts. Thermospray Flame Furnace AAS was also used for Cd and Pb quantification in DTPA soil extracts using the monoelement mode. Furthermore, a sequential extraction procedure was applied for Cu, Mn and Zn determination. Copper, Mn, Ni and Zn were determined by FAAS in the fast-sequential mode which allows reduction in the analysis time and minimization of sample consumption and waste generation. By the use of Principal Component Analysis and Hierarchical Cluster Analysis, a clear differentiation was observed between the sampling sites. This finding indicates anthropogenic disturbance by the scientific station, mainly through Pb, Cr and Ni deposition. However, the concentrations for the most impacted sites do not exceed guidelines for soil quality, except for Cr. Nevertheless, mitigation and treatment of contaminated areas could be important for preservation of the local ecosystem.</t>
  </si>
  <si>
    <t>[Bueno Guerra, Marcelo Braga; Rosa, Paula de Freitas; Pereira-Filho, Edenir Rodrigues] Univ Fed Sao Carlos, UFSCar, Chem Dep, Grp Appl Instrumental Anal, Washington Luiz High Way,Km 235 POB 676, BR-13565905 Sao Carlos, SP, Brazil; [Goncalves Reynaud Schaefer, Carlos Ernesto; Machado Michel, Roberto Ferreira] Univ Fed Vicosa, UFV, Soil Sci Dept, BR-36570000 Vicosa, MG, Brazil</t>
  </si>
  <si>
    <t>Universidade Federal de Sao Carlos; Universidade Federal de Vicosa</t>
  </si>
  <si>
    <t>Pereira, ER (corresponding author), Univ Fed Sao Carlos, UFSCar, Chem Dep, Grp Appl Instrumental Anal, Washington Luiz High Way,Km 235 POB 676, BR-13565905 Sao Carlos, SP, Brazil.</t>
  </si>
  <si>
    <t>erpf@ufscar.br</t>
  </si>
  <si>
    <t>Guerra, Marcelo B. B./D-3294-2015; Pereira-Filho, Edenir/F-5789-2010; Remiro, Paula de Freitas Rosa/G-1963-2018; Schaefer, Carlos Ernesto/AAY-4977-2020</t>
  </si>
  <si>
    <t>Braga Bueno Guerra, Marcelo/0000-0002-0058-2640</t>
  </si>
  <si>
    <t>FAPESP [07/04515-4, 09/09481-6, 08/08260-3]; CNPq; CAPES; Fundacao de Amparo a Pesquisa do Estado de Sao Paulo (FAPESP) [09/09481-6, 08/08260-3] Funding Source: FAPESP</t>
  </si>
  <si>
    <t>FAPESP(Fundacao de Amparo a Pesquisa do Estado de Sao Paulo (FAPESP)); CNPq(Conselho Nacional de Desenvolvimento Cientifico e Tecnologico (CNPQ)); CAPES(Coordenacao de Aperfeicoamento de Pessoal de Nivel Superior (CAPES)); Fundacao de Amparo a Pesquisa do Estado de Sao Paulo (FAPESP)(Fundacao de Amparo a Pesquisa do Estado de Sao Paulo (FAPESP))</t>
  </si>
  <si>
    <t>The authors are grateful to FAPESP (Processes 07/04515-4, 09/09481-6 and 08/08260-3), CNPq and CAPES for financial support, the Brazilian Navy for logistical cooperation, the collaboration of Dr. Carlos Perez for the analysis of SR-XRF at the LNLS (Processes XRF 7045 and 7046), Dr. Paulo Negrais (Petrobras) for his help at the sampling sites near Ferraz Station and the EMBRAPA Pecuaria Sudeste for soil analyses.</t>
  </si>
  <si>
    <t>VISAO FOKKA COMMUNICATION AGENCY</t>
  </si>
  <si>
    <t>SAO PAULO</t>
  </si>
  <si>
    <t>RUA SIQUEIRA CAMPOS, 560, SALA 73, SAO PAULO, 09020-240, BRAZIL</t>
  </si>
  <si>
    <t>2179-3425</t>
  </si>
  <si>
    <t>2179-3433</t>
  </si>
  <si>
    <t>BRAZ J ANAL CHEM</t>
  </si>
  <si>
    <t>Braz. J. Anal. Chem.</t>
  </si>
  <si>
    <t>VC4GD</t>
  </si>
  <si>
    <t>WOS:000433743200009</t>
  </si>
  <si>
    <t>Smellie, JL; Rocchi, S; Armienti, P</t>
  </si>
  <si>
    <t>Smellie, J. L.; Rocchi, S.; Armienti, P.</t>
  </si>
  <si>
    <t>Late Miocene volcanic sequences in northern Victoria Land, Antarctica: products of glaciovolcanic eruptions under different thermal regimes</t>
  </si>
  <si>
    <t>BULLETIN OF VOLCANOLOGY</t>
  </si>
  <si>
    <t>Glaciovolcanism; Lithofacies; Sequence architecture; Miocene; aa lava-fed deltas; Felsic sheet-like sequences; Glacial thermal regime</t>
  </si>
  <si>
    <t>MARIE-BYRD-LAND; SUBGLACIAL RHYOLITE ERUPTION; BASALTIC TUFF RINGS; KING GEORGE ISLAND; ROSS SEA REGION; SURTSEYAN VOLCANO; KILAUEA VOLCANO; GLACIAL HISTORY; MANTLE PLUME; NEW-ZEALAND</t>
  </si>
  <si>
    <t>Late Miocene (c. 13-5 Ma) volcanic sequences of the Hallett Volcanic Province (HVP) crop out along &gt; 250 km of western Ross Sea coast in northern Victoria Land. Eight primary volcanic and six sedimentary lithofacies have been identified, and they are organised into at least five different sequence architectures as a consequence of different combinations of eruptive and/or depositional conditions. The volcanoes were erupted in association with a Miocene glacial cover and the sequences are overwhelmingly glaciovolcanic. The commonest and most representative are products of mafic aa lava-fed deltas, a type of glaciovolcanic sequence that has not been described before. It is distinguished by (1) a subaerially emplaced relatively thin caprock of aa lavas lying on and passing down-dip into (2) a thicker association of chaotic to crudely bedded hyaloclastite breccias, water-chilled lava sheets and irregular lava masses, collectively called lobe-hyaloclastite. A second distinctive sequence type present is characterised by water-cooled lavas and associated sedimentary lithofacies (diamictite (probably glacigenic) and fluvial sands and gravels) similar to some mafic glaciovolcanic sheet-like sequences (see Smellie, Earth-Science Reviews, 74, 241-268, 2008), but including (for the first time) examples of likely sheet-like sequences with felsic compositions. Other sequence types in the HVP are minor and include tuff cones, cinder cones and a single ice-marginal lacustrine sequence. The glacial thermal regime varied from polar, characterised by sequences lacking glacial erosion, glacigenic sediments or evidence for free water, to temperate or sub-polar for sequences in which all of these features are conspicuously developed.</t>
  </si>
  <si>
    <t>[Smellie, J. L.] Univ Leicester, Dept Geol, Leicester LS1 7RH, Leics, England; [Smellie, J. L.] British Antarctic Survey, Cambridge CB3 0ET, England; [Rocchi, S.; Armienti, P.] Univ Pisa, Dipartimento Sci Terra, I-56126 Pisa, Italy</t>
  </si>
  <si>
    <t>University of Leicester; UK Research &amp; Innovation (UKRI); Natural Environment Research Council (NERC); NERC British Antarctic Survey; University of Pisa</t>
  </si>
  <si>
    <t>Smellie, JL (corresponding author), Univ Leicester, Dept Geol, Univ Rd, Leicester LS1 7RH, Leics, England.</t>
  </si>
  <si>
    <t>jls55@le.ac.uk; rocchi@dst.unipi.it; armienti@dst.unipi.it</t>
  </si>
  <si>
    <t>; Rocchi, Sergio/A-7752-2018</t>
  </si>
  <si>
    <t>Armienti, Pietro/0000-0002-5929-8222; Rocchi, Sergio/0000-0001-6868-1939</t>
  </si>
  <si>
    <t>Natural Environment Research Council [bas0100026] Funding Source: researchfish; NERC [bas0100026] Funding Source: UKRI</t>
  </si>
  <si>
    <t>0258-8900</t>
  </si>
  <si>
    <t>1432-0819</t>
  </si>
  <si>
    <t>B VOLCANOL</t>
  </si>
  <si>
    <t>Bull. Volcanol.</t>
  </si>
  <si>
    <t>10.1007/s00445-010-0399-y</t>
  </si>
  <si>
    <t>704LJ</t>
  </si>
  <si>
    <t>WOS:000286054200001</t>
  </si>
  <si>
    <t>Candy, SG</t>
  </si>
  <si>
    <t>Candy, S. G.</t>
  </si>
  <si>
    <t>ESTIMATION OF NATURAL MORTALITY USING CATCH-AT-AGE AND AGED MARK-RECAPTURE DATA: A MULTI-COHORT SIMULATION STUDY COMPARING ESTIMATION FOR A MODEL BASED ON THE BARANOV EQUATIONS VERSUS A NEW MORTALITY EQUATION</t>
  </si>
  <si>
    <t>CCAMLR SCIENCE</t>
  </si>
  <si>
    <t>maximum likelihood estimation; fishing mortality; age-structured model; CCAMLR</t>
  </si>
  <si>
    <t>PATAGONIAN TOOTHFISH; HEARD</t>
  </si>
  <si>
    <t>An estimation strategy for natural mortality, M, using multiple cohorts and multiple years of catch-at-age and aged mark-recapture data was tested using simulation. Alternative fishing selectivity functions of age of dome-shaped versus sigmoidally shaped were applied. Two alternative estimation models were developed both using a Poisson likelihood for annual number of recaptures-at-age and model the population numbers-at-age by annual difference equations obtained by integrating an ordinary differential equation (ODE) for within-year population dynamics. The 'fully parametric' BODE model is based on the Baranov ODE while the 'semi-parametric' constant catch ODE (CCODE) model uses a new total mortality ODE with constant within-year catch per unit time and does not estimate annual fishing mortality rates (i.e. the F's) or fishing selectivity function parameters. It removes the actual, considered known, catch-at-age numbers directly from the population. Estimation for the BODE model requires an extra component to the log-likelihood which defines the process error in predicted catch-at-age numbers. Simulations assumed 1 000 releases per year over 12 years with recruitment average of 2 million with annual coefficient of variation (CV) of 0.3 and annual catch of 500 000. Simulations which passed catch-at-age numbers to the estimation algorithm after perturbation by observational error were also carried out for each model in order to investigate the effect on estimation of M. Simulations carried out without observational error showed that when all parameters were jointly estimated and selectivity was dome-shaped, estimation of M was unreliable for both models but more so for the BODE model. The reason for this is explained by the confounding of selectivity parameter estimates with that for M. In contrast, when sigmoidally shaped selectivity was simulated, and the functional form of selectivity was correctly specified in the BODE model, both models gave close to unbiased and reasonably precise (CVs of 0.07 to 0.14) estimates of M, but the BODE model estimate was substantially more precise. However, when a minor misspecification of the functional form of selectivity was fitted by the BODE model, in comparison the CCODE model gave superior accuracy. When realistic observational error in catch-at-age numbers was included in simulations and combined with the sigmoidally shaped selectivity function, the bias and imprecision in estimates of M increased by no more than 2% for the CCODE model with no increase detectable for the BODE model. With these caveats, both models can be used to estimate this notoriously difficult parameter with the profile likelihood a useful indicator of the degree of success of estimation, even if some bias remains.</t>
  </si>
  <si>
    <t>Dept Sustainabil Environm Water Populat &amp; Communi, Australian Antarctic Div, Kingston, Tas 7050, Australia</t>
  </si>
  <si>
    <t>Australian Antarctic Division</t>
  </si>
  <si>
    <t>Candy, SG (corresponding author), Dept Sustainabil Environm Water Populat &amp; Communi, Australian Antarctic Div, 203 Channel Highway, Kingston, Tas 7050, Australia.</t>
  </si>
  <si>
    <t>steve.candy@aad.gov.au</t>
  </si>
  <si>
    <t>C C A M L R TI</t>
  </si>
  <si>
    <t>NORTH HOBART</t>
  </si>
  <si>
    <t>PO BOX 213, NORTH HOBART, TAS 7002, AUSTRALIA</t>
  </si>
  <si>
    <t>1023-4063</t>
  </si>
  <si>
    <t>CCAMLR SCI</t>
  </si>
  <si>
    <t>CCAMLR Sci.</t>
  </si>
  <si>
    <t>V28TL</t>
  </si>
  <si>
    <t>WOS:000208703000001</t>
  </si>
  <si>
    <t>Candy, SG; Welsford, DC; Lamb, T; Verdouw, JJ; Hutchins, JJ</t>
  </si>
  <si>
    <t>Candy, S. G.; Welsford, D. C.; Lamb, T.; Verdouw, J. J.; Hutchins, J. J.</t>
  </si>
  <si>
    <t>ESTIMATION OF NATURAL MORTALITY FOR THE PATAGONIAN TOOTHFISH AT HEARD AND MCDONALD ISLANDS USING CATCH-AT-AGE AND AGED MARK-RECAPTURE DATA FROM THE MAIN TRAWL GROUND</t>
  </si>
  <si>
    <t>fishing mortality; Baranov equations; profile maximum likelihood estimation; age-length keys; CCAMLR</t>
  </si>
  <si>
    <t>Attempts to estimate natural mortality, as a single constant M, simultaneously with other model parameters in integrated assessments via CASAL for the Heard and McDonald Islands (HIMI, Division 58.5.2) Patagonian toothfish (Dissostichus eleginoides) fishery have been unsuccessful. An alternative strategy was adopted whereby the relatively long time series of catch-at-age and mark-recapture data from the main trawl ground at HIMI were used to estimate M. Catch and releases by age class for this fishery were obtained using proportions-at-length and fishery-and year-specific age-length keys (ALKs) for years 1998 to 2008. A large proportion of the recaptures of fish released in this fishery were aged and these were used to obtain recapture numbers by age class. Two alternative estimation models were programmed in R, based on alternative ordinary differential equations (ODE) for within-year population dynamics. These are the BODE model (Baranov ODE) and the CCODE model (constant catch ODE). The CCODE model is a new model for describing total mortality which disaggregates fishing and natural mortality differently to the Baranov equations and does not require a catch equation but removes catch-at-age numbers directly from the estimates of population numbers-at-age. The properties of these two models for estimation of M have been studied using simulation. In application to the data obtained for the HIMI main trawl fishery, the CCODE model gave a well-behaved profile for the log-likelihood with the corresponding estimate of M of 0.155, however, the 95% confidence bounds of the estimate were very wide ranging from 0.055 to 0.250 (based on a Poisson over-dispersion estimate of 3). In contrast, the BODE model gave unrealistic estimates of M and the annual fishing mortality rates.</t>
  </si>
  <si>
    <t>[Candy, S. G.; Welsford, D. C.; Lamb, T.; Verdouw, J. J.; Hutchins, J. J.] Dept Sustainabil Environm Water Populat &amp; Communi, Australian Antarctic Div, Kingston, Tas 7050, Australia</t>
  </si>
  <si>
    <t>Welsford, Dirk/0000-0001-5379-5052</t>
  </si>
  <si>
    <t>Austral Fisheries Pty Ltd; Petuna Sealord Pty Ltd.; Fisheries Research Development Authority (FRDC project) [2008/046]</t>
  </si>
  <si>
    <t>Austral Fisheries Pty Ltd; Petuna Sealord Pty Ltd.; Fisheries Research Development Authority (FRDC project)</t>
  </si>
  <si>
    <t>Thanks are due to Troy Robertson for assistance in preparing the data and Gabrielle Nowara for advice on otolith preparation and reading. The constructive reviews of this manuscript by Dr Richard Hillary, Prof. Doug Butterworth, Dr Philippe Ziegler and Mr John McKinlay are appreciated. Thanks are also due to the fisheries observers from the Australian Fisheries Management Authority for carrying out the tag-recapture program with support of Austral Fisheries Pty Ltd and Petuna Sealord Pty Ltd. Funding for ageing otoliths from samples taken from the catch was provided by the Fisheries Research Development Authority (FRDC project 2008/046), while funding for ageing the otoliths from the mark-recapture program was provided by Austral Fisheries Pty Ltd and Petuna Sealord Pty Ltd. Finally, the work of Dick Williams in setting up and maintaining the tagging program in previous years is gratefully acknowledged.</t>
  </si>
  <si>
    <t>WOS:000208703000002</t>
  </si>
  <si>
    <t>Welsford, DC</t>
  </si>
  <si>
    <t>Welsford, D. C.</t>
  </si>
  <si>
    <t>EVALUATING THE IMPACT OF MULTI-YEAR RESEARCH CATCH LIMITS ON OVERFISHED TOOTHFISH POPULATIONS</t>
  </si>
  <si>
    <t>recovery plans; Dissostichus spp.; management strategies; research fishing; CCAMLR</t>
  </si>
  <si>
    <t>In stocks that have been depleted by overfishing, the benefit of additional fisheries removals for research purposes needs to be evaluated against the risk that such catches may contribute to delaying or preventing the recovery of such stocks. Through simulating a Patagonian toothfish (Dissostichus eleginoides) stock that has been subjected to varying levels of overfishing and research catches, this study shows that stocks can take decades to recover even in the absence of fishing, and relatively low levels of research catch can significantly delay the recovery of a stock. Scenarios assessed in this study indicate that, where a stock has been depleted to at or below 20% of the median unfished spawning stock biomass, research catches in excess of 0.6% of median unfished total stock biomass should be avoided to ensure that research does not significantly impact on the recovery of depleted stocks in the long term. Research catches may need to be even lower where there is uncertainty regarding the key parameters related to stock productivity, such as growth, maturity, recruitment or natural mortality rates.</t>
  </si>
  <si>
    <t>Welsford, DC (corresponding author), Dept Sustainabil Environm Water Populat &amp; Communi, Australian Antarctic Div, 203 Channel Highway, Kingston, Tas 7050, Australia.</t>
  </si>
  <si>
    <t>dirk.welsford@aad.gov.au</t>
  </si>
  <si>
    <t>WOS:000208703000003</t>
  </si>
  <si>
    <t>Ziegler, PE; Welsford, DC; Constable, AJ</t>
  </si>
  <si>
    <t>Ziegler, P. E.; Welsford, D. C.; Constable, A. J.</t>
  </si>
  <si>
    <t>LENGTH-BASED ASSESSMENTS REVISITED - WHY STOCK STATUS AND FISHING MORTALITY OF LONG-LIVED SPECIES SUCH AS TOOTHFISH CANNOT BE INFERRED FROM LENGTH-FREQUENCY DATA ALONE</t>
  </si>
  <si>
    <t>fishery assessment; length-frequency data; Patagonian toothfish; CCAMLR</t>
  </si>
  <si>
    <t>In many of CCAMLR's new and exploratory fisheries, stock assessment techniques are still in development. The failure of the tag-recapture program to provide robust assessments in many areas and doubts about using unstandardised catch rate data have led to a desire to draw inferences about stock status and fishing mortality from length-frequency data alone. In this paper, a number of length-based stock assessment methods are revisited and some limitations in their ability to draw robust inferences about stock status and fishing mortality for long-lived fish species such as Patagonian toothfish (Dissostichus eleginoides) are illustrated. While length-frequency data can be useful in assessments when integrated with other informative estimators for stock abundance and productivity, the review and the simulations highlight that interpretation of raw length-frequency data and single length-based indicators for stock status and fishing mortality is problematic and should be avoided.</t>
  </si>
  <si>
    <t>[Ziegler, P. E.; Welsford, D. C.; Constable, A. J.] Dept Sustainabil Environm Water Populat &amp; Communi, Australian Antarctic Div, Kingston, Tas 7050, Australia</t>
  </si>
  <si>
    <t>Ziegler, PE (corresponding author), Dept Sustainabil Environm Water Populat &amp; Communi, Australian Antarctic Div, 203 Channel Highway, Kingston, Tas 7050, Australia.</t>
  </si>
  <si>
    <t>philippe.ziegler@aad.gov.au</t>
  </si>
  <si>
    <t>Ziegler, Philippe/0000-0001-5940-9394; Welsford, Dirk/0000-0001-5379-5052</t>
  </si>
  <si>
    <t>WOS:000208703000004</t>
  </si>
  <si>
    <t>Sutton, CP; Horn, PL</t>
  </si>
  <si>
    <t>Sutton, C. P.; Horn, P. L.</t>
  </si>
  <si>
    <t>A PRELIMINARY ASSESSMENT OF AGE AND GROWTH OF ANTARCTIC SILVERFISH (PLEURAGRAMMA ANTARCTICUM) IN THE ROSS SEA, ANTARCTICA</t>
  </si>
  <si>
    <t>Antarctic silverfish; otolith; Pleuragramma antarcticum; Ross Sea; CCAMLR</t>
  </si>
  <si>
    <t>WEDDELL SEA; SPATIAL-DISTRIBUTION; NOTOTHENIIDAE; PISCES; ABUNDANCE; LIFE; FOOD; POSTLARVAL; FISH</t>
  </si>
  <si>
    <t>Antarctic silverfish (Pleuragramma antarcticum) were sampled during a trawl survey in the Ross Sea, Antarctica. Biological data, including fish length, weight, sex, gonad maturity, liver weight and diet analysis were collected from 311 specimens. Standard length and weight were well correlated (r(2) = 0.99). Counts of growth zones in 304 thin-sectioned otoliths were used to estimate ages and von Bertalanffy growth parameters. The species is relatively slow-growing with a moderate longevity; the maximum estimated age was 14.3 years. Von Bertalanffy parameters derived for both sexes combined are: L-infinity 22.1 cm SL; K 0.167 y(-1); t(0) -0.4 years. Parameter estimates were also derived for the sexes separately. Female Antarctic silverfish appear to reach a larger size than males, but none of the estimated von Bertalanffy parameters were statistically significantly different between sexes. All parameter estimates are preliminary as the ageing method is unvalidated and about two-thirds of the sampled fish could not be sexed. Precision estimates and age bias plots indicated that there was good within-reader and between-reader agreement, so the otolith sections appear able to be consistently interpreted. The standard lengths of the sampled Antarctic silverfish ranged from 4.6 to 22.9 cm. Pronounced modes in the length-frequency distribution occurred at 7.1-7.5, 10.6-11.0 and 15.1-15.5 cm. Mean lengths of 4.9 and 7.3 cm (at ages 1.3 and 2.3 years respectively) are consistent with those presented in the literature. The age-frequency distribution exhibited a mode from age 6 to 9 years.</t>
  </si>
  <si>
    <t>[Sutton, C. P.] Natl Inst Water &amp; Atmospher Res NIWA Ltd, Wellington, New Zealand; [Horn, P. L.] NIWA Ltd, Nelson, New Zealand</t>
  </si>
  <si>
    <t>Sutton, CP (corresponding author), Natl Inst Water &amp; Atmospher Res NIWA Ltd, Private Bag 14901, Wellington, New Zealand.</t>
  </si>
  <si>
    <t>c.sutton@niwa.co.nz</t>
  </si>
  <si>
    <t>Horn, Peter/0000-0003-4163-5064</t>
  </si>
  <si>
    <t>New Zealand Foundation for Research, Science and Technology [C01X0505]; Ministry of Fisheries/International Polar Year Census of Antarctic Marine Life voyage</t>
  </si>
  <si>
    <t>New Zealand Foundation for Research, Science and Technology(New Zealand Foundation for Research, Science and Technology); Ministry of Fisheries/International Polar Year Census of Antarctic Marine Life voyage</t>
  </si>
  <si>
    <t>Funding for this work was provided by the New Zealand Foundation for Research, Science and Technology (C01X0505, Ross Sea Sustainability), and Ministry of Fisheries/International Polar Year Census of Antarctic Marine Life voyage. We thank Stuart Hanchet (NIWA) for collecting the silverfish samples and Jeff Forman (NIWA) for providing length, weight and sex data on a subset of these samples. Matt Pinkerton (NIWA) provided information on the relationship between pre- and post-freeze fish length and weight, and a useful review of the manuscript. Peter McMillan (NIWA) provided Figure 1 and Steve Parker (NIWA) produced Figure 2. We also thank members of the New Zealand Antarctic Fisheries Stock Assessment Working Group for helpful discussions and input into this paper.</t>
  </si>
  <si>
    <t>WOS:000208703000005</t>
  </si>
  <si>
    <t>Parker, SJ; Smith, MH</t>
  </si>
  <si>
    <t>Parker, S. J.; Smith, M. H.</t>
  </si>
  <si>
    <t>CAN TOOTHFISH CATCHES BE USED TO PREDICT THE PRESENCE OF VULNERABLE BENTHIC INVERTEBRATE TAXA?</t>
  </si>
  <si>
    <t>bottom fishing; vulnerable marine ecosystem; VME; fishing footprint; longline; CCAMLR</t>
  </si>
  <si>
    <t>DISSOSTICHUS-MAWSONI; ANTARCTIC TOOTHFISH; ROSS SEA; DEEP; ABUNDANCE; HABITAT; CANYON; CORAL; GULF</t>
  </si>
  <si>
    <t>Accurate estimation of the impact of bottom fishing on vulnerable marine ecosystems (VMEs) requires knowledge of the distribution of those communities relative to the fishing footprint. If high target species catch rates are associated with habitats where VMEs are found, impacts from fishing would be higher than if VMEs are distributed randomly with respect to fishing locations. This study used the catch of the six most common vulnerable invertebrate taxa reported by observers on New Zealand vessels during the 2009/10 Ross Sea longline fisheries to correlate toothfish catch rates and benthic invertebrate catch rates at the scale of a longline segment, similar to 1 200 m. Analysis of the data available showed no evidence that the presence of any of six VME indicator taxa was informative in predicting Antarctic toothfish (Dissostichus mawsoni) catch at the scale of a longline segment. This supports conclusions of previous work finding no relationship between aggregate VME indicator taxa weight and toothfish catch at the scale of a longline set, similar to 7 km. Further studies at intermediate scales (10-100 km) would be useful to determine if both toothfish and individual VME indicator taxa have regionally concentrated distributions, showing a high degree of spatial overlap with the fishery.</t>
  </si>
  <si>
    <t>[Parker, S. J.] Natl Inst Water &amp; Atmospher Res NIWA Ltd, Nelson, New Zealand; [Smith, M. H.] NIWA Ltd, Wellington, New Zealand</t>
  </si>
  <si>
    <t>Parker, SJ (corresponding author), Natl Inst Water &amp; Atmospher Res NIWA Ltd, POB 893, Nelson, New Zealand.</t>
  </si>
  <si>
    <t>s.parker@niwa.co.nz</t>
  </si>
  <si>
    <t>New Zealand Ministry of Fisheries [ANT2009/01]</t>
  </si>
  <si>
    <t>New Zealand Ministry of Fisheries</t>
  </si>
  <si>
    <t>Thanks are due to the science staff, scientific observers and fishing crew who collected the data used for this analysis. The New Zealand Antarctic Fisheries Working Group provided helpful discussions and input into this paper. David Ramm and Eric Appleyard provided the data extracts from the CCAMLR Secretariat. The CCAMLR Working Group on Ecosystem Monitoring and Management also provided helpful discussions on this paper. The paper was also improved by the comments of two reviewers. This project was funded by the New Zealand Ministry of Fisheries under project ANT2009/01.</t>
  </si>
  <si>
    <t>WOS:000208703000006</t>
  </si>
  <si>
    <t>Calise, L; Skaret, G</t>
  </si>
  <si>
    <t>Calise, L.; Skaret, G.</t>
  </si>
  <si>
    <t>SENSITIVITY INVESTIGATION OF THE SDWBA ANTARCTIC KRILL TARGET STRENGTH MODEL TO FATNESS, MATERIAL CONTRASTs AND ORIENTATION</t>
  </si>
  <si>
    <t>Antarctic krill; multifrequency acoustics; target strength; SDWBA model; frequency response; CCAMLR</t>
  </si>
  <si>
    <t>The distorted-wave Born approximation model is recognised as state-of-the-art in predicting acoustic target strength (TS) from fluid-like marine organisms. A stochastic version, the so-called SDWBA model, is endorsed by CCAMLR to predict the TS of Antarctic krill (Euphausia superba) for use in the acoustic echo-integration method. In this study, the SDWBA TS pattern and frequency response behaviours at standard survey frequencies and animal lengths are explored via a sensitivity analysis of some important parameters: number of stochastic realisations, the fatness factor, the material contrasts between the organism and the surrounding seawater and the distribution of animal orientations. Due to the high variability of TS to realistic changes in parameters, it is important that the model should be parameterised according to the potential seasonal variability of krill in the area of investigation. In a multifrequency context, the girth-length relationship for the body shape parameterisation can give a high source of uncertainty, and there is an urgent need for development of accurate and standard procedures to measure both the material property contrasts and the orientation at the time and location of the actual survey. Moreover, a number of incongruities within the CCAMLR SDWBA model package are identified and proposed solutions implemented in an improved package.</t>
  </si>
  <si>
    <t>[Calise, L.; Skaret, G.] Inst Marine Res, Observat Methodol Grp, N-85817 Bergen, Norway</t>
  </si>
  <si>
    <t>Institute of Marine Research - Norway</t>
  </si>
  <si>
    <t>Calise, L (corresponding author), Inst Marine Res, Observat Methodol Grp, POB 1870 Nordnes, N-85817 Bergen, Norway.</t>
  </si>
  <si>
    <t>lucio@imr.no</t>
  </si>
  <si>
    <t>Royal Norwegian Ministry of Fisheries and Coastal Affairs; Research Council of Norway [190318]</t>
  </si>
  <si>
    <t>Royal Norwegian Ministry of Fisheries and Coastal Affairs; Research Council of Norway(Research Council of Norway)</t>
  </si>
  <si>
    <t>This work was supported by The Royal Norwegian Ministry of Fisheries and Coastal Affairs through the project 'Antarctic Krill and Ecosystem Studies (AKES)' with additional contributions by the Institute of Marine Research, The University of Bergen, Norwegian Antarctic Research Expeditions, The Research Council of Norway, The Norwegian Petroleum Directorate, Norsk Hydro (StatoilHydro) and ABB Norway, and by The Research Council of Norway through the project 'Exploiting new Wideband Echo Sounder Technology for ZOOplankton characterization, sizing and abundance estimation (WESTZOO)' project no. 190318.</t>
  </si>
  <si>
    <t>WOS:000208703000007</t>
  </si>
  <si>
    <t>Sologub, DO; Remeslo, AV</t>
  </si>
  <si>
    <t>Sologub, D. O.; Remeslo, A. V.</t>
  </si>
  <si>
    <t>DISTRIBUTION AND SIZE-AGE COMPOSITION OF ANTARCTIC KRILL (EUPHAUSIA SUPERBA) IN THE SOUTH ORKNEY ISLANDS REGION (CCAMLR SUBAREA 48.2)</t>
  </si>
  <si>
    <t>Antarctic krill; South Orkney Islands; population structure; size and age structure; maturity condition; spawning; CCAMLR</t>
  </si>
  <si>
    <t>The distribution, size-age composition and biological condition of Antarctic krill (Euphausia superba) caught by the Russian krill trawler FV Maxim Starostin in Subarea 48.2 between January and March in 2009 and 2010 are described. The distribution of size-age groups in association with particular water masses indicated that age 2+ krill dominated in cold Weddell Sea waters in the southern parts of the fishing area, while older age classes (3+, 4+, 5+) dominated in Antarctic Circumpolar Current (ACC) waters in the northern parts. No 1+ age cohort was found in catches in 2009 or in 2010. This absence of 1+ E. superba is unlikely to be a result of trawl selectivity as adult Pygmy krill (E. frigida) (of the same size as 1+ krill) were present in the catches.</t>
  </si>
  <si>
    <t>[Sologub, D. O.] VNIRO, Moscow 107140, Russia; [Remeslo, A. V.] AtlantNIRO, Kaliningrad 236022, Russia</t>
  </si>
  <si>
    <t>Research lnstitute of Fisheries &amp; Oceanography; Research lnstitute of Fisheries &amp; Oceanography</t>
  </si>
  <si>
    <t>Sologub, DO (corresponding author), VNIRO, 17 V Krasnoselskaya St, Moscow 107140, Russia.</t>
  </si>
  <si>
    <t>sologub@vniro.ru</t>
  </si>
  <si>
    <t>WOS:000208703000008</t>
  </si>
  <si>
    <t>Foster, J; Nicol, S; Kawaguchi, S</t>
  </si>
  <si>
    <t>Foster, J.; Nicol, S.; Kawaguchi, S.</t>
  </si>
  <si>
    <t>THE USE OF PATENT DATABASES TO PREDICT TRENDS IN THE KRILL FISHERY</t>
  </si>
  <si>
    <t>Antarctic krill; fishery; patents; trends; management; CCAMLR</t>
  </si>
  <si>
    <t>ANTARCTIC KRILL</t>
  </si>
  <si>
    <t>The fishery for Antarctic krill (Euphausia superba) caught 210 000 tonnes in 2009/10 with vessels from six of CCAMLR's 25 Members participating in the fishery. Trends in the krill fishery are currently informed by data on annual catches and by CCAMLR's annual notification procedure. There has been considerable discussion within the Scientific Committee over the utility of these sources of information to detect trends in the fishery, and of the need to obtain more information from the krill industry so that developments that affect future catches can be predicted. This paper uses publicly available patent databases to examine both the number and type of patents related to krill that are lodged annually. This information shows similar trends to the catch and notification information, and the three sources of information can be used in combination to provide information to the Commission on potential changes in the krill fishery. The Scientific Committee has recommended that the patent database be maintained by the Secretariat so that it can annually update a register of krill-related patents which will be of use for indicating potential future trends in the krill fishery.</t>
  </si>
  <si>
    <t>[Foster, J.; Nicol, S.; Kawaguchi, S.] Univ Tasmania, Antarctic Climate &amp; Ecosyst Cooperat Res Ctr, Hobart, Tas 7001, Australia; [Foster, J.] Univ Tasmania, Inst Marine &amp; Antarctic Studies, Hobart, Tas 7001, Australia; [Foster, J.; Nicol, S.; Kawaguchi, S.] Australian Antarctic Div, Kingston, Tas 7050, Australia</t>
  </si>
  <si>
    <t>University of Tasmania; Antarctic Climate &amp; Ecosystems Cooperative Research Centre (ACE CRC); University of Tasmania; Australian Antarctic Division</t>
  </si>
  <si>
    <t>Foster, J (corresponding author), Univ Tasmania, Antarctic Climate &amp; Ecosyst Cooperat Res Ctr, Private Bag 80, Hobart, Tas 7001, Australia.</t>
  </si>
  <si>
    <t>jacquikf@hotmail.com</t>
  </si>
  <si>
    <t>Kawaguchi, So/N-1795-2017</t>
  </si>
  <si>
    <t>Kawaguchi, So/0000-0002-2042-5095</t>
  </si>
  <si>
    <t>WOS:000208703000009</t>
  </si>
  <si>
    <t>Taki, K; Kiyota, M; Ichii, T; Iwami, T</t>
  </si>
  <si>
    <t>Taki, K.; Kiyota, M.; Ichii, T.; Iwami, T.</t>
  </si>
  <si>
    <t>DISTRIBUTION AND POPULATION STRUCTURE OF DISSOSTICHUS ELEGINOIDES AND D. MAWSONI ON BANZARE BANK (CCAMLR DIVISION 58.4.3b), INDIAN OCEAN</t>
  </si>
  <si>
    <t>BANZARE Bank; depth; Dissostichus eleginoides; Dissostichus mawsoni; distribution; population structure; CCAMLR</t>
  </si>
  <si>
    <t>The distribution, size composition, sex ratio and sexual maturity of Dissostichus eleginoides and D. mawsoni from BANZARE Bank were investigated using biological data collected by a Japanese commercial fishing vessel during the austral summer fishing seasons (December-February) from 2006/07 to 2008/09. Dissostichus eleginoides was mainly caught on shallower banks (&lt;1 000 m), while D. mawsoni was caught on deeper slopes (&gt;1 500 m). Separation of the two species by depth may be related to physical intolerance to cooler temperatures because of the lack of antifreeze in the former species. Dissostichus eleginoides showed a resting stage in sexual maturity, while D. mawsoni was in developing condition. In D. mawsoni, small fish contributed a very low proportion to abundance, suggesting that no substantial recruitment takes place on BANZARE Bank and the populations consist primarily of adults migrating from adjacent Antarctic coastal areas. The life cycle of D. mawsoni on BANZARE Bank is similar to that hypothesised for the Ross Sea population with analogous latitudinal patterns in sexual maturity and size composition. The study indicates that the management of Dissostichus spp. on BANZARE Bank and adjacent waters needs to consider species-specific distribution and possible migration.</t>
  </si>
  <si>
    <t>[Taki, K.; Kiyota, M.] Fisheries Res Agcy, Natl Res Inst Far Seas Fisheries, Kanazawa Ku, Yokohama, Kanagawa 2368648, Japan; [Ichii, T.] Fisheries Agcy, Chiyoda Ku, Tokyo 1008907, Japan; [Iwami, T.] Tokyo Kasei Gakuin Univ, Machida, Tokyo 1940292, Japan</t>
  </si>
  <si>
    <t>Japan Fisheries Research &amp; Education Agency (FRA)</t>
  </si>
  <si>
    <t>Taki, K (corresponding author), Fisheries Res Agcy, Natl Res Inst Far Seas Fisheries, Kanazawa Ku, 2-12-4 Fukuura, Yokohama, Kanagawa 2368648, Japan.</t>
  </si>
  <si>
    <t>takisan@affrc.go.jp</t>
  </si>
  <si>
    <t>WOS:000208703000010</t>
  </si>
  <si>
    <t>Iwami, T; Naganobu, M; Taki, K; Kiyota, M</t>
  </si>
  <si>
    <t>Iwami, T.; Naganobu, M.; Taki, K.; Kiyota, M.</t>
  </si>
  <si>
    <t>ANNUAL CHANGES IN SPECIES COMPOSITION AND ABUNDANCE OF MYCTOPHID FISH IN THE NORTH OF SOUTH GEORGIA (SUBAREA 48.3), ANTARCTICA, DURING AUSTRAL WINTERS FROM 2002 TO 2008</t>
  </si>
  <si>
    <t>Antarctic krill; by-catch; Myctophidae; Scotia Sea; species composition; annual change; CCAMLR</t>
  </si>
  <si>
    <t>Species composition and abundance of myctophid fish were analysed using the fish by-catch samples collected by scientific observers on board Japanese commercial krill fishing vessels in the area north and northwest of South Georgia, Antarctica, during austral winters from 2002 to 2008. A total of 10 myctophid species were identified in the by-catch samples, among which Krefftichthys anderssoni, Gymnoscopelus nicholsi and Protomyctophum choriodon were abundant. Different life stages of K. anderssoni and G. nicholsi from larvae to adults were found, suggesting that these species may have their nursery ground around South Georgia. Electrona antarctica was not a major component of the recent mesopelagic ichthyofauna in this area, although this species used to be dominant in the Antarctic coastal waters. In contrast, P. choriodon, which is known as a south temperate species, became dominant in recent samples. Additionally, the size distribution of P. choriodon was unimodal, indicating that individuals in the samples belonged to the same size group and probably migrated from the population in warmer northern areas.</t>
  </si>
  <si>
    <t>[Iwami, T.] Tokyo Kasei Gakuin Univ, Biol Lab, Machida, Tokyo 194029, Japan; [Naganobu, M.; Taki, K.; Kiyota, M.] Fisheries Res Agcy, Natl Res Inst Far Seas Fisheries, Kanazawa Ku, Yokohama, Kanagawa 2368648, Japan</t>
  </si>
  <si>
    <t>Iwami, T (corresponding author), Tokyo Kasei Gakuin Univ, Biol Lab, 2600 Aihara Cho, Machida, Tokyo 194029, Japan.</t>
  </si>
  <si>
    <t>iwami@kasei-gakuin.ac.jp</t>
  </si>
  <si>
    <t>WOS:000208703000011</t>
  </si>
  <si>
    <t>Mishra, KP; Yadav, AP; Shweta; Chanda, S; Majumdar, D; Ganju, L</t>
  </si>
  <si>
    <t>Mishra, K. P.; Yadav, A. P.; Shweta; Chanda, Sudipta; Majumdar, D.; Ganju, Lilly</t>
  </si>
  <si>
    <t>Serum levels of immunoglobulins (IgG, IgA, IgM) in Antarctic summer expeditioners and their relationship with seasickness</t>
  </si>
  <si>
    <t>CELLULAR IMMUNOLOGY</t>
  </si>
  <si>
    <t>Antarctica; Blizzards; Immunoglobulins; IgA; Seasickness</t>
  </si>
  <si>
    <t>IMMUNE; EXPOSURE; RESPONSES; STRESS</t>
  </si>
  <si>
    <t>The Antarctic continent is full of environmental extremes like isolation, cold, UV exposure, and blizzards etc. The present study was conducted to analyze the effect of ship borne journey and the impact of Antarctic harsh environment on serum immunoglobulin (IgG, IgM, IgA) levels and their relationship with seasickness in Indian expeditioners. It was observed that one month onboard ship journey induced an increase in serum IgA levels and decrease in IgG levels while after being one month off board at the Indian research station Maitri, decreased levels of IgG and increased levels of IgA were found. IgM levels were not altered in comparison to the base line control. Moreover, serum IgG level showed a positive correlation while IgA level showed a negative correlation with seasickness. The stimulation of human peripheral blood mononuclear cells (PBMCs) with serum of expeditioner at different places showed that IgA at lower dose induces the release of pro-inflammatory IL-1 beta, and IL-6 cytokines from PBMCs while higher dose of IgA decreases proinflammatory cytokine production. The release of anti-inflammatory cytokines TGF-beta 1 and IL-10 was not significantly altered. Thus, the present study concluded that ship borne journey and Antarctic environment lead to increased serum IgA levels while decreased IgG levels. It also suggests that serum IgA level could be a possible biomarker for environmental stress. (C) 2011 Elsevier Inc. All rights reserved.</t>
  </si>
  <si>
    <t>[Mishra, K. P.; Yadav, A. P.; Shweta; Chanda, Sudipta; Majumdar, D.; Ganju, Lilly] Def Inst Physiol &amp; Allied Sci, Immunomodulat Lab, Delhi 110054, India</t>
  </si>
  <si>
    <t>Defence Research &amp; Development Organisation (DRDO); Defence Institute of Physiology &amp; Allied Sciences (DIPAS)</t>
  </si>
  <si>
    <t>Mishra, KP (corresponding author), Def Inst Physiol &amp; Allied Sci, Immunomodulat Lab, Lucknow Rd, Delhi 110054, India.</t>
  </si>
  <si>
    <t>kpmpgi@rediffmail.com</t>
  </si>
  <si>
    <t>Mishra, KP/0000-0002-8371-3772; Joshi, Shweta/0000-0002-6833-9073</t>
  </si>
  <si>
    <t>DRDO, Ministry of Defence, Government of India</t>
  </si>
  <si>
    <t>Authors are thankful to all the 28th Indian Antarctic expeditioners who have voluntarily given the blood sample for conducting this study. Special thanks to National Centre for Antarctic and Ocean Research, India for providing all the facilities required for the study. KPM was summer member and APY was winter member for the 28th Indian Antarctic Expedition. The study was supported by DRDO, Ministry of Defence, Government of India.</t>
  </si>
  <si>
    <t>ACADEMIC PRESS INC ELSEVIER SCIENCE</t>
  </si>
  <si>
    <t>525 B ST, STE 1900, SAN DIEGO, CA 92101-4495 USA</t>
  </si>
  <si>
    <t>0008-8749</t>
  </si>
  <si>
    <t>1090-2163</t>
  </si>
  <si>
    <t>CELL IMMUNOL</t>
  </si>
  <si>
    <t>Cell. Immunol.</t>
  </si>
  <si>
    <t>10.1016/j.cellimm.2011.05.018</t>
  </si>
  <si>
    <t>Cell Biology; Immunology</t>
  </si>
  <si>
    <t>856QL</t>
  </si>
  <si>
    <t>WOS:000297658400005</t>
  </si>
  <si>
    <t>Marshall, GJ; Di Battista, S; Naik, SS; Thamban, M</t>
  </si>
  <si>
    <t>Marshall, Gareth J.; Di Battista, Stefano; Naik, Sushant S.; Thamban, Meloth</t>
  </si>
  <si>
    <t>Analysis of a regional change in the sign of the SAM-temperature relationship in Antarctica</t>
  </si>
  <si>
    <t>Antarctica; Temperature; Southern Annular Mode; Variability; Climate change; Atmospheric circulation</t>
  </si>
  <si>
    <t>SOUTHERN ANNULAR MODE; MEAN CIRCULATION; PART I; VARIABILITY; HEMISPHERE; OSCILLATION; TRENDS; INDEX; RECONSTRUCTIONS; REANALYSES</t>
  </si>
  <si>
    <t>This study examines regional atmospheric circulation changes associated with a reversal in the sign of the relationship between the Southern Annular Mode (SAM) and near-surface temperatures at Halley station, East Antarctica, during the 1980s. We show that the key factor affecting the regional SAM-temperature relationship (STR) is the relative magnitude of two climatological low pressure centres to the west and east of the area, which determines the source region of air masses advected into the locality. The principal difference affecting the STR is shown to be a trend towards a significantly weaker climatological low (higher pressure) at similar to 20 degrees E during a positive phase of the SAM. Specifically, it is variations in the phase and magnitude of the wave number three patterns of atmospheric circulation, the non-annular component of the SAM, which are the principal factors governing the regional STR. A similar reversal is observed in the sign of the correlation between the SAM and oxygen-isotope values from an ice core located some 1,200 km east of Halley. This relationship is examined throughout the 20th Century, by comparing the isotope data to SAM reconstructions, and demonstrates marked decadal variability. Thus, these data suggest that switches in the STR are more likely to reflect natural variability in the long-wave patterns over the Southern Ocean rather than the influence of an anthropogenic forcing. This finding is important when considering the potential utility of Antarctic isotope data as a proxy for the SAM.</t>
  </si>
  <si>
    <t>[Marshall, Gareth J.] British Antarctic Survey, Cambridge CB3 0ET, England; [Di Battista, Stefano] Meteogiornale, Milan, Italy; [Naik, Sushant S.; Thamban, Meloth] Natl Ctr Antarctic &amp; Ocean Res, Goa, India</t>
  </si>
  <si>
    <t>UK Research &amp; Innovation (UKRI); Natural Environment Research Council (NERC); NERC British Antarctic Survey; Ministry of Earth Sciences (MoES) - India; National Centre for Polar and Ocean Research (NCPOR)</t>
  </si>
  <si>
    <t>Marshall, GJ (corresponding author), British Antarctic Survey, Cambridge CB3 0ET, England.</t>
  </si>
  <si>
    <t>GJMA@bas.ac.uk</t>
  </si>
  <si>
    <t>Naik, Sushant/B-3512-2011</t>
  </si>
  <si>
    <t>Di Battista, Stefano/0000-0001-8653-4318; Thamban, Meloth/0000-0003-3379-8189</t>
  </si>
  <si>
    <t>NERC [bas0100023] Funding Source: UKRI; Natural Environment Research Council [bas0100023] Funding Source: researchfish</t>
  </si>
  <si>
    <t>10.1007/s00382-009-0682-9</t>
  </si>
  <si>
    <t>710DY</t>
  </si>
  <si>
    <t>WOS:000286492300016</t>
  </si>
  <si>
    <t>Sluijs, A; Bijl, PK; Schouten, S; Röhl, U; Reichart, GJ; Brinkhuis, H</t>
  </si>
  <si>
    <t>Sluijs, A.; Bijl, P. K.; Schouten, S.; Roehl, U.; Reichart, G. -J.; Brinkhuis, H.</t>
  </si>
  <si>
    <t>Southern ocean warming, sea level and hydrological change during the Paleocene-Eocene thermal maximum</t>
  </si>
  <si>
    <t>CARBON-ISOTOPE EXCURSION; DINOFLAGELLATE CYSTS; SURFACE TEMPERATURES; SOUTHWEST PACIFIC; MEMBRANE-LIPIDS; METHANE HYDRATE; ORGANIC-MATTER; GLOBAL CARBON; BIGHORN BASIN; ARCTIC-OCEAN</t>
  </si>
  <si>
    <t>A brief (similar to 150 kyr) period of widespread global average surface warming marks the transition between the Paleocene and Eocene epochs, similar to 56 million years ago. This so-called Paleocene-Eocene thermal maximum (PETM) is associated with the massive injection of C-13-depleted carbon, reflected in a negative carbon isotope excursion (CIE). Biotic responses include a global abundance peak (acme) of the subtropical dinoflagellate Apectodinium. Here we identify the PETM in a marine sedimentary sequence deposited on the East Tasman Plateau at Ocean Drilling Program (ODP) Site 1172 and show, based on the organic paleothermometer TEX86, that southwest Pacific sea surface temperatures increased from similar to 26 degrees C to similar to 33 degrees C during the PETM. Such temperatures before, during and after the PETM are &gt;10 degrees C warmer than predicted by paleoclimate model simulations for this latitude. In part, this discrepancy may be explained by potential seasonal biases in the TEX86 proxy in polar oceans. Additionally, the data suggest that not only Arctic, but also Antarctic temperatures may be underestimated in simulations of ancient greenhouse climates by current generation fully coupled climate models. An early influx of abundant Apectodinium confirms that environmental change preceded the CIE on a global scale. Organic dinoflagellate cyst assemblages suggest a local decrease in the amount of river run off reaching the core site during the PETM, possibly in concert with eustatic rise. Moreover, the assemblages suggest changes in seasonality of the regional hydrological system and storm activity. Finally, significant variation in dinoflagellate cyst assemblages during the PETM indicates that southwest Pacific climates varied significantly over time scales of 10(3)-10(4) years during this event, a finding comparable to similar studies of PETM successions from the New Jersey Shelf.</t>
  </si>
  <si>
    <t>[Sluijs, A.; Bijl, P. K.; Brinkhuis, H.] Univ Utrecht, Inst Environm Biol, Lab Palaeobot &amp; Palynol, NL-3584 CD Utrecht, Netherlands; [Schouten, S.] Royal Netherlands Inst Sea Res NIOZ, Dept Marine Organ Biogeochem, Den Burg, Texel, Netherlands; [Roehl, U.] Univ Bremen, Marum Ctr Marine Environm Sci, D-28359 Bremen, Germany; [Reichart, G. -J.] Univ Utrecht, Dept Earth Sci, NL-3584 CD Utrecht, Netherlands</t>
  </si>
  <si>
    <t>Utrecht University; Utrecht University; Royal Netherlands Institute for Sea Research (NIOZ); University of Bremen; Utrecht University</t>
  </si>
  <si>
    <t>Sluijs, A (corresponding author), Univ Utrecht, Inst Environm Biol, Lab Palaeobot &amp; Palynol, Budapestlaan 4, NL-3584 CD Utrecht, Netherlands.</t>
  </si>
  <si>
    <t>A.Sluijs@uu.nl</t>
  </si>
  <si>
    <t>Röhl, Ursula/G-5986-2011; Brinkhuis, Henk/B-4223-2009; Brinkhuis, Henk/IUO-8165-2023; Reichart, Gert-Jan/N-6308-2018; Sluijs, Appy/B-3726-2009</t>
  </si>
  <si>
    <t>Röhl, Ursula/0000-0001-9469-7053; Brinkhuis, Henk/0000-0003-0253-6610; Reichart, Gert-Jan/0000-0002-7256-2243; Bijl, Peter/0000-0002-1710-4012; Sluijs, Appy/0000-0003-2382-0215</t>
  </si>
  <si>
    <t>Netherlands Organisation for Scientific Research [863.07.001]; NWO-Vici grant; Deutsche Forschungsgemeinschaft (DFG); LPP Foundation; European Research Council under the European Community [259627]</t>
  </si>
  <si>
    <t>Netherlands Organisation for Scientific Research(Netherlands Organization for Scientific Research (NWO)); NWO-Vici grant(Netherlands Organization for Scientific Research (NWO)); Deutsche Forschungsgemeinschaft (DFG)(German Research Foundation (DFG)); LPP Foundation; European Research Council under the European Community(European Research Council (ERC))</t>
  </si>
  <si>
    <t>This research used samples and data provided by the Ocean Drilling Program (ODP). Funding for this research was provided by the Netherlands Organisation for Scientific Research to AS (NWO-Veni grant 863.07.001) and SS (NWO-Vici grant), by the Deutsche Forschungsgemeinschaft (DFG) to UR, and by the LPP Foundation to PKB. AS acknowledges the European Research Council under the European Community's Seventh Framework Program for ERC Starting Grant 259627. We thank Dorian Abbot, Jerry Dickens, and Chris Hollis for constructive reviews, Thorsten Kiefer for editorial handling, and Arnold van Dijk, Jan van Tongeren, Natasja Welters (Utrecht University) and Ellen Hopmans and Jort Ossebaar (Royal NIOZ) for technical support.</t>
  </si>
  <si>
    <t>10.5194/cp-7-47-2011</t>
  </si>
  <si>
    <t>gold, Green Submitted, Green Published</t>
  </si>
  <si>
    <t>WOS:000288992700005</t>
  </si>
  <si>
    <t>Lang, N; Wolff, EW</t>
  </si>
  <si>
    <t>Lang, N.; Wolff, E. W.</t>
  </si>
  <si>
    <t>Interglacial and glacial variability from the last 800 ka in marine, ice and terrestrial archives</t>
  </si>
  <si>
    <t>SOUTH CHINA SEA; CLIMATE VARIABILITY; LAKE BAIKAL; RECORD; PLEISTOCENE; PACIFIC; LOESS; OCEAN; TEMPERATURE; ANTARCTICA</t>
  </si>
  <si>
    <t>We have compiled 37 ice, marine and terrestrial palaeoclimate records covering the last 800 000 years in order to assess the pattern of glacial and interglacial strength, and termination amplitude. Records were selected based on their length, completeness and resolution, and their age models were updated, where required, by alignment to the LR04 benthic delta O-18 stack. The resulting compilation allows comparison of individual glacial to interglacial transitions with confidence, but the level of synchronisation is inadequate for discussion of temporal phasing. The comparison of interglacials and glacials concentrates on the peaks immediately before and after terminations; particularly strong and weak glacials and interglacials have been identified. This confirms that strong interglacials are confined to the last 450 ka, and that this is a globally robust pattern; however weak interglacials (i.e. marine isotope stage 7) can still occur in this later period. Strong glacial periods are also concentrated in the recent half of the records, although marine isotope stage 16 is strong in many delta O-18 records. Strong interglacials, particularly in the marine isotopic records, tend to follow strong glacials, suggesting that we should not expect interglacial strength to be strongly influenced by the instantaneous astronomical forcing. Many interglacials have a complex structure, with multiple peaks and troughs whose origin needs to be understood. However this compilation emphasises the under-representation of terrestrial environments and highlights the need for long palaeoclimate records from these areas. The main result of this work is the compiled datasets and maps of interglacial strength which provide a target for modelling studies and for conceptual understanding.</t>
  </si>
  <si>
    <t>[Lang, N.; Wolff, E. W.] British Antarctic Survey, Cambridge CB3 0ET, England</t>
  </si>
  <si>
    <t>Lang, N (corresponding author), Natl Isotope Ctr, 30 Gracefield Rd, Wellington 5010, New Zealand.</t>
  </si>
  <si>
    <t>n.lang@gns.cri.nz</t>
  </si>
  <si>
    <t>Wolff, Eric W/D-7925-2014</t>
  </si>
  <si>
    <t>Wolff, Eric W/0000-0002-5914-8531</t>
  </si>
  <si>
    <t>QUEST-DESIRE [NE/E007600/1]; Natural Environment Research Council; NERC [bas0100024, NE/I009639/1, NE/E007600/1] Funding Source: UKRI; Natural Environment Research Council [NE/E007600/1, bas0100024, NE/I009639/1] Funding Source: researchfish</t>
  </si>
  <si>
    <t>QUEST-DESIRE;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</si>
  <si>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and the QUEST-DESIRE project (grant NE/E007600/1). It was funded by the Natural Environment Research Council. We would like to thank Simon Crowhurst, Lorraine Lisiecki, and Regine Rothlisberger for their advice and assistance, and Anne de Vernal, Torsten Bickert, Ian Hall, Kira Lawrence, Alfredo Martinez Garcia, Sindia Sosdian, Youbin Sun, and Chronis Tzedakis for providing data. We thank Michel Crucifix and Chronis Tzedakis for their very helpful reviews, and their precise editing suggestions.</t>
  </si>
  <si>
    <t>10.5194/cp-7-361-2011</t>
  </si>
  <si>
    <t>785RX</t>
  </si>
  <si>
    <t>WOS:000292247800003</t>
  </si>
  <si>
    <t>Masson-Delmotte, V; Buiron, D; Ekaykin, A; Frezzotti, M; Gallée, H; Jouzel, J; Krinner, G; Landais, A; Motoyama, H; Oerter, H; Pol, K; Pollard, D; Ritz, C; Schlosser, E; Sime, LC; Sodemann, H; Stenni, B; Uemura, R; Vimeux, F</t>
  </si>
  <si>
    <t>Masson-Delmotte, V.; Buiron, D.; Ekaykin, A.; Frezzotti, M.; Gallee, H.; Jouzel, J.; Krinner, G.; Landais, A.; Motoyama, H.; Oerter, H.; Pol, K.; Pollard, D.; Ritz, C.; Schlosser, E.; Sime, L. C.; Sodemann, H.; Stenni, B.; Uemura, R.; Vimeux, F.</t>
  </si>
  <si>
    <t>A comparison of the present and last interglacial periods in six Antarctic ice cores</t>
  </si>
  <si>
    <t>EPICA DOME-C; DRONNING MAUD LAND; EAST ANTARCTICA; SOUTHERN-HEMISPHERE; CLIMATE VARIABILITY; SNOW ACCUMULATION; TAYLOR DOME; PRECIPITATION SEASONALITY; ISOTOPIC COMPOSITION; GLACIAL PERIOD</t>
  </si>
  <si>
    <t>We compare the present and last interglacial periods as recorded in Antarctic water stable isotope records now available at various temporal resolutions from six East Antarctic ice cores: Vostok, Taylor Dome, EPICA Dome C (EDC), EPICA Dronning Maud Land (EDML), Dome Fuji and the recent TALDICE ice core from Talos Dome. We first review the different modern site characteristics in terms of ice flow, meteorological conditions, precipitation intermittency and moisture origin, as depicted by meteorological data, atmospheric reanalyses and Lagrangian moisture source diagnostics. These different factors can indeed alter the relationships between temperature and water stable isotopes. Using five records with sufficient resolution on the EDC3 age scale, common features are quantified through principal component analyses. Consistent with instrumental records and atmospheric model results, the ice core data depict rather coherent and homogenous patterns in East Antarctica during the last two interglacials. Across the East Antarctic plateau, regional differences, with respect to the common East Antarctic signal, appear to have similar patterns during the current and last interglacials. We identify two abrupt shifts in isotopic records during the glacial inception at TALDICE and EDML, likely caused by regional sea ice expansion. These regional differences are discussed in terms of moisture origin and in terms of past changes in local elevation histories, which are compared to ice sheet model results. Our results suggest that elevation changes may contribute significantly to inter-site differences. These elevation changes may be underestimated by current ice sheet models.</t>
  </si>
  <si>
    <t>[Masson-Delmotte, V.; Jouzel, J.; Landais, A.; Pol, K.; Uemura, R.; Vimeux, F.] IPSL CEA CNRS UVSQ, UMR 8212, Lab Sci Climat &amp; Environm, Gif Sur Yvette, France; [Buiron, D.; Gallee, H.; Krinner, G.; Ritz, C.] CNRS, Grenoble, France; [Buiron, D.; Gallee, H.; Krinner, G.; Ritz, C.] UJF, LGGE, UMR 5183, Grenoble, France; [Ekaykin, A.] Arctic &amp; Antarctic Res Inst, St Petersburg 199397, Russia; [Frezzotti, M.] ENEA, Rome, Italy; [Motoyama, H.] Natl Inst Polar Res, Res Org Informat &amp; Syst, Tokyo 1908518, Japan; [Oerter, H.] Helmholtz Assoc, Alfred Wegener Inst Polar &amp; Marine Res, Bremerhaven, Germany; [Pollard, D.] Penn State Univ, Earth &amp; Environm Syst Inst, University Pk, PA 16802 USA; [Schlosser, E.] Univ Innsbruck, Inst Meteorol &amp; Geophys, A-6020 Innsbruck, Austria; [Sime, L. C.] British Antarctic Survey, Cambridge CB3 0ET, England; [Sodemann, H.] Norwegian Inst Air Res, NILU, Kjeller, Norway; [Stenni, B.] Univ Trieste, Dept Geosci, Trieste, Italy; [Uemura, R.] Univ Ryukyus, Dept Chem Biol &amp; Marine Sci, Okinawa, Japan; [Vimeux, F.] CNRS IRD UM1 UM2, Inst Rech Dev, Lab HydroSci Montpellier, IRD,HSM,UMR 5569, Montpellier, France</t>
  </si>
  <si>
    <t>Universite Paris Saclay; Centre National de la Recherche Scientifique (CNRS); CNRS - National Institute for Earth Sciences &amp; Astronomy (INSU); CEA; Centre National de la Recherche Scientifique (CNRS); Communaute Universite Grenoble Alpes; Universite Grenoble Alpes (UGA); Arctic &amp; Antarctic Research Institute; Italian National Agency New Technical Energy &amp; Sustainable Economics Development; Research Organization of Information &amp; Systems (ROIS); National Institute of Polar Research (NIPR) - Japan; Helmholtz Association; Alfred Wegener Institute, Helmholtz Centre for Polar &amp; Marine Research; Pennsylvania Commonwealth System of Higher Education (PCSHE); Pennsylvania State University; Pennsylvania State University - University Park; University of Innsbruck; UK Research &amp; Innovation (UKRI); Natural Environment Research Council (NERC); NERC British Antarctic Survey; NILU; University of Trieste; University of the Ryukyus; Institut de Recherche pour le Developpement (IRD); Universite de Montpellier; Centre National de la Recherche Scientifique (CNRS); CNRS - National Institute for Earth Sciences &amp; Astronomy (INSU)</t>
  </si>
  <si>
    <t>Masson-Delmotte, V (corresponding author), IPSL CEA CNRS UVSQ, UMR 8212, Lab Sci Climat &amp; Environm, Gif Sur Yvette, France.</t>
  </si>
  <si>
    <t>valerie.masson@cea.fr</t>
  </si>
  <si>
    <t>Uemura, Ryu/C-9793-2012; Sime, Louise/AAX-7730-2021; Sime, Louise/F-8058-2012; Krinner, Gerhard/A-6450-2011; Uemura, Ryu/AGR-0677-2022; FREZZOTTI, Massimo/AAK-7275-2020; Krinner, Gerhard/AAB-8837-2022; Ekaykin, Alexey A./K-9894-2015; Masson-Delmotte, Valerie L/G-1995-2011; Sodemann, Harald/ABG-5304-2021; Lipenkov, Vladimir/Q-8262-2016</t>
  </si>
  <si>
    <t>Uemura, Ryu/0000-0002-4236-0085; Sime, Louise/0000-0002-9093-7926; Sime, Louise/0000-0002-9093-7926; Uemura, Ryu/0000-0002-4236-0085; FREZZOTTI, Massimo/0000-0002-2461-2883; Krinner, Gerhard/0000-0002-2959-5920; Masson-Delmotte, Valerie L/0000-0001-8296-381X; Sodemann, Harald/0000-0002-8167-0860; POL, Katy/0000-0002-3467-3698; Lipenkov, Vladimir/0000-0003-4221-5440; Stenni, Barbara/0000-0003-4950-3664; Ritz, Catherine/0000-0003-0785-8571; LANDAIS, Amaelle/0000-0002-5620-5465</t>
  </si>
  <si>
    <t>Norwegian Research Council; EU (EPICA-MIS); ANR DOME [ANR-O7-BLAN-0125]; European Union [FP7/2007-2013, 243908]; national contributions from Belgium; national contributions from Denmark; national contributions from France; national contributions from Germany; national contributions from Italy; national contributions from The Netherlands; national contributions from Norway; national contributions from Sweden; national contributions from Switzerland; national contributions from UK; national contributions from Spain; NERC [NE/I009639/1, bas0100024] Funding Source: UKRI; Natural Environment Research Council [NE/I009639/1, bas0100024] Funding Source: researchfish</t>
  </si>
  <si>
    <t>Norwegian Research Council(Research Council of Norway); EU (EPICA-MIS)(European Union (EU)); ANR DOME(Agence Nationale de la Recherche (ANR)); European Union(European Union (EU)); national contributions from Belgium; national contributions from Denmark; national contributions from France; national contributions from Germany; national contributions from Italy; national contributions from The Netherlands; national contributions from Norway; national contributions from Sweden; national contributions from Switzerland; national contributions from UK; national contributions from Spain; NERC(UK Research &amp; Innovation (UKRI)Natural Environment Research Council (NERC)); Natural Environment Research Council(UK Research &amp; Innovation (UKRI)Natural Environment Research Council (NERC))</t>
  </si>
  <si>
    <t>We thank Gael Durand for constructive discussions. H. S. acknowledges funding by the Norwegian Research Council in the framework of the project WaterSIP. This work is a contribution to EPICA, a joint European Science Foundation/European Commission scientific programme, funded by the EU (EPICA-MIS) and by national contributions from Belgium, Denmark, France, Germany, Italy, The Netherlands, Norway, Sweden, Switzerland, and the UK. The main logistic support was provided by IPEV and PNRA (at Dome C) and AWI (at Dronning Maud Land). The Talos Dome Ice core Project (TALDICE), a joint European programme, is funded by national contributions from Italy, France, Germany, Switzerland and the United Kingdom. Primary logistical support was provided by PNRA at Talos Dome. The inter-site comparison of past interglacials was supported by the ANR DOME A project (ANR-O7-BLAN-0125) and the analysis of modern climatic backgrounds by ANR VANISH. The research leading to these results has received funding from the European Union's Seventh Framework programme (FP7/2007-2013) under grant agreement 243908, Past4Future. Climate change - Learning from the past climate, and is also a contribution to the ESF HOLOCLIP project. The HOLOCLIP Project, a joint research project of the European Science Foundation PolarCLIMATE programme, is funded by national contributions from Italy, France, Germany, Spain, Netherlands, Belgium and the United Kingdom. This is EPICA publication 274, TALDICE publication 12, Past4Future publication 5, HOLOCLIP publication 2 and LSCE publication 4488.</t>
  </si>
  <si>
    <t>10.5194/cp-7-397-2011</t>
  </si>
  <si>
    <t>WOS:000292247800005</t>
  </si>
  <si>
    <t>Pol, K; Debret, M; Masson-Delmotte, V; Capron, E; Cattani, O; Dreyfus, G; Falourd, S; Johnsen, S; Jouzel, J; Landais, A; Minster, B; Stenni, B</t>
  </si>
  <si>
    <t>Pol, K.; Debret, M.; Masson-Delmotte, V.; Capron, E.; Cattani, O.; Dreyfus, G.; Falourd, S.; Johnsen, S.; Jouzel, J.; Landais, A.; Minster, B.; Stenni, B.</t>
  </si>
  <si>
    <t>Links between MIS 11 millennial to sub-millennial climate variability and long term trends as revealed by new high resolution EPICA Dome C deuterium data - A comparison with the Holocene</t>
  </si>
  <si>
    <t>MARINE ISOTOPE STAGE-11; NORTH-ATLANTIC CLIMATE; ICE-CORE; SEA-LEVEL; ATMOSPHERIC CIRCULATION; GREENLAND CLIMATE; SCALE; ANTARCTICA; RECORD; VEGETATION</t>
  </si>
  <si>
    <t>We expand here the description of the Antarctic temperature variability during the long interglacial period occurring similar to 400 thousand years before the present (Marine Isotopic Stage, MIS 11). Our study is based on new detailed deuterium measurements conducted on the EPICA Dome C ice core, Antarctica, with a similar to 50 year temporal resolution. Despite an ice diffusion of a length reaching similar to 8 cm at MIS 11 depth, the data allow us to highlight a variability at multi-centennial scale for MIS 11, as it has already been observed for the Holocene period (MIS 1). The differences between MIS 1 and MIS 11 are analysed regarding the links between multi-millennial trends and sub-millennial variability. The EPICA Dome C deuterium record shows an increased variability and the onset of millennial to sub-millennial periodicities at the beginning of the final cooling phase of MIS 11. Our findings are robust with respect to sensitivity tests on the somewhat uncertain MIS 11 duration.</t>
  </si>
  <si>
    <t>[Pol, K.; Masson-Delmotte, V.; Capron, E.; Cattani, O.; Dreyfus, G.; Falourd, S.; Jouzel, J.; Landais, A.; Minster, B.] CEA Saclay, Lab Sci Climat &amp; Environm, IPSL, CEA CNRS UVSQ,UMR 8212, F-91191 Gif Sur Yvette, France; [Debret, M.] Univ Rouen, Lab Morphodynam Continentale &amp; Cotiere, UMR CNRS 6143, Dept Geol, F-76821 Mont St Aignan, France; [Dreyfus, G.] Princeton Univ, Dept Geosci, Princeton, NJ 08544 USA; [Johnsen, S.] Univ Copenhagen, Ctr Ice &amp; Climate, Niels Bohr Inst, DK-2100 Copenhagen, Denmark; [Stenni, B.] Univ Trieste, Dipartimento Sci Geol, I-34127 Trieste, Italy</t>
  </si>
  <si>
    <t>Centre National de la Recherche Scientifique (CNRS); CNRS - National Institute for Earth Sciences &amp; Astronomy (INSU); Universite Paris Saclay; Universite Paris Cite; CEA; Universite de Rouen Normandie; Princeton University; University of Copenhagen; Niels Bohr Institute; University of Trieste</t>
  </si>
  <si>
    <t>Pol, K (corresponding author), CEA Saclay, Lab Sci Climat &amp; Environm, IPSL, CEA CNRS UVSQ,UMR 8212, F-91191 Gif Sur Yvette, France.</t>
  </si>
  <si>
    <t>katy.pol@lsce.ipsl.fr</t>
  </si>
  <si>
    <t>Masson-Delmotte, Valerie L/G-1995-2011; Debret, Maxime/L-4236-2017</t>
  </si>
  <si>
    <t>Masson-Delmotte, Valerie L/0000-0001-8296-381X; LANDAIS, Amaelle/0000-0002-5620-5465; Debret, Maxime/0000-0002-8852-0152; Stenni, Barbara/0000-0003-4950-3664; POL, Katy/0000-0002-3467-3698</t>
  </si>
  <si>
    <t>EU [FP7/2007-2013, 243908]; national contributions from Belgium; national contributions from Denmark; national contributions from France; national contributions from Germany; national contributions from Italy; national contributions from the Netherlands; national contributions from Norway; national contributions from Sweden; national contributions from Switzerland; national contributions from United Kingdom; national contributions from Spain</t>
  </si>
  <si>
    <t>EU(European Union (EU)); national contributions from Belgium; national contributions from Denmark; national contributions from France; national contributions from Germany; national contributions from Italy; national contributions from the Netherlands; national contributions from Norway; national contributions from Sweden; national contributions from Switzerland; national contributions from United Kingdom; national contributions from Spain</t>
  </si>
  <si>
    <t>The authors wish to thank C. Lemmen and M. Mudelsee for their interest in the present study and their constructive reviews which helped us to improve this article. 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United Kingdom. The main logistic support was provided by IPEV and PNRA (at Dome C) and AWI (at Dronning Maud Land). This work also contributes to the HOLOCLIP project, a joint research project of the ESF PolarCLIMATE programme, funded by national contributions from Italy, France, Germany, Spain, The Netherlands, Belgium and the United Kingdom. The research leading to these results has in particular received funding from the European Union's Seventh Framework programme (FP7/2007-2013) under grant agreement no 243908, Past4Future, Climate change Learning from the past climate. This is EPICA publication 275, HOLOCLIP publication 2, Past4Future contribution 6 and LSCE publication 4512.</t>
  </si>
  <si>
    <t>10.5194/cp-7-437-2011</t>
  </si>
  <si>
    <t>WOS:000292247800007</t>
  </si>
  <si>
    <t>Köhler, P; Knorr, G; Buiron, D; Lourantou, A; Chappellaz, J</t>
  </si>
  <si>
    <t>Koehler, P.; Knorr, G.; Buiron, D.; Lourantou, A.; Chappellaz, J.</t>
  </si>
  <si>
    <t>Abrupt rise in atmospheric CO2 at the onset of the Bolling/Allerod: in-situ ice core data versus true atmospheric signals</t>
  </si>
  <si>
    <t>PARTIAL-PRESSURE; NITROUS-OXIDE; CLIMATE; CIRCULATION; ANTARCTICA; BIOSPHERE; COLLAPSE; METHANE; TRENDS; RECORD</t>
  </si>
  <si>
    <t>During the last glacial/interglacial transition the Earth's climate underwent abrupt changes around 14.6 kyr ago. Temperature proxies from ice cores revealed the onset of the Bolling/Allerod (B/A) warm period in the north and the start of the Antarctic Cold Reversal in the south. Furthermore, the B/A was accompanied by a rapid sea level rise of about 20 m during meltwater pulse (MWP) 1A, whose exact timing is a matter of current debate. In-situ measured CO2 in the EPICA Dome C (EDC) ice core also revealed a remarkable jump of 10 +/- 1 ppmv in 230 yr at the same time. Allowing for the modelled age distribution of CO2 in firn, we show that atmospheric CO2 could have jumped by 20-35 ppmv in less than 200 yr, which is a factor of 2-3.5 greater than the CO2 signal recorded in-situ in EDC. This rate of change in atmospheric CO2 corresponds to 29-50% of the anthropogenic signal during the last 50 yr and is connected with a radiative forcing of 0.59-0.75 W m(-2). Using a model-based airborne fraction of 0.17 of atmospheric CO2, we infer that 125 Pg of carbon need to be released into the atmosphere to produce such a peak. If the abrupt rise in CO2 at the onset of the B/A is unique with respect to other Dansgaard/Oeschger (D/O) events of the last 60 kyr (which seems plausible if not unequivocal based on current observations), then the mechanism responsible for it may also have been unique. Available delta(CO2)-C-13 data are neutral, whether the source of the carbon is of marine or terrestrial origin. We therefore hypothesise that most of the carbon might have been activated as a consequence of continental shelf flooding during MWP-1A. This potential impact of rapid sea level rise on atmospheric CO2 might define the point of no return during the last deglaciation.</t>
  </si>
  <si>
    <t>[Koehler, P.; Knorr, G.] Alfred Wegener Inst Polar &amp; Marine Res AWI, D-27515 Bremerhaven, Germany; [Knorr, G.] Cardiff Univ, Sch Earth &amp; Ocean Sci, Cardiff, S Glam, Wales; [Buiron, D.; Lourantou, A.; Chappellaz, J.] Univ Grenoble 1, CNRS, LGGE, F-38402 St Martin Dheres, France</t>
  </si>
  <si>
    <t>Helmholtz Association; Alfred Wegener Institute, Helmholtz Centre for Polar &amp; Marine Research; Cardiff University; Centre National de la Recherche Scientifique (CNRS); Communaute Universite Grenoble Alpes; Universite Grenoble Alpes (UGA)</t>
  </si>
  <si>
    <t>Köhler, P (corresponding author), Alfred Wegener Inst Polar &amp; Marine Res AWI, POB 120161, D-27515 Bremerhaven, Germany.</t>
  </si>
  <si>
    <t>peter.koehler@awi.de</t>
  </si>
  <si>
    <t>Chappellaz, Jérôme A./A-4872-2011; Köhler, Peter/F-7293-2010</t>
  </si>
  <si>
    <t>Köhler, Peter/0000-0003-0904-8484; Knorr, Gregor/0000-0002-8317-5046</t>
  </si>
  <si>
    <t>Institut National des Sciences de l'Univers</t>
  </si>
  <si>
    <t>We thank Hubertus Fischer for discussions and for pointing us at the question of strong terrestrial carbon changes during abrupt CO2 jumps. Johannes Freitag provided us with insights to gases in firn and related difficulties in dating ice core gas records. Renato Spahni provided the gas age distribution calculated with a firn densification model plotted in Fig. 2 and in-depth details on gas chronologies. We thank Luke Skinner, Mark Siddall and an anonymous reviewer for their constructive comments. Work done at LGGE was partly funded by the LEFE programme of Institut National des Sciences de l'Univers.</t>
  </si>
  <si>
    <t>10.5194/cp-7-473-2011</t>
  </si>
  <si>
    <t>WOS:000292247800009</t>
  </si>
  <si>
    <t>Roche, DM; Renssen, H; Paillard, D; Levavasseur, G</t>
  </si>
  <si>
    <t>Roche, D. M.; Renssen, H.; Paillard, D.; Levavasseur, G.</t>
  </si>
  <si>
    <t>Deciphering the spatio-temporal complexity of climate change of the last deglaciation: a model analysis</t>
  </si>
  <si>
    <t>ANTARCTIC SEA-ICE; AFRICAN HUMID PERIOD; GLACIAL MAXIMUM; ATMOSPHERIC METHANE; LATE PLEISTOCENE; BERING STRAIT; THERMOHALINE CIRCULATION; BOUNDARY-CONDITIONS; OCEAN CIRCULATION; GREENLAND CLIMATE</t>
  </si>
  <si>
    <t>Understanding the sequence of events occuring during the last major glacial to interglacial transition (21 ka BP to 9 ka BP) is a challenging task that has the potential to unveil the mechanisms behind large scale climate changes. Though many studies have focused on the understanding of the complex sequence of rapid climatic change that accompanied or interrupted the deglaciation, few have analysed it in a more theoretical framework with simple forcings. In the following, we address when and where the first significant temperature anomalies appeared when using slow varying forcing of the last deglaciation. We used here coupled transient simulations of the last deglaciation, including ocean, atmosphere and vegetation components to analyse the spatial timing of the deglaciation. To keep the analysis in a simple framework, we did not include freshwater forcings that potentially cause rapid climate shifts during that time period. We aimed to disentangle the direct and subsequent response of the climate system to slow forcing and moreover, the location where those changes are more clearly expressed. In a data - modelling comparison perspective, this could help understand the physically plausible phasing between known forcings and recorded climatic changes. Our analysis of climate variability could also help to distinguish deglacial warming signals from internal climate variability. We thus are able to better pinpoint the onset of local deglaciation, as defined by the first significant local warming and further show that there is a large regional variability associated with it, even with the set of slow forcings used here. In our model, the first significant hemispheric warming occurred simultaneously in the North and in the South and is a direct response to the obliquity forcing.</t>
  </si>
  <si>
    <t>[Roche, D. M.; Paillard, D.; Levavasseur, G.] CEA INSU CNRS UVSQ, Ctr Etud Saclay CEA Orme des Merisiers, LSCE, UMR8212, F-91191 Gif Sur Yvette, France; [Roche, D. M.; Renssen, H.] Vrije Univ Amsterdam, Sect Climate Change &amp; Landscape Dynam, Dept Earth Sci, Fac Earth &amp; Life Sci, NL-1081 HV Amsterdam, Netherlands</t>
  </si>
  <si>
    <t>Centre National de la Recherche Scientifique (CNRS); CNRS - National Institute for Earth Sciences &amp; Astronomy (INSU); CEA; Universite Paris Saclay; Vrije Universiteit Amsterdam</t>
  </si>
  <si>
    <t>Roche, DM (corresponding author), CEA INSU CNRS UVSQ, Ctr Etud Saclay CEA Orme des Merisiers, LSCE, UMR8212, Bat 701, F-91191 Gif Sur Yvette, France.</t>
  </si>
  <si>
    <t>didier.roche@lsce.ipsl.fr</t>
  </si>
  <si>
    <t>Paillard, Didier/G-4776-2012; Roche, Didier M./C-9875-2010</t>
  </si>
  <si>
    <t>Paillard, Didier/0000-0002-9995-2794; Roche, Didier M./0000-0001-6272-9428</t>
  </si>
  <si>
    <t>NWO [854.00.024]; INSU-CNRS</t>
  </si>
  <si>
    <t>NWO(Netherlands Organization for Scientific Research (NWO)); INSU-CNRS(Centre National de la Recherche Scientifique (CNRS))</t>
  </si>
  <si>
    <t>This work is a contribution to the NWO-NERC RAPID project ORMEN. D. M. R. is funded by the NWO under project number 854.00.024 and by INSU-CNRS. The authors wish to thank M. Vrac for useful discussions on the statistical approach and A. Berger for comments on an earlier version of the manuscript. We are grateful to O. E. Timm, R. Gyllencreutz and a anonymous reviewer for comments that helped improved the manuscript.</t>
  </si>
  <si>
    <t>10.5194/cp-7-591-2011</t>
  </si>
  <si>
    <t>WOS:000292247800018</t>
  </si>
  <si>
    <t>Pedro, JB; van Ommen, TD; Rasmussen, SO; Morgan, VI; Chappellaz, J; Moy, AD; Masson-Delmotte, V; Delmotte, M</t>
  </si>
  <si>
    <t>Pedro, J. B.; van Ommen, T. D.; Rasmussen, S. O.; Morgan, V. I.; Chappellaz, J.; Moy, A. D.; Masson-Delmotte, V.; Delmotte, M.</t>
  </si>
  <si>
    <t>The last deglaciation: timing the bipolar seesaw</t>
  </si>
  <si>
    <t>SCALE CLIMATE-CHANGE; DEEP ICE CORE; SOUTHERN-OCEAN; NORTH-ATLANTIC; FRESH-WATER; AGE SCALE; DOME-C; ANTARCTICA; GREENLAND; CIRCULATION</t>
  </si>
  <si>
    <t>Precise information on the relative timing of north-south climate variations is a key to resolving questions concerning the mechanisms that force and couple climate changes between the hemispheres. We present a new composite record made from five well-resolved Antarctic ice core records that robustly represents the timing of regional Antarctic climate change during the last deglaciation. Using fast variations in global methane gas concentrations as time markers, the Antarctic composite is directly compared to Greenland ice core records, allowing a detailed mapping of the inter-hemispheric sequence of climate changes. Consistent with prior studies the synchronized records show that warming (and cooling) trends in Antarctica closely match cold (and warm) periods in Greenland on millennial timescales. For the first time, we also identify a sub-millennial component to the inter-hemispheric coupling. Within the Antarctic Cold Reversal the strongest Antarctic cooling occurs during the pronounced northern warmth of the Bolling. Warming then resumes in Antarctica, potentially as early as the Intra-Allerod Cold Period, but with dating uncertainty that could place it as late as the onset of the Younger Dryas stadial. There is little-to-no time lag between climate transitions in Greenland and opposing changes in Antarctica. Our results lend support to fast acting inter-hemispheric coupling mechanisms, including recently proposed bipolar atmospheric teleconnections and/or rapid bipolar ocean teleconnections.</t>
  </si>
  <si>
    <t>[Pedro, J. B.; van Ommen, T. D.; Morgan, V. I.; Moy, A. D.] Antarctic Climate &amp; Ecosyst Cooperat Res Ctr, Hobart, Tas, Australia; [Pedro, J. B.] Univ Tasmania, Inst Marine &amp; Antarctic Studies, Hobart, Tas, Australia; [van Ommen, T. D.; Morgan, V. I.; Moy, A. D.] Australian Antarctic Div, Kingston, Tas, Australia; [Rasmussen, S. O.] Univ Copenhagen, Ctr Ice &amp; Climate, Copenhagen, Denmark; [Chappellaz, J.] Lab Glaciol &amp; Geophys Environm, F-38402 St Martin Dheres, France; [Masson-Delmotte, V.; Delmotte, M.] Lab Sci Climat &amp; Environm, Saclay, France</t>
  </si>
  <si>
    <t>Antarctic Climate &amp; Ecosystems Cooperative Research Centre (ACE CRC); University of Tasmania; Australian Antarctic Division; University of Copenhagen; CEA; Centre National de la Recherche Scientifique (CNRS); Universite Paris Saclay</t>
  </si>
  <si>
    <t>Pedro, JB (corresponding author), Antarctic Climate &amp; Ecosyst Cooperat Res Ctr, Hobart, Tas, Australia.</t>
  </si>
  <si>
    <t>jbpedro@utas.edu.au</t>
  </si>
  <si>
    <t>Aptel, Flo/E-6885-2013; Pedro, Joel Benjamin/L-8918-2019; Pedro, Joel/M-5632-2014; Chappellaz, Jérôme A./A-4872-2011; Masson-Delmotte, Valerie L/G-1995-2011; Rasmussen, Sune/B-5560-2008; Rasmussen, Sune Olander/AAA-3190-2021; van Ommen, Tas/B-5020-2012</t>
  </si>
  <si>
    <t>Pedro, Joel Benjamin/0000-0002-0728-2712; Pedro, Joel/0000-0002-0728-2712; Masson-Delmotte, Valerie L/0000-0001-8296-381X; Rasmussen, Sune Olander/0000-0002-4177-3611; Moy, Andrew/0000-0002-7664-9960; van Ommen, Tas/0000-0002-2463-1718</t>
  </si>
  <si>
    <t>Institut National des Sciences de l'Univers (INSU); Agence Nationale de la Recherche [ANR-07-BLAN-0125]; Inge Lehmann; Agence Nationale de la Recherche (ANR) [ANR-07-BLAN-0125] Funding Source: Agence Nationale de la Recherche (ANR)</t>
  </si>
  <si>
    <t>Institut National des Sciences de l'Univers (INSU); Agence Nationale de la Recherche(Agence Nationale de la Recherche (ANR)); Inge Lehmann; Agence Nationale de la Recherche (ANR)(Agence Nationale de la Recherche (ANR))</t>
  </si>
  <si>
    <t>This work was assisted by the Australian Government's Cooperative Research Centres Programme, through the Antarctic Climate and Ecosystems Cooperative Research Centre. Funding support in France was provided by the LEFE programme of the Institut National des Sciences de l'Univers (INSU) and by the project ANR-07-BLAN-0125 of Agence Nationale de la Recherche. S.O.R. gratefully acknowledges support from an Inge Lehmann grant. We thank Edward Brook and Eric Wolff for their constructive reviews.</t>
  </si>
  <si>
    <t>10.5194/cp-7-671-2011</t>
  </si>
  <si>
    <t>WOS:000292247800022</t>
  </si>
  <si>
    <t>Pedro, JB; Smith, AM; Simon, KJ; van Ommen, TD; Curran, MAJ</t>
  </si>
  <si>
    <t>Pedro, J. B.; Smith, A. M.; Simon, K. J.; van Ommen, T. D.; Curran, M. A. J.</t>
  </si>
  <si>
    <t>High-resolution records of the beryllium-10 solar activity proxy in ice from Law Dome, East Antarctica: measurement, reproducibility and principal trends</t>
  </si>
  <si>
    <t>POLAR ICE; ATMOSPHERIC TRANSPORT; TROPOSPHERE EXCHANGE; SEASONAL-VARIATIONS; SUMMIT SOUTH; BERYLLIUM 10; CORE; GREENLAND; MODULATION; MILLENNIUM</t>
  </si>
  <si>
    <t>Three near-monthly resolution Be-10 records are presented from the Dome Summit South (DSS) ice core site, Law Dome, East Antarctica. The chemical preparation and Accelerator Mass Spectrometer (AMS) measurement of these records is described. The reproducibility of Be-10 records at DSS is assessed through intercomparison of the ice core data with data from two previously published and contemporaneous snow pits. We find generally good agreement between the five records, comparable to that observed between other trace chemical records from the site. This result allays concerns raised by a previous Antarctic study (Moraal et al., 2005) about poor reproducibility of ice core Be-10 records. A single composite series is constructed from the three ice cores providing a monthly-resolved record of Be-10 concentrations at DSS over the past decade (1999 to 2009). To our knowledge, this is the first published ice core data spanning the recent exceptional solar minimum of solar cycle 23. Be-10 concentrations are significantly correlated to the cosmic ray flux recorded by the McMurdo neutron monitor (r(xy) = 0.64, with 95% CI of 0.53 to 0.71), suggesting that solar modulation of the atmospheric production rate may explain up to similar to 40% of the variance in Be-10 concentrations at DSS. Sharp concentration peaks occur in most years during the summer-to-autumn, possibly caused by stratospheric incursions. Our results underscore the presence of both production and meteorological signals in ice core Be-10 data.</t>
  </si>
  <si>
    <t>[Pedro, J. B.] Univ Tasmania, Inst Marine &amp; Antarctic Studies, Hobart, Tas, Australia; [Pedro, J. B.; van Ommen, T. D.; Curran, M. A. J.] Antarctic Climate &amp; Ecosyst Cooperat Res Ctr, Hobart, Tas, Australia; [Smith, A. M.; Simon, K. J.] Australian Nucl Sci &amp; Technol Org, Menai, NSW 2234, Australia; [van Ommen, T. D.; Curran, M. A. J.] Australian Antarctic Div, Kingston, Tas, Australia</t>
  </si>
  <si>
    <t>University of Tasmania; Antarctic Climate &amp; Ecosystems Cooperative Research Centre (ACE CRC); Australian Nuclear Science &amp; Technology Organisation; Australian Antarctic Division</t>
  </si>
  <si>
    <t>Pedro, JB (corresponding author), Univ Tasmania, Inst Marine &amp; Antarctic Studies, Hobart, Tas, Australia.</t>
  </si>
  <si>
    <t>Pedro, Joel/M-5632-2014; , Andrew/HLX-8550-2023; Pedro, Joel Benjamin/L-8918-2019; van Ommen, Tas/B-5020-2012</t>
  </si>
  <si>
    <t>Pedro, Joel/0000-0002-0728-2712; Pedro, Joel Benjamin/0000-0002-0728-2712; van Ommen, Tas/0000-0002-2463-1718; Smith, Andrew/0000-0002-9193-2617; Simon, Krista/0000-0003-4443-4305</t>
  </si>
  <si>
    <t>Australian Antarctic Division [2384, 3064, 1172]; Australian Governments Cooperative Research Centres through the Antarctic Ecosystems and Climate Cooperative Research Centre (ACE CRC); Australian Institute of Nuclear Science and Engineering (AINSE); Cosmogenic Climate Archives of the Southern Hemisphere (CcASH); Australian Post-Graduate Award; AINSE; National Science Foundation [ATM-0527878]</t>
  </si>
  <si>
    <t>Australian Antarctic Division; Australian Governments Cooperative Research Centres through the Antarctic Ecosystems and Climate Cooperative Research Centre (ACE CRC)(Australian GovernmentDepartment of Industry, Innovation and ScienceCooperative Research Centres (CRC) Programme); Australian Institute of Nuclear Science and Engineering (AINSE); Cosmogenic Climate Archives of the Southern Hemisphere (CcASH); Australian Post-Graduate Award(Australian Government); AINSE; National Science Foundation(National Science Foundation (NSF))</t>
  </si>
  <si>
    <t>The authors acknowledge support from the Australian Antarctic Division (Australian Antarctic Science Projects AAS#2384, AAS#3064 and AAS#1172), the Australian Governments Cooperative Research Centres Programme through the Antarctic Ecosystems and Climate Cooperative Research Centre (ACE CRC), the Australian Institute of Nuclear Science and Engineering (AINSE) and the Cosmogenic Climate Archives of the Southern Hemisphere (CcASH) project in the Institute for research at the Australian Nuclear Science and Technology Organisation (ANSTO). J. B. P. is supported by an Australian Post-Graduate Award and an AINSE Post-Graduate Award. We thank the Bartol Research Institute neutron monitor programme, supported by National Science Foundation grant ATM-0527878, for making the McMurdo neutron record available. We thank Andrew Moy for measuring the delta18O records. Ulla Heikkila provided valuable comments on an earlier version of the manuscript. Finally, we are most grateful to William Webber and two anonymous referees for their reviews that led to an improved final manuscript.</t>
  </si>
  <si>
    <t>10.5194/cp-7-707-2011</t>
  </si>
  <si>
    <t>826LY</t>
  </si>
  <si>
    <t>Green Accepted, gold, Green Submitted</t>
  </si>
  <si>
    <t>WOS:000295356800003</t>
  </si>
  <si>
    <t>Zhang, Z; Nisancioglu, KH; Flatoy, F; Bentsen, M; Bethke, I; Wang, H</t>
  </si>
  <si>
    <t>Zhang, Z.; Nisancioglu, K. H.; Flatoy, F.; Bentsen, M.; Bethke, I.; Wang, H.</t>
  </si>
  <si>
    <t>Tropical seaways played a more important role than high latitude seaways in Cenozoic cooling</t>
  </si>
  <si>
    <t>EOCENE THERMAL MAXIMUM; DRAKE PASSAGE; OCEAN CIRCULATION; GLOBAL CLIMATE; ARCTIC-OCEAN; ANTARCTIC GLACIATION; OLIGOCENE TRANSITION; SEA TEMPERATURES; OXYGEN-ISOTOPE; HEAT-TRANSPORT</t>
  </si>
  <si>
    <t>Following the Early Eocene climatic optimum (EECO, similar to 55-50 Ma), climate deteriorated and gradually changed the earth from a greenhouse into an icehouse, with major cooling events at the Eocene-Oligocene boundary (similar to 34 Ma) and the Middle Miocene (similar to 15 Ma). It is believed that the opening of the Drake Passage had a marked impact on the cooling at the Eocene-Oligocene boundary. Based on an Early Eocene simulation, we study the sensitivity of climate and ocean circulation to tectonic events such as the closing of the West Siberian Seaway, the deepening of the Arctic-Atlantic Seaway, the opening of the Drake Passage, and the constriction of the Tethys and Central American seaways. The opening of the Drake Passage, together with the closing of the West Siberian Seaway and the deepening of the Arctic-Atlantic Seaway, weakened the Southern Ocean DeepWater (SODW) dominated ocean circulation and led to a weak cooling at high latitudes, thus contributing to the observed Early Cenozoic cooling. However, the later constriction of the Tethys and Central American Seaways is shown to give a strong cooling at southern high latitudes. This cooling was related to the transition of ocean circulation from a SODW-dominated mode to the modern-like ocean circulation dominated by North Atlantic Deep Water (NADW).</t>
  </si>
  <si>
    <t>[Zhang, Z.; Nisancioglu, K. H.; Flatoy, F.; Bentsen, M.; Bethke, I.] UniResearch, Bjerknes Ctr Climate Res, N-5007 Bergen, Norway; [Zhang, Z.; Wang, H.] Chinese Acad Sci, Inst Atmospher Phys, Nansen Zhu Int Res Ctr, Beijing 100029, Peoples R China</t>
  </si>
  <si>
    <t>Bjerknes Centre for Climate Research; Chinese Academy of Sciences; Institute of Atmospheric Physics, CAS</t>
  </si>
  <si>
    <t>Zhang, Z (corresponding author), UniResearch, Bjerknes Ctr Climate Res, N-5007 Bergen, Norway.</t>
  </si>
  <si>
    <t>zhongshi.zhang@bjerknes.uib.no</t>
  </si>
  <si>
    <t>zhang, zhi/HPH-4905-2023; Zhang, zs/GXN-3521-2022; Zhang, Zhongshi/ADE-5510-2022; Nisancioglu, Kerim/E-3360-2010; Bethke, Ingo/I-1339-2018</t>
  </si>
  <si>
    <t>Zhang, Zhongshi/0000-0002-2354-1622; Nisancioglu, Kerim/0000-0002-5737-5765; Bethke, Ingo/0000-0002-6836-9838</t>
  </si>
  <si>
    <t>National 973 Program of China [2010CB950102]; National Natural Science Foundation of China [40902054]; Statoil, Norway</t>
  </si>
  <si>
    <t>National 973 Program of China(National Basic Research Program of China); National Natural Science Foundation of China(National Natural Science Foundation of China (NSFC)); Statoil, Norway</t>
  </si>
  <si>
    <t>We sincerely thank Nanne Weber, Gilles Ramstein and Anna von der Heydt for their suggestions and contributions during the revision of the paper. We thank Robert Jacob for technical support on the model. We thank Eystein Jansen, Martin Miles and Thomos Leslie Leith for thoughtful reviews, Yongqi Gao, Jinzhi Su, Xu Yue and Lei Yu for discussions. This work is supported by the National 973 Program of China under Grant 2010CB950102, the National Natural Science Foundation of China under Grant 40902054 and the funding from Statoil, Norway.</t>
  </si>
  <si>
    <t>10.5194/cp-7-801-2011</t>
  </si>
  <si>
    <t>WOS:000295356800008</t>
  </si>
  <si>
    <t>Liebrand, D; Lourens, LJ; Hodell, DA; de Boer, B; van de Wal, RSW; Pälike, H</t>
  </si>
  <si>
    <t>Liebrand, D.; Lourens, L. J.; Hodell, D. A.; de Boer, B.; van de Wal, R. S. W.; Paelike, H.</t>
  </si>
  <si>
    <t>Antarctic ice sheet and oceanographic response to eccentricity forcing during the early Miocene</t>
  </si>
  <si>
    <t>ATMOSPHERIC CARBON-DIOXIDE; OLIGOCENE/MIOCENE BOUNDARY; CLIMATE; RECORDS; DYNAMICS; CYCLE; CALIBRATION; EVOLUTION; ISOTOPES; ATLANTIC</t>
  </si>
  <si>
    <t>Stable isotope records of benthic foraminifera from ODP Site 1264 in the southeastern Atlantic Ocean are presented which resolve the latest Oligocene to early Miocene (similar to 24-19 Ma) climate changes at high temporal resolution (&lt;3 kyr). Using an inverse modelling technique, we decomposed the oxygen isotope record into temperature and ice volume and found that the Antarctic ice sheet expanded episodically during the declining phase of the long-term (similar to 400 kyr) eccentricity cycle and subsequent low short-term (similar to 100 kyr) eccentricity cycle. The largest glaciations are separated by multiple long-term eccentricity cycles, indicating the involvement of a non-linear response mechanism. Our modelling results suggest that during the largest (Mi-1) event, Antarctic ice sheet volume expanded up to its present-day configuration. In addition, we found that distinct similar to 100 kyr variability occurs during the termination phases of the major Antarctic glaciations, suggesting that climate and ice-sheet response was more susceptible to short-term eccentricity forcing at these times. During two of these termination-phases, delta(18)O bottom water gradients in the Atlantic ceased to exist, indicating a direct link between global climate, enhanced ice-sheet instability and major oceanographic reorganisations.</t>
  </si>
  <si>
    <t>[Liebrand, D.; Lourens, L. J.] Univ Utrecht, Dept Earth Sci, Fac Geosci, NL-3584 CD Utrecht, Netherlands; [Liebrand, D.; Paelike, H.] Univ Southampton, Natl Oceanog Ctr, Sch Ocean &amp; Earth Sci, Southampton SO14 3ZH, Hants, England; [Hodell, D. A.] Univ Cambridge, Dept Earth Sci, Cambridge CB2 3EQ, England; [de Boer, B.; van de Wal, R. S. W.] Univ Utrecht, Inst Marine &amp; Atmospher Res Utrecht IMAU, NL-3584 CC Utrecht, Netherlands</t>
  </si>
  <si>
    <t>Utrecht University; University of Southampton; NERC National Oceanography Centre; University of Cambridge; Utrecht University</t>
  </si>
  <si>
    <t>Liebrand, D (corresponding author), Univ Utrecht, Dept Earth Sci, Fac Geosci, Budapestlaan 4, NL-3584 CD Utrecht, Netherlands.</t>
  </si>
  <si>
    <t>diederik.liebrand@noc.soton.ac.uk</t>
  </si>
  <si>
    <t>van de wal, roderik/D-1705-2011; Pälike, Heiko/A-6560-2008; Lieband, Diederik/AAT-2004-2021</t>
  </si>
  <si>
    <t>van de wal, roderik/0000-0003-2543-3892; Pälike, Heiko/0000-0003-3386-0923; Lieband, Diederik/0000-0002-6925-7889; de Boer, Bas/0000-0002-3696-6654; Beaufort, Luc/0000-0001-6055-9373; Hodell, David/0000-0001-8537-1588</t>
  </si>
  <si>
    <t>US National Science Foundation; NWO [864.02.007, 865.10.001]; European Community [215458]; NERC [NE/F003641/1, NE/D000343/1] Funding Source: UKRI; STFC [PP/D002176/1] Funding Source: UKRI; Natural Environment Research Council [NE/F003641/1, NE/D000343/1] Funding Source: researchfish; Science and Technology Facilities Council [PP/D002176/1] Funding Source: researchfish</t>
  </si>
  <si>
    <t>US National Science Foundation(National Science Foundation (NSF)); NWO(Netherlands Organization for Scientific Research (NWO)); European Community;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</si>
  <si>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We are indebted to Geert Ittman, Arnold van Dijk, Jan Drenth, Jason Curtis, Giana Brown, Walter Hale, Gert-Jan Reichart, and Klaudia Kuiper for their (technical) assistance. David Naafs, Martin Ziegler, Steven Bohaty, Clara Bolton, Lucy Stap, Tanja Kouwenhoven, Sietske Batenburg, Christian Zeeden, Helen Beddow-Twigg, Cristina Sghibartz, Sarah O'Dea, Rosanna Greenop, Frits Hilgen, Ellen Thomas, Dick Kroon, Paul Wilson, Gavin Foster and Eelco Rohling are thanked for discussing the science and/or commenting on an earlier version of this manuscript. We would like to thank the anonymous referee and Franck Bassinot for their insightful comments. Luc Beaufort is thanked for editing the manuscript. This research used samples provided by the Ocean Drilling Program, sponsored by the US National Science Foundation and participating countries under the management of Joint Oceanographic Institutions (JOI), Inc. This study has been made possible by NWO VIDI-grant no. [864.02.007] and VICI-grant no. [865.10.001] assigned to L. J. L. and the European Community's Seventh Framework Programme (FP7/2007-2013) under grant agreement no. [215458] to the GTS-next project (D. L. and H. P.).</t>
  </si>
  <si>
    <t>10.5194/cp-7-869-2011</t>
  </si>
  <si>
    <t>WOS:000295356800012</t>
  </si>
  <si>
    <t>Boucher, É; Guiot, J; Chapron, E</t>
  </si>
  <si>
    <t>Boucher, E.; Guiot, J.; Chapron, E.</t>
  </si>
  <si>
    <t>A millennial multi-proxy reconstruction of summer PDSI for Southern South America</t>
  </si>
  <si>
    <t>NORTHERN-HEMISPHERE TEMPERATURES; GLOBAL LAND PRECIPITATION; DROUGHT SEVERITY INDEX; MEDIEVAL WARM PERIOD; ICE-CORE RECORDS; LAST-MILLENNIUM; CLIMATE; VARIABILITY; CIRCULATION; RESOLUTION</t>
  </si>
  <si>
    <t>We present the first spatially explicit field reconstruction of the summer (DJF) Palmer Drought Severity Index (PDSI) for the Southern Hemisphere. Our multi-proxy reconstruction focuses on Southern South America (SSA, south of 20 degrees S) and is based on a novel spectral analogue method that aims at reconstructing low PDSI frequencies independently from higher frequencies. The analysis of past regimes and trends in extreme wet spells and droughts reveals considerable geographical and temporal variations over the last millennium in SSA. Although recent changes are in some cases notorious, most were not exceptional at the scale of the last thousand years. Our reconstruction highlights that low frequency water availability fluctuations in Patagonia were generally in antiphase with the rest of the subcontinent. Providing the fact that modern patterns of changes are transferable to the past, we show that such antiphases within SSA's hydroclimate could be attributed to the spatially contrasted response of summer PDSI to the Antarctic Oscillation (AAO). However, El Nino Southern Oscillation (ENSO) and Pacific Decadal Oscillation (PDO) signals are also embedded within the PDSI series during the 20th century. All these ocean-atmospheric forcings acted synergically, but the dominant influence appeared highly compartmentalized through space, highlighting clear AAO- (e. g. South Patagonia) and ENSO- (e. g. the Pampas) dominated regions. Our results therefore emphasize the complexity of water-availability fluctuations in SSA and their important dependence on external ocean-atmospheric forcings.</t>
  </si>
  <si>
    <t>[Boucher, E.; Guiot, J.] CNRS Europole Mediterraneen Arbois, CEREGE, UMR6635, F-13545 Aix En Provence 4, France; [Chapron, E.] Univ Orleans, ISTO, UMR6113, F-45071 Orleans 2, France</t>
  </si>
  <si>
    <t>Aix-Marseille Universite; Bureau de Recherches Geologiques et Minieres (BRGM); Centre National de la Recherche Scientifique (CNRS); Universite de Orleans</t>
  </si>
  <si>
    <t>Boucher, É (corresponding author), CNRS Europole Mediterraneen Arbois, CEREGE, UMR6635, F-13545 Aix En Provence 4, France.</t>
  </si>
  <si>
    <t>boucher.etienne@uqam.ca</t>
  </si>
  <si>
    <t>Guiot, Joel/G-7818-2011</t>
  </si>
  <si>
    <t>Guiot, Joel/0000-0001-7345-4466</t>
  </si>
  <si>
    <t>French National Agency of Research [ANR-06-VULN-010]; FQRNT (Fonds Queibecois de Recherche sur la Nature et les Technologies)</t>
  </si>
  <si>
    <t>French National Agency of Research(Agence Nationale de la Recherche (ANR)); FQRNT (Fonds Queibecois de Recherche sur la Nature et les Technologies)(FQRNT)</t>
  </si>
  <si>
    <t>This paper is a contribution to the ESCARSEL project funded by the French National Agency of Research (program VMC, project ANR-06-VULN-010). We also thank the post-doctoral fellowship program of the FQRNT (Fonds Queibecois de Recherche sur la Nature et les Technologies) that provided the grant to the first author. The comments from the two reviewers (R. Neukom and R. Villalba) and the editor (M. Masiokas) were much appreciated and contributed to improving the content of this manuscript. Dai Palmer Drought Severity Index data was provided by the NOAA/OAR/ESRL PSD, Boulder, Colorado, USA, and downloaded from their Web site at http://www.esrl.noaa.gov/psd/. Francoise Chalie, Edouardo Piovano Francoise Vimeux, Florence Sylvestre, Raphael Neukom, E. M. Thompson, B. Rein, Duncan Christie, Nathalie Fagel, Marie-France Loutre, Xavier Boes, Chistopher Moy, Christophe Corona, Myriam Khodri, Francisco Da Cruz, Georg Hoffmann provided data and/or helpful discussions.</t>
  </si>
  <si>
    <t>10.5194/cp-7-957-2011</t>
  </si>
  <si>
    <t>WOS:000295356800018</t>
  </si>
  <si>
    <t>Masson-Delmotte, V; Braconnot, P; Hoffmann, G; Jouzel, J; Kageyama, M; Landais, A; Lejeune, Q; Risi, C; Sime, L; Sjolte, J; Swingedouw, D; Vinther, B</t>
  </si>
  <si>
    <t>Masson-Delmotte, V.; Braconnot, P.; Hoffmann, G.; Jouzel, J.; Kageyama, M.; Landais, A.; Lejeune, Q.; Risi, C.; Sime, L.; Sjolte, J.; Swingedouw, D.; Vinther, B.</t>
  </si>
  <si>
    <t>Sensitivity of interglacial Greenland temperature and δ18O: ice core data, orbital and increased CO2 climate simulations</t>
  </si>
  <si>
    <t>MERIDIONAL OVERTURNING CIRCULATION; LAST GLACIAL MAXIMUM; SEA-ICE; NORTH-ATLANTIC; KYR BP; ISOTOPES; HOLOCENE; MODEL; RECONSTRUCTION; PARAMETERS</t>
  </si>
  <si>
    <t>The sensitivity of interglacial Greenland temperature to orbital and CO2 forcing is investigated using the NorthGRIP ice core data and coupled ocean-atmosphere IPSL-CM4 model simulations. These simulations were conducted in response to different interglacial orbital configurations, and to increased CO2 concentrations. These different forcings cause very distinct simulated seasonal and latitudinal temperature and water cycle changes, limiting the analogies between the last interglacial and future climate. However, the IPSL-CM4 model shows similar magnitudes of Arctic summer warming and climate feedbacks in response to 2xCO(2) and orbital forcing of the last interglacial period (126 000 years ago). The IPSL-CM4 model produces a remarkably linear relationship between TOA incoming summer solar radiation and simulated changes in summer and annual mean central Greenland temperature. This contrasts with the stable isotope record from the Greenland ice cores, showing a multi-millennial lagged response to summer insolation. During the early part of interglacials, the observed lags may be explained by ice sheet-ocean feedbacks linked with changes in ice sheet elevation and the impact of meltwater on ocean circulation, as investigated with sensitivity studies. A quantitative comparison between ice core data and climate simulations requires stability of the stable isotope temperature relationship to be explored. Atmospheric simulations including water stable isotopes have been conducted with the LMDZiso model under different boundary conditions. This set of simulations allows calculation of a temporal Greenland isotope-temperature slope (0.3-0.4% per degrees C) during warmer-than-present Arctic climates, in response to increased CO2, increased ocean temperature and orbital forcing. This temporal slope appears half as large as the modern spatial gradient and is consistent with other ice core estimates. It may, however, be model-dependent, as indicated by preliminary comparison with other models. This suggests that further simulations and detailed inter-model comparisons are also likely to be of benefit. Comparisons with Greenland ice core stable isotope data reveals that IPSL-CM4/LMDZiso simulations strongly underestimate the amplitude of the ice core signal during the last interglacial, which could reach + 8-10 degrees C at fixed-elevation. While the model-data mismatch may result from missing positive feedbacks (e. g. vegetation), it could also be explained by a reduced elevation of the central Greenland ice sheet surface by 300-400 m.</t>
  </si>
  <si>
    <t>[Masson-Delmotte, V.; Braconnot, P.; Hoffmann, G.; Jouzel, J.; Kageyama, M.; Landais, A.; Lejeune, Q.; Swingedouw, D.] CEA CNRS UVS, Lab Sci Climat &amp; Environm, UMR8212, Gif Sur Yvette, France; [Risi, C.] U Colorado, CIRES, Boulder, CO USA; [Sime, L.] British Antarctic Survey, Cambridge CB3 0ET, England; [Sjolte, J.; Vinther, B.] Univ Copenhagen, Niels Bohr Inst, Ctr Ice &amp; Climate, DK-2100 Copenhagen, Denmark</t>
  </si>
  <si>
    <t>CEA; Centre National de la Recherche Scientifique (CNRS); Universite Paris Saclay; CNRS - National Institute for Earth Sciences &amp; Astronomy (INSU); University of Colorado System; University of Colorado Boulder; UK Research &amp; Innovation (UKRI); Natural Environment Research Council (NERC); NERC British Antarctic Survey; University of Copenhagen; Niels Bohr Institute</t>
  </si>
  <si>
    <t>Masson-Delmotte, V (corresponding author), CEA CNRS UVS, Lab Sci Climat &amp; Environm, UMR8212, Gif Sur Yvette, France.</t>
  </si>
  <si>
    <t>Swingedouw, Didier/D-1408-2010; Sime, Louise/AAX-7730-2021; Masson-Delmotte, Valerie L/G-1995-2011; Sjolte, Jesper/N-7833-2019; Sime, Louise/F-8058-2012; Sjolte, Jesper/O-2942-2016; Kageyama, Masa/F-2389-2010</t>
  </si>
  <si>
    <t>Swingedouw, Didier/0000-0002-0583-0850; Sime, Louise/0000-0002-9093-7926; Masson-Delmotte, Valerie L/0000-0001-8296-381X; Sjolte, Jesper/0000-0003-0870-5331; Sime, Louise/0000-0002-9093-7926; Sjolte, Jesper/0000-0003-0870-5331; Kageyama, Masa/0000-0003-0822-5880; LANDAIS, Amaelle/0000-0002-5620-5465; Vinther, Bo/0000-0002-6078-771X</t>
  </si>
  <si>
    <t>French Agence Nationale de la Recherche; European Union [243908]; NERC [bas0100024] Funding Source: UKRI; Natural Environment Research Council [bas0100024] Funding Source: researchfish</t>
  </si>
  <si>
    <t>French Agence Nationale de la Recherche(Agence Nationale de la Recherche (ANR)); European Union(European Union (EU)); NERC(UK Research &amp; Innovation (UKRI)Natural Environment Research Council (NERC)); Natural Environment Research Council(UK Research &amp; Innovation (UKRI)Natural Environment Research Council (NERC))</t>
  </si>
  <si>
    <t>The research leading to these results has received funding from the French Agence Nationale de la Recherche (NEEM project) and from the European Union's Seventh Framework programme (FP7/2007-2013) under grant agreement no 243908, Past4Future. Climate change - Learning from the past climate. This is PAST4FUTURE publication 10.</t>
  </si>
  <si>
    <t>10.5194/cp-7-1041-2011</t>
  </si>
  <si>
    <t>WOS:000295356800025</t>
  </si>
  <si>
    <t>Anderson, PJ; Miller, AD; O'Malley, KA; Ceridon, ML; Beck, KC; Wood, CM; Wiste, HJ; Mueller, JJ; Johnson, JB; Johnson, BD</t>
  </si>
  <si>
    <t>Anderson, Paul J.; Miller, Andrew D.; O'Malley, Kathy A.; Ceridon, Maile L.; Beck, Kenneth C.; Wood, Christina M.; Wiste, Heather J.; Mueller, Joshua J.; Johnson, Jacob B.; Johnson, Bruce D.</t>
  </si>
  <si>
    <t>Incidence and Symptoms of High Altitude Illness in South Pole Workers: Antarctic Study of Altitude Physiology (ASAP)</t>
  </si>
  <si>
    <t>CLINICAL MEDICINE INSIGHTS-CIRCULATORY RESPIRATORY AND PULMONARY MEDICINE</t>
  </si>
  <si>
    <t>hypoxia; acute mountain sickness; rapid transport; Antarctica</t>
  </si>
  <si>
    <t>Introduction: Each year, the US Antarctic Program rapidly transports scientists and support personnel from sea level (SL) to the South Pole (SP, 2835 m) providing a unique natural laboratory to quantify the incidence of acute mountain sickness (AMS), patterns of altitude related symptoms and the field effectiveness of acetazolamide in a highly controlled setting. We hypothesized that the combination of rapid ascent (3 hr), accentuated hypobarism (relative to altitude), cold, and immediate exertion would increase altitude illness risk. Methods: Medically screened adults (N = 246, age = 37 +/- 11 yr, 30% female, BMI = 26 +/- 4 kg/m(2)) were recruited. All underwent SL and SP physiological evaluation, completed Lake Louise symptom questionnaires (LLSQ, to define AMS), and answered additional symptom related questions (eg, exertional dyspnea, mental status, cough, edema and general health), during the 1st week at altitude. Acetazolamide, while not mandatory, was used by 40% of participants. Results: At SP, the barometric pressure resulted in physiological altitudes that approached 3400 m, while T degrees C averaged -42, humidity 0.03%. Arterial oxygen saturation averaged 89% +/- 3%. Overall, 52% developed LLSQ defined AMS. The most common symptoms reported were exertional dyspnea-(87%), sleeping difficulty-(74%), headache-(66%), fatigue-(65%), and dizziness/lightheadedness( 46%). Symptom severity peaked on days 1-2, yet in &gt;20% exertional dyspnea, fatigue and sleep problems persisted through day 7. AMS incidence was similar between those using acetazolamide and those abstaining (51 vs. 52%, P = 0.87). Those who used acetazolamide tended to be older, have less altitude experience, worse symptoms on previous exposures, and less SP experience. Conclusion: The incidence of AMS at SP tended to be higher than previously reports in other geographic locations at similar altitudes. Thus, the SP constitutes a more intense altitude exposure than might be expected considering physical altitude alone. Many symptoms persist, possibly due to extremely cold, arid conditions and the benefits of acetazolamide appeared negligible, though it may have prevented more severe symptoms in higher risk subjects.</t>
  </si>
  <si>
    <t>[Anderson, Paul J.] Hlth Partners Occupat &amp; Environm Med Residency, St Paul, MN USA; [Johnson, Jacob B.] St Marys Univ Minnesota, Dept Resource Anal, Winona, MN USA; [Miller, Andrew D.; O'Malley, Kathy A.; Beck, Kenneth C.; Mueller, Joshua J.; Johnson, Bruce D.] Mayo Clin, Div Cardiovasc Dis, Rochester, MN 55905 USA; [Wood, Christina M.; Wiste, Heather J.] Mayo Clin, Div Biomed Stat, Rochester, MN USA; [Ceridon, Maile L.; Johnson, Bruce D.] Mayo Clin, Dept Physiol &amp; Biomed Engn, Rochester, MN USA</t>
  </si>
  <si>
    <t>Saint Marys University Minnesota; Mayo Clinic; Mayo Clinic; Mayo Clinic</t>
  </si>
  <si>
    <t>Johnson, BD (corresponding author), Mayo Clin, Div Cardiovasc Dis, Rochester, MN 55905 USA.</t>
  </si>
  <si>
    <t>johnson.bruce@mayo.edu</t>
  </si>
  <si>
    <t>Wood-Wentz, Christina/AFP-9066-2022</t>
  </si>
  <si>
    <t>National Science Foundation [B-179-M]; Mayo Clinic Center for Translational Science Activity (CTSA), Clinical Research Unit from the National Center for Research Resources [1 UL1 RR024150]</t>
  </si>
  <si>
    <t>National Science Foundation(National Science Foundation (NSF)); Mayo Clinic Center for Translational Science Activity (CTSA), Clinical Research Unit from the National Center for Research Resources</t>
  </si>
  <si>
    <t>We would like to thank the hard working employees of the US Antarctic Program who each year make their way to the South Pole to support the many scientific research agendas in Antarctica. This includes general science support, station management and cargo crew at South Pole, Crary Lab, medical team and transportation/shipping at both McMurdo and South Pole. We would also like to thank Jay O'Brien for his help and support in this project in Antarctica as well as Kent Bailey for statistical support. This study was supported by a grant from the National Science Foundation, B-179-M. J Mueller was supported by funding through the Mayo Clinic Center for Translational Science Activity (CTSA), Clinical Research Unit, Grant Number 1 UL1 RR024150 from the National Center for Research Resources.</t>
  </si>
  <si>
    <t>SAGE PUBLICATIONS LTD</t>
  </si>
  <si>
    <t>1 OLIVERS YARD, 55 CITY ROAD, LONDON EC1Y 1SP, ENGLAND</t>
  </si>
  <si>
    <t>1179-5484</t>
  </si>
  <si>
    <t>CLIN MED INSIGHTS-CI</t>
  </si>
  <si>
    <t>Clin. Med. Insights-Circ. Respir Pulm. Med.</t>
  </si>
  <si>
    <t>10.4137/CCRPM.S6882</t>
  </si>
  <si>
    <t>Respiratory System</t>
  </si>
  <si>
    <t>V32UX</t>
  </si>
  <si>
    <t>WOS:000215723800004</t>
  </si>
  <si>
    <t>Markova, K; Stefanova, M; Ivanov, M; Pimpirev, C; Marinov, S; Apostolova, D</t>
  </si>
  <si>
    <t>Markova, Kalinka; Stefanova, Maya; Ivanov, Marin; Pimpirev, Christo; Marinov, Stefan; Apostolova, Denitsa</t>
  </si>
  <si>
    <t>GEOCHEMICAL CHARACTERISTICS OF SOLUBLE ORGANIC MATTER FROM THE SEDIMENTS OF THE BULGARIAN ANTARCTIC BASE2 SECTION (MIERS BLUFF FORMATION)</t>
  </si>
  <si>
    <t>COMPTES RENDUS DE L ACADEMIE BULGARE DES SCIENCES</t>
  </si>
  <si>
    <t>Antarctica; soluble organic matter; extraction</t>
  </si>
  <si>
    <t>LIVINGSTON ISLAND</t>
  </si>
  <si>
    <t>The sediments from the basement of the Bulgarian Antarctic Base2 (BAB2) section were studied with the aim to determine organic matter compositions. Bitumen A and C and the total soluble organic matter (SOM) using a sequential extraction by chloroform and ethanol-benzene (1 : 1) were analysed. The group compositions of the extracts, the types and amount of n-alkanes in the oils, CPI values and the Pr/Ph ratios were determined. Steranes, diasteranes and tri-, tetra- and pentacyclic terpanes were mass spectrometrically identified. It was established that the sediments are poor in SOM and their generation most likely took place in slightly reducing environment. It is supposed that the SOM has a humus-continental input. The results of the study confirm the rather advanced maturity of the SOM in the sediments under study.</t>
  </si>
  <si>
    <t>[Markova, Kalinka; Ivanov, Marin; Pimpirev, Christo; Apostolova, Denitsa] St Kl Ohridski Univ Sofia, Sofia 1504, Bulgaria; [Stefanova, Maya; Marinov, Stefan] Bulgarian Acad Sci, Inst Organ Chem, Ctr Phytochem, BU-1113 Sofia, Bulgaria</t>
  </si>
  <si>
    <t>University of Sofia; Bulgarian Academy of Sciences</t>
  </si>
  <si>
    <t>Markova, K (corresponding author), St Kl Ohridski Univ Sofia, 15 Tsar Osvoboditel Blvd, Sofia 1504, Bulgaria.</t>
  </si>
  <si>
    <t>markova@gea.uni-sofia</t>
  </si>
  <si>
    <t>Stefanova, Maya/0000-0003-3163-2441</t>
  </si>
  <si>
    <t>National Science Fund of Bulgaria [43-BU-06/06]</t>
  </si>
  <si>
    <t>National Science Fund of Bulgaria(National Science Fund of Bulgaria)</t>
  </si>
  <si>
    <t>This study was supported by the National Science Fund of Bulgaria, project No 43-BU-06/06.</t>
  </si>
  <si>
    <t>PUBL HOUSE BULGARIAN ACAD SCI</t>
  </si>
  <si>
    <t>SOFIA</t>
  </si>
  <si>
    <t>ACADEMICIAN G BONCEV ST, 1113 SOFIA, BULGARIA</t>
  </si>
  <si>
    <t>1310-1331</t>
  </si>
  <si>
    <t>CR ACAD BULG SCI</t>
  </si>
  <si>
    <t>C. R. Acad. Bulg. Sci.</t>
  </si>
  <si>
    <t>852TV</t>
  </si>
  <si>
    <t>WOS:000297381300012</t>
  </si>
  <si>
    <t>Graham, AGC; Nitsche, FO; Larter, RD</t>
  </si>
  <si>
    <t>Graham, A. G. C.; Nitsche, F. O.; Larter, R. D.</t>
  </si>
  <si>
    <t>An improved bathymetry compilation for the Bellingshausen Sea, Antarctica, to inform ice-sheet and ocean models</t>
  </si>
  <si>
    <t>LAST GLACIAL MAXIMUM; PENINSULA CONTINENTAL-SHELF; WEST ANTARCTICA; SUBGLACIAL BEDFORMS; GROUNDING LINES; MARGIN; AMUNDSEN; STREAM; FLOW; VARIABILITY</t>
  </si>
  <si>
    <t>The southern Bellingshausen Sea (SBS) is a rapidly-changing part of West Antarctica, where oceanic and atmospheric warming has led to the recent basal melting and break-up of the Wilkins ice shelf, the dynamic thinning of fringing glaciers, and sea-ice reduction. Accurate sea-floor morphology is vital for understanding the continued effects of each process upon changes within Antarctica's ice sheets. Here we present a new bathymetric grid for the SBS compiled from shipborne multibeam echo-sounder, spot-sounding and sub-ice measurements. The 1-km grid is the most detailed compilation for the SBS to-date, revealing large cross-shelf troughs, shallow banks, and deep inner-shelf basins that continue inland of coastal ice shelves. The troughs now serve as pathways which allow warm deep water to access the ice sheet in the SBS. Our dataset highlights areas still lacking bathymetric constraint, as well as regions for further investigation, including the likely routes of palaeo-ice streams. The new compilation is a major improvement upon previous grids and will be a key dataset for incorporating into simulations of ocean circulation, ice-sheet change and history. It will also serve forecasts of ice stability and future sea-level contributions from ice loss in West Antarctica, required for the next IPCC assessment report in 2013.</t>
  </si>
  <si>
    <t>[Graham, A. G. C.; Larter, R. D.] British Antarctic Survey, Ice Sheets Programme, Cambridge CB3 0ET, England; [Nitsche, F. O.] Columbia Univ, Lamont Doherty Earth Observ, Palisades, NY 10964 USA</t>
  </si>
  <si>
    <t>UK Research &amp; Innovation (UKRI); Natural Environment Research Council (NERC); NERC British Antarctic Survey; Columbia University</t>
  </si>
  <si>
    <t>Graham, AGC (corresponding author), British Antarctic Survey, Ice Sheets Programme, Madingley Rd, Cambridge CB3 0ET, England.</t>
  </si>
  <si>
    <t>alah@bas.ac.uk</t>
  </si>
  <si>
    <t>Nitsche, Frank O/A-9343-2009</t>
  </si>
  <si>
    <t>Nitsche, Frank O/0000-0002-4137-547X; Larter, Robert/0000-0002-8414-7389; Graham, Alastair/0000-0002-2880-2908</t>
  </si>
  <si>
    <t>Natural Environment Research Council; NSF [ANT-0838735]; NERC [bas0100027] Funding Source: UKRI; Natural Environment Research Council [bas0100027] Funding Source: researchfish; Office of Polar Programs (OPP); Directorate For Geosciences [0838735, 0739330] Funding Source: National Science Foundation</t>
  </si>
  <si>
    <t>Natural Environment Research Council(UK Research &amp; Innovation (UKRI)Natural Environment Research Council (NERC)); NSF(National Science Foundation (NSF));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</si>
  <si>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We thank the captains, officers and crews of the RRS James Clark Ross and R/V Polarstern, and shipboard parties of numerous other cruises, for collecting data. Deb Shoosmith is thanked for providing JR165 bathymetry. Hans Werner Schenke and Karsten Gohl (both affiliated to Alfred Wegener Institute for Polar and Marine Research) supplied valuable data for the final compilation. Stewart Jamieson is thanked for his encouragement and constructive criticism of our work, and the three reviewers are gratefully acknowledged for helping improve the manuscript. This work forms a contribution to the Ice Sheets component of the British Antarctic Survey Polar Science for Planet Earth Programme. It was funded by The Natural Environment Research Council (AGCG and RDL). F. Nitsche was supported by NSF grant ANT-0838735.</t>
  </si>
  <si>
    <t>10.5194/tc-5-95-2011</t>
  </si>
  <si>
    <t>743AU</t>
  </si>
  <si>
    <t>WOS:000288988500008</t>
  </si>
  <si>
    <t>Rott, H; Müller, F; Nagler, T; Floricioiu, D</t>
  </si>
  <si>
    <t>Rott, H.; Mueller, F.; Nagler, T.; Floricioiu, D.</t>
  </si>
  <si>
    <t>The imbalance of glaciers after disintegration of Larsen-B ice shelf, Antarctic Peninsula</t>
  </si>
  <si>
    <t>DYNAMICS; COLLAPSE; RETREAT; PATTERN</t>
  </si>
  <si>
    <t>The outlet glaciers to the embayment of the Larsen-B Ice Shelf started to accelerate soon after the ice shelf disintegrated in March 2002. We analyse high resolution radar images of the TerraSAR-X satellite, launched in June 2007, to map the motion of outlet glaciers in detail. The frontal velocities are used to estimate the calving fluxes for 2008/2009. As reference for pre-collapse conditions, when the glaciers were in balanced state, the ice fluxes through the same gates are computed using ice motion maps derived from interferometric data of the ERS-1/ERS-2 satellites in 1995 and 1999. Profiles of satellite laser altimetry from ICESat, crossing the terminus of several glaciers, indicate considerable glacier thinning between 2003 and 2007/2008. This is taken into account for defining the calving cross sections. The difference between the pre- and post-collapse fluxes provides an estimate on the mass imbalance. For the Larsen-B embayment the 2008 mass deficit is estimated at 4.34 +/- 1.64 Gt a(-1), significantly lower than previously published values. The ice flow acceleration follows a similar pattern on the various glaciers, gradually decreasing in magnitude with distance upstream from the calving front. This suggests stress perturbation at the glacier front being the main factor for acceleration. So far there are no signs of slow-down indicating that dynamic thinning and frontal retreat will go on.</t>
  </si>
  <si>
    <t>[Rott, H.] Univ Innsbruck, Inst Meteorol &amp; Geophys, A-6020 Innsbruck, Austria; [Rott, H.; Mueller, F.; Nagler, T.] ENVEO IT GmbH, A-6020 Innsbruck, Austria; [Floricioiu, D.] German Aerosp Ctr, Remote Sensing Technol Inst, D-82234 Wessling, Germany</t>
  </si>
  <si>
    <t>helmut.rott@uibk.ac.at</t>
  </si>
  <si>
    <t>Austrian Ministry of Traffic, Innovation, and Technology (BMVIT); ESA [ERS-AO3.108]; [HYD039]</t>
  </si>
  <si>
    <t>Austrian Ministry of Traffic, Innovation, and Technology (BMVIT); ESA(European Space Agency);</t>
  </si>
  <si>
    <t>We are grateful to Gino Casassa and Georg Kaser for helpful comments. Very constructive reviews and comments from Nicholas Barrand, Ted Scambos and Mauri Pelto helped to further improve the paper. This work was partly supported by the Space Application Programme (ASAP) of the Austrian Ministry of Traffic, Innovation, and Technology (BMVIT). The TerraSAR-X images were kindly made available through science project HYD039, the ERS SAR images through ESA project ERS-AO3.108 (VECTRA). The ICESat/GLAS data were obtained from NSIDC User Service, Boulder, Colorado.</t>
  </si>
  <si>
    <t>10.5194/tc-5-125-2011</t>
  </si>
  <si>
    <t>WOS:000288988500010</t>
  </si>
  <si>
    <t>Gudmundsson, GH</t>
  </si>
  <si>
    <t>Gudmundsson, G. H.</t>
  </si>
  <si>
    <t>Ice-stream response to ocean tides and the form of the basal sliding law</t>
  </si>
  <si>
    <t>STICK-SLIP MOTION; TIDAL FLEXURE; ANTARCTICA; SHELF; GLACIER; FLOW; RADAR</t>
  </si>
  <si>
    <t>The response of ice streams to ocean tides is investigated. Numerical modelling experiments are conducted using a two-dimensional flow-line model of coupled ice-stream and ice-shelf flow. The model includes all components of the equilibrium equations, and uses a non-linear viscoelastic constitutive equation for ice. Basal sliding is simulated with a Weertman type sliding law where basal sliding is proportional to some power of the basal shear stress. The response of ice-streams to tidal forcing is found to be profoundly affected by mechanical conditions at the bed. For a non-linear sliding law, a non-linear interaction between the two main semi-diurnal tidal constituents (M2 and S2) can give rise to a significant perturbation in ice-stream flow at the lunisolar synodic fortnightly (MSf) tidal period of 14.76 days. For a linear sliding law, in contrast, no such modulation in flow at the MSf frequency is found. For vertical ocean tides of the type observed on Filchner-Ronne Ice Shelf (FRIS), the amplitude of the horizontal modulation in ice-stream flow at the MSf frequency resulting from a non-linear interaction between the S2 and M2 tidal constitutes can be larger than the direct response at the S2 and the M2 frequencies. In comparison the non-linear interaction between K1 and O1 tidal components is weak. As a consequence, modelled ice-stream response to mixed oceanic tides of the type found on FRIS is stronger at the MSf period of 14.76 days than at both the semi-diurnal and diurnal frequencies, while at the same time almost absent at the similar Mf period of 13.66 days. The model results compare favourably with measurements of tidally induced flow variations on Rutford Ice Stream (RIS), West Antarctica. On RIS a strong tidal response is found at the MSf frequency with a smaller response at the semi-diurnal and diurnal frequencies, and almost no response at the Mf frequency. A non-linear viscous sliding law appears to have the potential to fully explain these observations.</t>
  </si>
  <si>
    <t>British Antarctic Survey, Cambridge CB3 0ET, England</t>
  </si>
  <si>
    <t>Gudmundsson, GH (corresponding author), British Antarctic Survey, Madingley Rd, Cambridge CB3 0ET, England.</t>
  </si>
  <si>
    <t>ghg@bas.ac.uk</t>
  </si>
  <si>
    <t>Gudmundsson, Gudmundur Hilmar/AAU-5987-2020; Facility, NERC Geophysical Equipment/G-5260-2010; Gudmundsson, Gudmundur Hilmar/F-6499-2012</t>
  </si>
  <si>
    <t>Gudmundsson, Gudmundur Hilmar/0000-0003-4236-5369; Gudmundsson, Gudmundur Hilmar/0000-0003-4236-5369</t>
  </si>
  <si>
    <t>NERC [711]; NERC [bas0100027] Funding Source: UKRI; Natural Environment Research Council [bas0100027] Funding Source: researchfish</t>
  </si>
  <si>
    <t>I thank K. Makinson and M. King for valuable discussions. I also thank M. Truffer and an anonymous reviewer for very helpful and insightful reviews. Previous version of this paper benefited significantly from a number of suggestions made by D. G. Vaughan. This work was partly supported by the NERC GEF grant 711.</t>
  </si>
  <si>
    <t>10.5194/tc-5-259-2011</t>
  </si>
  <si>
    <t>Green Accepted, gold</t>
  </si>
  <si>
    <t>WOS:000288988500020</t>
  </si>
  <si>
    <t>Kruetzmann, NC; Rack, W; McDonald, AJ; George, SE</t>
  </si>
  <si>
    <t>Kruetzmann, N. C.; Rack, W.; McDonald, A. J.; George, S. E.</t>
  </si>
  <si>
    <t>Snow accumulation and compaction derived from GPR data near Ross Island, Antarctica</t>
  </si>
  <si>
    <t>PENETRATING RADAR DATA; SEVERE WIND EVENT; ICE-SHEET; POLAR FIRN; PERCOLATION ZONE; ELEVATION CHANGE; WEST ANTARCTICA; MASS-BALANCE; 2004 MCMURDO; DENSITY</t>
  </si>
  <si>
    <t>We present an improved method for estimating accumulation and compaction rates of dry snow in Antarctica with ground penetrating radar (GPR). Using an estimate of the emitted waveform from direct measurements, we apply deterministic deconvolution via the Fourier domain to GPR data with a nominal frequency of 500 MHz. This reveals unambiguous reflection horizons which can be observed in repeat measurements made one year apart. At two measurement sites near Scott Base, Antarctica, we extrapolate point measurements of average accumulation from snow pits and firn cores to a larger area by identifying a dateable dust layer horizon in the radargrams. Over an 800 m x 800 m area on the McMurdo Ice Shelf (77 degrees 45' S, 167 degrees 17' E) the average accumulation is found to be 269 +/- 9 kg m(-2) a(-1). The accumulation over an area of 400 m x 400 m on Ross Island (77 degrees 40' S, 167 degrees 11' E, 350 ma.s.l.) is found to be higher (404 +/- 22 kg m(-2) a(-1)) and shows increased variability related to undulating terrain. Compaction of snow between 2m and 13m depth is estimated at both sites by tracking several internal reflection horizons along the radar profiles and calculating the average change in separation of horizon pairs from one year to the next. The derived compaction rates range from 7 cm m(-1) at a depth of 2 m, down to no measurable compaction at 13m depth, and are similar to published values from point measurements.</t>
  </si>
  <si>
    <t>[Kruetzmann, N. C.; McDonald, A. J.] Univ Canterbury, Dept Phys &amp; Astron, Christchurch 8140, New Zealand; [George, S. E.] Univ Tasmania, Antarctic Climate &amp; Ecosyst Cooperat Res Ctr, Hobart, Tas 7001, Australia</t>
  </si>
  <si>
    <t>University of Canterbury; Antarctic Climate &amp; Ecosystems Cooperative Research Centre (ACE CRC); University of Tasmania</t>
  </si>
  <si>
    <t>Kruetzmann, NC (corresponding author), Univ Canterbury, Dept Phys &amp; Astron, Private Bag 4800, Christchurch 8140, New Zealand.</t>
  </si>
  <si>
    <t>nikolai.kruetzmann@pg.canterbury.ac.nz</t>
  </si>
  <si>
    <t>; Rack, Wolfgang/U-8898-2017</t>
  </si>
  <si>
    <t>George, Steve/0000-0002-0396-0299; Rack, Wolfgang/0000-0003-2447-377X; McDonald, Adrian/0000-0002-1456-6254</t>
  </si>
  <si>
    <t>Antarctica New Zealand [K053]; Christchurch City Council; University of Canterbury for Nikolai Kruetzmann</t>
  </si>
  <si>
    <t>Antarctica New Zealand; Christchurch City Council; University of Canterbury for Nikolai Kruetzmann</t>
  </si>
  <si>
    <t>The authors would like to thank Steven Arcone and Olaf Eisen for their thorough reviews and suggestions for the improvement of the manuscript. This work was supported by Antarctica New Zealand under the field event K053 Cryosphere Remote Sensing and by scholarships from the Christchurch City Council and the University of Canterbury for Nikolai Kruetzmann. The participation of Mette Riger-Kusk in the field work in 2008 is greatly acknowledged. The measurements were conducted within the ESA CryoSat-2 calibration and validation activities for project AOCRY2CAL-4512.</t>
  </si>
  <si>
    <t>10.5194/tc-5-391-2011</t>
  </si>
  <si>
    <t>785QB</t>
  </si>
  <si>
    <t>Green Published, gold, Green Accepted</t>
  </si>
  <si>
    <t>WOS:000292242500007</t>
  </si>
  <si>
    <t>Roberts, JL; Warner, RC; Young, D; Wright, A; van Ommen, TD; Blankenship, DD; Siegert, M; Young, NW; Tabacco, IE; Forieri, A; Passerini, A; Zirizzotti, A; Frezzotti, M</t>
  </si>
  <si>
    <t>Roberts, J. L.; Warner, R. C.; Young, D.; Wright, A.; van Ommen, T. D.; Blankenship, D. D.; Siegert, M.; Young, N. W.; Tabacco, I. E.; Forieri, A.; Passerini, A.; Zirizzotti, A.; Frezzotti, M.</t>
  </si>
  <si>
    <t>Refined broad-scale sub-glacial morphology of Aurora Subglacial Basin, East Antarctica derived by an ice-dynamics-based interpolation scheme</t>
  </si>
  <si>
    <t>BALANCE; TOPOGRAPHY; THICKNESS; RADAR; MODEL</t>
  </si>
  <si>
    <t>Ice thickness data over much of East Antarctica are sparse and irregularly distributed. This poses difficulties for reconstructing the homogeneous coverage needed to properly assess underlying sub-glacial morphology and fundamental geometric constraints on sea level rise. Here we introduce a new physically-based ice thickness interpolation scheme and apply this to existing ice thickness data in the Aurora Subglacial Basin region. The skill and robustness of the new reconstruction is demonstrated by comparison with new data from the ICECAP project. The interpolated morphology shows an extensive marine-based ice sheet, with considerably more area below sea-level than shown by prior studies. It also shows deep features connecting the coastal grounding zone with the deepest regions in the interior. This has implications for ice sheet response to a warming ocean and underscores the importance of obtaining additional high resolution data in these marginal zones for modelling ice sheet evolution.</t>
  </si>
  <si>
    <t>[Roberts, J. L.; Warner, R. C.; van Ommen, T. D.; Young, N. W.] Australian Antarctic Div, Dept Sustainabil Environm Water Populat &amp; Communi, Hobart, Tas, Australia; [Roberts, J. L.; Warner, R. C.; van Ommen, T. D.; Young, N. W.] Antarctic Climate &amp; Ecosyst Cooperat Res Ctr, Hobart, Tas 7001, Australia; [Blankenship, D. D.] Univ Texas Austin, Inst Geophys, Jackson Sch Geosci, Austin, TX USA; [Siegert, M.] Univ Edinburgh, Sch Geosci, Edinburgh, Midlothian, Scotland; [Tabacco, I. E.; Forieri, A.] Univ Milan, Milan, Italy; [Passerini, A.; Zirizzotti, A.] Ist Nazl Geofis &amp; Vulcanol, Rome, Italy; [Frezzotti, M.] Agenzia Nazl Nuove Tecnol Energia &amp; Sviluppo Econ, Rome, Italy</t>
  </si>
  <si>
    <t>Australian Antarctic Division; Antarctic Climate &amp; Ecosystems Cooperative Research Centre (ACE CRC); University of Texas System; University of Texas Austin; University of Edinburgh; University of Milan; Istituto Nazionale Geofisica e Vulcanologia (INGV); Italian National Agency New Technical Energy &amp; Sustainable Economics Development</t>
  </si>
  <si>
    <t>Roberts, JL (corresponding author), Australian Antarctic Div, Dept Sustainabil Environm Water Populat &amp; Communi, Hobart, Tas, Australia.</t>
  </si>
  <si>
    <t>jason.roberts@aad.gov.au</t>
  </si>
  <si>
    <t>Krinner, Gerhard/A-6450-2011; FREZZOTTI, Massimo/AAK-7275-2020; Warner, Roland Charles/ISS-2485-2023; Siegert, Martin J/A-3826-2008; Siegert, Martin/M-9939-2019; Zirizzotti, Achille/HKE-0592-2023; Blankenship, Donald D./G-5935-2010; Warner, Robert R./M-5342-2013; Roberts, Jason L/B-2235-2012; Young, Duncan/G-6256-2010; van Ommen, Tas/B-5020-2012</t>
  </si>
  <si>
    <t>FREZZOTTI, Massimo/0000-0002-2461-2883; Warner, Roland Charles/0000-0002-9778-3544; Siegert, Martin J/0000-0002-0090-4806; Siegert, Martin/0000-0002-0090-4806; Roberts, Jason L/0000-0002-3477-4069; Young, Duncan/0000-0002-6866-8176; Zirizzotti, Achille/0000-0001-7586-9219; Young, Neal/0000-0001-9729-3273; van Ommen, Tas/0000-0002-2463-1718</t>
  </si>
  <si>
    <t>UK Natural Environment Research Council [NE/D003733/1]; NSF [ANT-0733025]; Jackson School of Geosciences; G. Unger Vetlesen Foundation; Australian Antarctic Division [ASAC 3103]; Australian Government's Cooperative Research Centre through the Antarctic Climate and Ecosystems Cooperative Research Centre (ACE CRC); NERC [NE/F016646/1] Funding Source: UKRI; Natural Environment Research Council [NE/F016646/1] Funding Source: researchfish; Office of Polar Programs (OPP); Directorate For Geosciences [0733025] Funding Source: National Science Foundation</t>
  </si>
  <si>
    <t>UK Natural Environment Research Council(UK Research &amp; Innovation (UKRI)Natural Environment Research Council (NERC)); NSF(National Science Foundation (NSF)); Jackson School of Geosciences; G. Unger Vetlesen Foundation; Australian Antarctic Division; Australian Government's Cooperative Research Centre through the Antarctic Climate and Ecosystems Cooperative Research Centre (ACE CRC)(Australian GovernmentDepartment of Industry, Innovation and ScienceCooperative Research Centres (CRC) Programme);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</si>
  <si>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Funding for this work was provided by the UK Natural Environment Research Council grant NE/D003733/1, NSF grant ANT-0733025, the Jackson School of Geosciences and the G. Unger Vetlesen Foundation. The Australian Antarctic Division provided funding and logistical support (ASAC 3103). This work was supported by the Australian Government's Cooperative Research Centres Programme through the Antarctic Climate and Ecosystems Cooperative Research Centre (ACE CRC). J. Bamber, E. Waddington, C. Ritz and several anonymous reviewers provided very constructive reviews of the manuscript.</t>
  </si>
  <si>
    <t>10.5194/tc-5-551-2011</t>
  </si>
  <si>
    <t>WOS:000295377900003</t>
  </si>
  <si>
    <t>Thoma, M; Grosfeld, K; Mayer, C; Smith, AM; Woodward, J; Ross, N</t>
  </si>
  <si>
    <t>Thoma, M.; Grosfeld, K.; Mayer, C.; Smith, A. M.; Woodward, J.; Ross, N.</t>
  </si>
  <si>
    <t>The tipping temperature within Subglacial Lake Ellsworth, West Antarctica and its implications for lake access</t>
  </si>
  <si>
    <t>ICE-SHEET MODEL; VOSTOK; FLOW; SENSITIVITY; INVENTORY; CONCORDIA</t>
  </si>
  <si>
    <t>We present results from new geophysical data allowing modelling of the water flow within Subglacial Lake Ellsworth (SLE), West Antarctica. Our simulations indicate that this lake has a novel temperature distribution due to significantly thinner ice than other surveyed subglacial lakes. The critical pressure boundary (tipping depth), established from the semi-empirical Equation of State, defines whether the lake's flow regime is convective or stratified. It passes through SLE and separates different temperature (and flow) regimes on either side of the lake. Our results have implications for the location of proposed access holes into SLE, the choice of which will depend on scientific or operational priorities. If an understanding of subglacial lake water properties and dynamics is the priority, holes are required in a basal freezing area at the North end of the lake. This would be the preferred priority suggested by this paper, requiring temperature and salinity profiles in the water column. A location near the Southern end, where bottom currents are lowest, is optimum for detecting the record of life in the bed sediments; to minimise operational risk and maximise the time span of a bed sediment core, a location close to the middle of the lake, where the basal interface is melting and the lake bed is at its deepest, remains the best choice. Considering potential lake-water salinity and icedensity variations, we estimate the critical tipping depth, separating different temperature regimes within subglacial lakes, to be in about 2900 to 3045m depth.</t>
  </si>
  <si>
    <t>[Thoma, M.; Mayer, C.] Bavarian Acad Sci, Commiss Glaciol, D-80539 Munich, Germany; [Thoma, M.; Grosfeld, K.] Alfred Wegener Inst Polar &amp; Marine Res, D-27570 Bremerhaven, Germany; [Smith, A. M.] British Antarctic Survey, Cambridge CB3 0ET, England; [Woodward, J.] Northumbria Univ, Newcastle Upon Tyne NE1 8ST, Tyne &amp; Wear, England; [Ross, N.] Univ Edinburgh, Sch Geosci, Edinburgh EH8 9XP, Midlothian, Scotland</t>
  </si>
  <si>
    <t>Helmholtz Association; Alfred Wegener Institute, Helmholtz Centre for Polar &amp; Marine Research; UK Research &amp; Innovation (UKRI); Natural Environment Research Council (NERC); NERC British Antarctic Survey; Northumbria University; University of Edinburgh</t>
  </si>
  <si>
    <t>Thoma, M (corresponding author), Bavarian Acad Sci, Commiss Glaciol, Alfons Goppel Str 11, D-80539 Munich, Germany.</t>
  </si>
  <si>
    <t>malte.thoma@awi.de</t>
  </si>
  <si>
    <t>Woodward, John/I-1046-2013; Facility, NERC Geophysical Equipment/G-5260-2010</t>
  </si>
  <si>
    <t>Woodward, John/0000-0002-4980-4080; Thoma, Malte/0000-0002-4033-3905; Grosfeld, Klaus/0000-0001-5936-179X</t>
  </si>
  <si>
    <t>DFG [MA3347/2-1]; NERC-AFI [NE/D008751/1, NE/D009200/1, NE/D008638/1]; NERC [bas0100027, NE/D008638/1, NE/D009200/1, NE/D008751/1] Funding Source: UKRI; Natural Environment Research Council [NE/D009200/1, NE/D008638/1, bas0100027, NE/D008751/1] Funding Source: researchfish</t>
  </si>
  <si>
    <t>DFG(German Research Foundation (DFG)); NERC-AFI(UK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</si>
  <si>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the DFG through grant MA3347/2-1. The data acquisition was funded by NERC-AFI NE/D008751/1, NE/D009200/1, NE/D008638/1. The authors wish to thank Martin Siegert for initiating the Lake Ellsworth proposal, David Vaughan, Martin Siegert, Mahlon Kennicutt II, and three anonymous reviewers for helpful comments and discussions, as well as Andrea Bleyer and Marc Taylor for proof reading.</t>
  </si>
  <si>
    <t>10.5194/tc-5-561-2011</t>
  </si>
  <si>
    <t>WOS:000295377900004</t>
  </si>
  <si>
    <t>Bindschadler, R; Choi, H; Wichlacz, A; Bingham, R; Bohlander, J; Brunt, K; Corr, H; Drews, R; Fricker, H; Hall, M; Hindmarsh, R; Kohler, J; Padman, L; Rack, W; Rotschky, G; Urbini, S; Vornberger, P; Young, N</t>
  </si>
  <si>
    <t>Bindschadler, R.; Choi, H.; Wichlacz, A.; Bingham, R.; Bohlander, J.; Brunt, K.; Corr, H.; Drews, R.; Fricker, H.; Hall, M.; Hindmarsh, R.; Kohler, J.; Padman, L.; Rack, W.; Rotschky, G.; Urbini, S.; Vornberger, P.; Young, N.</t>
  </si>
  <si>
    <t>Getting around Antarctica: new high-resolution mappings of the grounded and freely-floating boundaries of the Antarctic ice sheet created for the International Polar Year</t>
  </si>
  <si>
    <t>STICK-SLIP MOTION; RADAR INTERFEROMETRY; LASER ALTIMETRY; STREAM; SHELF; ZONE; GREENLAND; MARGINS; BENEATH; MOUTH</t>
  </si>
  <si>
    <t>Two ice-dynamic transitions of the Antarctic ice sheet - the boundary of grounded ice features and the freely-floating boundary - are mapped at 15-m resolution by participants of the International Polar Year project ASAID using customized software combining Landsat-7 imagery and ICESat/GLAS laser altimetry. The grounded ice boundary is 53 610 km long; 74% abuts to floating ice shelves or outlet glaciers, 19% is adjacent to open or sea-ice covered ocean, and 7% of the boundary ice terminates on land. The freely-floating boundary, called here the hydrostatic line, is the most landward position on ice shelves that expresses the full amplitude of oscillating ocean tides. It extends 27 521 km and is discontinuous. Positional (one-sigma) accuracies of the grounded ice boundary vary an order of magnitude ranging from +/-52 m for the land and open-ocean terminating segments to +/-502 m for the outlet glaciers. The hydrostatic line is less well positioned with errors over 2 km. Elevations along each line are selected from 6 candidate digital elevation models based on their agreement with ICESat elevation values and surface shape inferred from the Landsat imagery. Elevations along the hydrostatic line are converted to ice thicknesses by applying a firn-correction factor and a flotation criterion. BEDMAP-compiled data and other airborne data are compared to the ASAID elevations and ice thicknesses to arrive at quantitative (one-sigma) uncertainties of surface elevations of +/-3.6, +/-9.6, +/-11.4, +/-30 and +/-100 m for five ASAID-assigned confidence levels. Over one-half of the surface elevations along the grounded ice boundary and over one-third of the hydrostatic line elevations are ranked in the highest two confidence categories. A comparison between ASAID-calculated ice shelf thicknesses and BEDMAP-compiled data indicate a thin-ice bias of 41.2+/-71.3m for the ASAID ice thicknesses. The relationship between the seaward offset of the hydrostatic line from the grounded ice boundary only weakly matches a prediction based on beam theory. The mapped products along with the customized software to generate them and a variety of intermediate products are available from the National Snow and Ice Data Center.</t>
  </si>
  <si>
    <t>[Bindschadler, R.; Choi, H.; Wichlacz, A.; Vornberger, P.] NASA, Goddard Space Flight Ctr, SAIC, Greenbelt, MD 20771 USA; [Bingham, R.] Univ Aberdeen, Sch Geosci, Aberdeen AB24 3FX, Scotland; [Bohlander, J.] Univ Colorado, Natl Snow &amp; Ice Data Ctr, Boulder, CO 80309 USA; [Corr, H.; Hindmarsh, R.] British Antarctic Survey, Cambridge CB3 0ET, England; [Drews, R.] Alfred Wegener Inst Polar &amp; Marine Res, D-27515 Bremerhaven, Germany; [Fricker, H.] Univ Calif San Diego, Scripps Inst Oceanog, La Jolla, CA 92093 USA; [Hall, M.] Univ Maine, Climate Change Inst, Orono, ME 04469 USA; [Kohler, J.; Rotschky, G.] Norwegian Polar Res Inst, Polar Environm Ctr, N-9296 Tromso, Norway; [Padman, L.] Earth &amp; Space Res ESR, Corvallis, OR 97333 USA; [Rack, W.] Univ Canterbury, Christchurch 8140, New Zealand; [Urbini, S.] Ist Nazl Geofis &amp; Vulcanol, I-00143 Rome, Italy; [Young, N.] Univ Tasmania, Australian Antarctic Div, Kingston, Tas 7050, Australia</t>
  </si>
  <si>
    <t>National Aeronautics &amp; Space Administration (NASA); NASA Goddard Space Flight Center; Science Applications International Corporation (SAIC); University of Aberdeen; University of Colorado System; University of Colorado Boulder; UK Research &amp; Innovation (UKRI); Natural Environment Research Council (NERC); NERC British Antarctic Survey; Helmholtz Association; Alfred Wegener Institute, Helmholtz Centre for Polar &amp; Marine Research; University of California System; University of California San Diego; Scripps Institution of Oceanography; University of Maine System; University of Maine Orono; Norwegian Polar Institute; University of Canterbury; Istituto Nazionale Geofisica e Vulcanologia (INGV); University of Tasmania; Australian Antarctic Division</t>
  </si>
  <si>
    <t>Bindschadler, R (corresponding author), NASA, Goddard Space Flight Ctr, SAIC, Code 614-0, Greenbelt, MD 20771 USA.</t>
  </si>
  <si>
    <t>robert.a.bindschadler@nasa.gov</t>
  </si>
  <si>
    <t>Corr, Hugh/C-5398-2011; Padman, Laurence/AAH-3808-2021; Drews, reinhard/AAP-4134-2021; Hindmarsh, Richard/N-1195-2019; Rack, Wolfgang/U-8898-2017; Bingham, Robert G/G-3576-2017</t>
  </si>
  <si>
    <t>Drews, reinhard/0000-0002-2328-294X; Hindmarsh, Richard/0000-0003-1633-2416; Rack, Wolfgang/0000-0003-2447-377X; Bingham, Robert G/0000-0002-0630-2021; urbini, stefano/0000-0002-8053-4197; Kohler, Jack/0000-0003-1963-054X; Fricker, Helen Amanda/0000-0002-0921-1432; Padman, Laurence/0000-0003-2010-642X; Young, Neal/0000-0001-9729-3273</t>
  </si>
  <si>
    <t>NASA [509496.02.08.01.81]; Natural Environment Research Council [NE/F01550X/1, NE/F015526/1, bas0100027] Funding Source: researchfish; NERC [NE/F01550X/1, NE/F015526/1, bas0100027] Funding Source: UKRI</t>
  </si>
  <si>
    <t>NASA(National Aeronautics &amp; Space Administration (NASA)); Natural Environment Research Council(UK Research &amp; Innovation (UKRI)Natural Environment Research Council (NERC)); NERC(UK Research &amp; Innovation (UKRI)Natural Environment Research Council (NERC))</t>
  </si>
  <si>
    <t>A project of this magnitude and complexity could not have been accomplished without extensive contributions from many people, some of whom do not appear as authors on this paper. Funding support for the central work was provided through NASA grant 509496.02.08.01.81. Other domestic and international participants have been supported by other funding and we thank the British Antarctic Survey for adding flights specifically for ASAID to an already packed field schedule. Michiel van den Broeke was extremely gracious for providing his work on firn correction values. Two anonymous reviewers contributed persuasive criticisms of an earlier draft that led to the extensive use of BEDMAP-compiled data and greatly improved the quantitative assessment of the ASAID products' accuracies.</t>
  </si>
  <si>
    <t>10.5194/tc-5-569-2011</t>
  </si>
  <si>
    <t>WOS:000295377900005</t>
  </si>
  <si>
    <t>Massonnet, F; Fichefet, T; Goosse, H; Vancoppenolle, M; Mathiot, P; Beatty, CK</t>
  </si>
  <si>
    <t>Massonnet, F.; Fichefet, T.; Goosse, H.; Vancoppenolle, M.; Mathiot, P.; Beatty, C. Konig</t>
  </si>
  <si>
    <t>On the influence of model physics on simulations of Arctic and Antarctic sea ice</t>
  </si>
  <si>
    <t>THICKNESS DISTRIBUTION; MASS-BALANCE; CLIMATE; OCEAN; SENSITIVITY; SALINITY</t>
  </si>
  <si>
    <t>Two hindcast (1983-2007) simulations are performed with the global, ocean-sea ice models NEMO-LIM2 and NEMO-LIM3 driven by atmospheric reanalyses and climatologies. The two simulations differ only in their sea ice component, while all other elements of experimental design (resolution, initial conditions, atmospheric forcing) are kept identical. The main differences in the sea ice models lie in the formulation of the subgrid-scale ice thickness distribution, of the thermodynamic processes, of the sea ice salinity and of the sea ice rheology. To assess the differences in model skill over the period of investigation, we develop a set of metrics for both hemispheres, comparing the main sea ice variables (concentration, thickness and drift) to available observations and focusing on both mean state and seasonal to interannual variability. Based upon these metrics, we discuss the physical processes potentially responsible for the differences in model skill. In particular, we suggest that (i) a detailed representation of the ice thickness distribution increases the seasonal to interannual variability of ice extent, with spectacular improvement for the simulation of the recent observed summer Arctic sea ice retreats, (ii) the elastic-viscous-plastic rheology enhances the response of ice to wind stress, compared to the classical viscous-plastic approach, (iii) the grid formulation and the air-sea ice drag coefficient affect the simulated ice export through Fram Strait and the ice accumulation along the Canadian Archipelago, and (iv) both models show less skill in the Southern Ocean, probably due to the low quality of the reanalyses in this region and to the absence of important small-scale oceanic processes at the models' resolution (similar to 1 degrees).</t>
  </si>
  <si>
    <t>[Massonnet, F.; Fichefet, T.; Goosse, H.; Vancoppenolle, M.; Mathiot, P.; Beatty, C. Konig] Catholic Univ Louvain, Earth &amp; Life Inst, Georges Lemaitre Ctr Earth &amp; Climate Res, B-1348 Louvain, Belgium</t>
  </si>
  <si>
    <t>Universite Catholique Louvain</t>
  </si>
  <si>
    <t>Massonnet, F (corresponding author), Catholic Univ Louvain, Earth &amp; Life Inst, Georges Lemaitre Ctr Earth &amp; Climate Res, B-1348 Louvain, Belgium.</t>
  </si>
  <si>
    <t>francois.massonnet@uclouvain.be</t>
  </si>
  <si>
    <t>Vancoppenolle, Martin/AAA-7711-2022; Vancoppenolle, Martin/B-3750-2011; Massonnet, Francois/J-5315-2014</t>
  </si>
  <si>
    <t>Vancoppenolle, Martin/0000-0002-7573-8582; Vancoppenolle, Martin/0000-0002-7573-8582; Mathiot, Pierre/0000-0002-2001-0762; Massonnet, Francois/0000-0002-4697-5781</t>
  </si>
  <si>
    <t>European Commission [226520]; Belgian Science Federal Policy Office (BELSPO); Fonds Special de la Recherche of the Universite catholique de Louvain</t>
  </si>
  <si>
    <t>European Commission(European Union (EU)European Commission Joint Research Centre); Belgian Science Federal Policy Office (BELSPO)(Belgian Federal Science Policy Office); Fonds Special de la Recherche of the Universite catholique de Louvain</t>
  </si>
  <si>
    <t>Francois Massonnet is a F.R.S.-FNRS Research Fellow. Hugues Goosse is a F.R.S.-FNRS Research Associate. Martin Vancoppenolle is a F.R.S.-FNRS Postdoctoral Researcher. This work was partly funded by the European Commission's 7th Framework Programme, under Grant Agreement number 226520, COMBINE project (Comprehensive Modelling of the Earth System for Better Climate Prediction and Projection). It was also partly supported by the Belgian Science Federal Policy Office (BELSPO), and the Fonds Special de la Recherche of the Universite catholique de Louvain.</t>
  </si>
  <si>
    <t>10.5194/tc-5-687-2011</t>
  </si>
  <si>
    <t>gold, Green Published</t>
  </si>
  <si>
    <t>WOS:000295377900013</t>
  </si>
  <si>
    <t>Martin, MA; Winkelmann, R; Haseloff, M; Albrecht, T; Bueler, E; Khroulev, C; Levermann, A</t>
  </si>
  <si>
    <t>Martin, M. A.; Winkelmann, R.; Haseloff, M.; Albrecht, T.; Bueler, E.; Khroulev, C.; Levermann, A.</t>
  </si>
  <si>
    <t>The Potsdam Parallel Ice Sheet Model (PISM-PIK) - Part 2: Dynamic equilibrium simulation of the Antarctic ice sheet</t>
  </si>
  <si>
    <t>WEST ANTARCTICA; FLOW MODEL; SHELF; STREAM; PARAMETERIZATION; SATELLITE; GLACIERS</t>
  </si>
  <si>
    <t>We present a dynamic equilibrium simulation of the ice sheet-shelf system on Antarctica with the Potsdam Parallel Ice Sheet Model (PISM-PIK). The simulation is initialized with present-day conditions for bed topography and ice thickness and then run to steady state with constant present-day surface mass balance. Surface temperature and sub-shelf basal melt distribution are parameterized. Grounding lines and calving fronts are free to evolve, and their modeled equilibrium state is compared to observational data. A physically-motivated calving law based on horizontal spreading rates allows for realistic calving fronts for various types of shelves. Steady-state dynamics including surface velocity and ice flux are analyzed for whole Antarctica and the Ronne-Filchner and Ross ice shelf areas in particular. The results show that the different flow regimes in sheet and shelves, and the transition zone between them, are captured reasonably well, supporting the approach of superposition of SIA and SSA for the representation of fast motion of grounded ice. This approach also leads to a natural emergence of sliding-dominated flow in stream-like features in this new 3-D marine ice sheet model.</t>
  </si>
  <si>
    <t>[Martin, M. A.; Winkelmann, R.; Haseloff, M.; Albrecht, T.; Levermann, A.] Potsdam Inst Climate Impact Res, Potsdam, Germany; [Martin, M. A.; Winkelmann, R.; Albrecht, T.; Levermann, A.] Univ Potsdam, Inst Phys, Potsdam, Germany; [Haseloff, M.] Humboldt Univ, Dept Phys, Berlin, Germany; [Bueler, E.] Univ Alaska, Dept Math &amp; Stat, Fairbanks, AK 99701 USA; [Bueler, E.; Khroulev, C.] Univ Alaska, Inst Geophys, Fairbanks, AK USA</t>
  </si>
  <si>
    <t>Potsdam Institut fur Klimafolgenforschung; University of Potsdam; Humboldt University of Berlin; University of Alaska System; University of Alaska Fairbanks; University of Alaska System; University of Alaska Fairbanks</t>
  </si>
  <si>
    <t>Levermann, A (corresponding author), Potsdam Inst Climate Impact Res, Potsdam, Germany.</t>
  </si>
  <si>
    <t>anders.levermann@pik-potsdam.de</t>
  </si>
  <si>
    <t>Levermann, Anders/G-4666-2011; albrecht, torsten/J-8259-2019; Martin, Maria/IUN-0219-2023</t>
  </si>
  <si>
    <t>Levermann, Anders/0000-0003-4432-4704; albrecht, torsten/0000-0001-7459-2860; Khrulev, Constantine/0000-0003-2170-7454; Haseloff, Marianne/0000-0002-6576-5384</t>
  </si>
  <si>
    <t>German National Academic Foundation; IMPRS-ESM; NASA [NNX09AJ38G]; WGL; NASA [115048, NNX09AJ38G] Funding Source: Federal RePORTER</t>
  </si>
  <si>
    <t>German National Academic Foundation; IMPRS-ESM; NASA(National Aeronautics &amp; Space Administration (NASA)); WGL; NASA(National Aeronautics &amp; Space Administration (NASA))</t>
  </si>
  <si>
    <t>M. Haseloff and T. Albrecht were funded by the German National Academic Foundation; M. A. Martin and R. Winkelmann by the TIPI project of the WGL. R. Winkelmann acknowledges support by the IMPRS-ESM. E. Bueler and C. Khroulev are supported by NASA grant NNX09AJ38G. We thank Jed Brown (ETH Zurich, Switzerland) for advice on PISM, and the anonymous referees and editor Hilmar Gudmundsson for their helpful comments on the original manuscript.</t>
  </si>
  <si>
    <t>10.5194/tc-5-727-2011</t>
  </si>
  <si>
    <t>WOS:000295377900016</t>
  </si>
  <si>
    <t>Ligtenberg, SRM; Helsen, MM; van den Broeke, MR</t>
  </si>
  <si>
    <t>Ligtenberg, S. R. M.; Helsen, M. M.; van den Broeke, M. R.</t>
  </si>
  <si>
    <t>An improved semi-empirical model for the densification of Antarctic firn</t>
  </si>
  <si>
    <t>ICE; ELEVATION; DEPTH</t>
  </si>
  <si>
    <t>A firn densification model is presented that simulates steady-state Antarctic firn density profiles, as well as the temporal evolution of firn density and surface height. The model uses an improved firn densification expression that is tuned to fit depth-density observations. Liquid water processes (meltwater percolation, retention and refreezing) are also included. Two applications are presented. First, the steady-state model version is used to simulate the strong spatial variability in firn layer thickness across the Antarctic ice sheet. Second, the time-dependent model is run for 3 Antarctic locations with different climate conditions. Surface height changes are caused by a combination of accumulation, melting and firn densification processes. On all 3 locations, an upward trend of the surface during autumn, winter and spring is present, while during summer there is a more rapid lowering of the surface. Accumulation and (if present) melt introduce large inter-annual variability in surface height trends, possibly hiding ice dynamical thickening and thinning.</t>
  </si>
  <si>
    <t>[Ligtenberg, S. R. M.; Helsen, M. M.; van den Broeke, M. R.] Inst Marine &amp; Atmospher Res Utrecht IMAU, NL-3508 TA Utrecht, Netherlands</t>
  </si>
  <si>
    <t>Ligtenberg, SRM (corresponding author), Inst Marine &amp; Atmospher Res Utrecht IMAU, POB 80000, NL-3508 TA Utrecht, Netherlands.</t>
  </si>
  <si>
    <t>s.r.m.ligtenberg@uu.nl</t>
  </si>
  <si>
    <t>Ligtenberg, Stefan/AAF-8290-2020; Van den Broeke, Michiel R./F-7867-2011</t>
  </si>
  <si>
    <t>Van den Broeke, Michiel R./0000-0003-4662-7565</t>
  </si>
  <si>
    <t>European Union [226375]</t>
  </si>
  <si>
    <t>European Union(European Union (EU))</t>
  </si>
  <si>
    <t>This work was supported by funding from the ice2sea programme from the European Union 7th Framework Programme, grant number 226375. Ice2sea contribution number 055.</t>
  </si>
  <si>
    <t>10.5194/tc-5-809-2011</t>
  </si>
  <si>
    <t>867ZV</t>
  </si>
  <si>
    <t>WOS:000298494200001</t>
  </si>
  <si>
    <t>Morgenstern, A; Grosse, G; Günther, F; Fedorova, I; Schirrmeister, L</t>
  </si>
  <si>
    <t>Morgenstern, A.; Grosse, G.; Guenther, F.; Fedorova, I.; Schirrmeister, L.</t>
  </si>
  <si>
    <t>Spatial analyses of thermokarst lakes and basins in Yedoma landscapes of the Lena Delta</t>
  </si>
  <si>
    <t>THAW LAKES; ORIENTED LAKES; PERMAFROST; ALASKA; CARBON; CLIMATE; PENINSULA; HOLOCENE; LOWLAND; RUSSIA</t>
  </si>
  <si>
    <t>Distinctive periglacial landscapes have formed in late-Pleistocene ice-rich permafrost deposits (Ice Complex) of northern Yakutia, Siberia. Thermokarst lakes and thermokarst basins alternate with ice-rich Yedoma uplands. We investigate different thermokarst stages in Ice Complex deposits of the Lena River Delta using remote sensing and geoinformation techniques. The morphometry and spatial distribution of thermokarst lakes on Yedoma uplands, thermokarst lakes in basins, and thermokarst basins are analyzed, and possible dependence upon relief position and cryolithological context is considered. Of these thermokarst stages, developing thermokarst lakes on Yedoma uplands alter ice-rich permafrost the most, but occupy only 2.2% of the study area compared to 20.0% occupied by thermokarst basins. The future potential for developing large areas of thermokarst on Yedoma uplands is limited due to shrinking distances to degradational features and delta channels that foster lake drainage. Further thermokarst development in existing basins is restricted to underlying deposits that have already undergone thaw, compaction, and old carbon mobilization, and to deposits formed after initial lake drainage. Future thermokarst lake expansion is similarly limited in most of Siberia's Yedoma regions covering about 10(6) km(2), which has to be considered for water, energy, and carbon balances under warming climate scenarios.</t>
  </si>
  <si>
    <t>[Morgenstern, A.; Guenther, F.; Schirrmeister, L.] Alfred Wegener Inst Polar &amp; Marine Res, D-14473 Potsdam, Germany; [Grosse, G.] Univ Alaska Fairbanks, Inst Geophys, Fairbanks, AK 99775 USA; [Fedorova, I.] Arctic &amp; Antarctic Res Inst, Otto Schmidt Lab Polar &amp; Marine Res, St Petersburg 199397, Russia</t>
  </si>
  <si>
    <t>Helmholtz Association; Alfred Wegener Institute, Helmholtz Centre for Polar &amp; Marine Research; University of Alaska System; University of Alaska Fairbanks; Arctic &amp; Antarctic Research Institute</t>
  </si>
  <si>
    <t>Morgenstern, A (corresponding author), Alfred Wegener Inst Polar &amp; Marine Res, Telegrafenberg A43, D-14473 Potsdam, Germany.</t>
  </si>
  <si>
    <t>anne.morgenstern@awi.de</t>
  </si>
  <si>
    <t>Grosse, Guido/F-5018-2011; ANIKUZHIYIL, ANISH/Y-8609-2018; Fedorova, Irina V./N-3436-2013; Günther, Frank/O-5226-2015; Morgenstern, Anne/N-3648-2015; Schirrmeister, Lutz/AGW-0545-2022; Schirrmeister, Lutz/O-5584-2015</t>
  </si>
  <si>
    <t>Grosse, Guido/0000-0001-5895-2141; Günther, Frank/0000-0001-8298-8937; Morgenstern, Anne/0000-0002-6466-7571; Schirrmeister, Lutz/0000-0001-9455-0596; Schirrmeister, Lutz/0000-0001-9455-0596</t>
  </si>
  <si>
    <t>ESA ADEN [ID 3616]; German National Academic Foundation; Christiane Nusslein-Volhard Foundation; NASA [NNX08AJ37G]; NSF OPP [0732735]; Directorate For Geosciences; Office of Polar Programs (OPP) [0732735] Funding Source: National Science Foundation; NASA [100619, NNX08AJ37G] Funding Source: Federal RePORTER</t>
  </si>
  <si>
    <t>ESA ADEN; German National Academic Foundation; Christiane Nusslein-Volhard Foundation; NASA(National Aeronautics &amp; Space Administration (NASA)); NSF OPP(National Science Foundation (NSF)NSF - Directorate for Geosciences (GEO)); Directorate For Geosciences; Office of Polar Programs (OPP)(National Science Foundation (NSF)NSF - Directorate for Geosciences (GEO)); NASA(National Aeronautics &amp; Space Administration (NASA))</t>
  </si>
  <si>
    <t>We thank M. N. Grigoriev for his advice on enhancing the map of the Ice Complex in the Lena Delta, as well as for discussions of the broader context of the study. We also thank U. Herzschuh for discussions of statistical methods used to assess lake and basin morphologies and J. Strauss for calculating the total organic carbon inventory of the Kurungnakh Island Ice Complex. We greatly appreciate the efforts of all German and Russian colleagues in organizing and supporting the expeditions to the Lena Delta, and especially the field assistance of M. Ulrich, S. Ro beta ler, and P. Ivlev. ALOS PRISM data used for DEM compilation were kindly provided by JAXA and ESA through the LEDAM project (awarded by ESA ADEN, PI H. Lantuit, ID 3616). A. Morgenstern was supported by the German National Academic Foundation and the Christiane Nusslein-Volhard Foundation. G. Grosse was supported by NASA grant NNX08AJ37G and NSF OPP grant #0732735. C. O'Connor (University of Alaska, Fairbanks) provided careful language revision and constructive comments. The constructive reviews of L. Smith and one anonymous reviewer as well as the personal discussion with T. N. Kaplina helped to enhance the manuscript.</t>
  </si>
  <si>
    <t>10.5194/tc-5-849-2011</t>
  </si>
  <si>
    <t>WOS:000298494200004</t>
  </si>
  <si>
    <t>King, EC</t>
  </si>
  <si>
    <t>King, E. C.</t>
  </si>
  <si>
    <t>Ice stream or not? Radio-echo sounding of Carlson Inlet, West Antarctica</t>
  </si>
  <si>
    <t>BASAL MECHANICS; RADAR; STRATIGRAPHY; STAGNATION; MODEL</t>
  </si>
  <si>
    <t>The Antarctic Ice Sheet loses mass to the surrounding ocean mainly by drainage through a network of ice streams: fast-flowing glaciers bounded on either side by ice flowing one or two orders of magnitude more slowly. Ice streams flow despite low driving stress because of low basal resistance but are known to cease flowing if the basal conditions change, which can take place when subglacial sediment becomes dewatered by freezing or by a change in hydraulic pathways. Carlson Inlet, Antarctica has been interpreted as a stagnated ice stream, based on surface and basal morphology and shallow radar reflection profiling. To resolve the question of whether the flow history of Carlson Inlet has changed in the past, I conducted a ground-based radar survey of Carlson Inlet, the adjacent part of Rutford Ice Stream, and Talutis Inlet, West Antarctica. This survey provides details of the internal ice stratigraphy and allows the flow history to be interpreted. Tight folding of isochrones in Rutford Ice Stream and Talutis Inlet is interpreted to be the result of lateral compression during convergent flow from a wide catchment into a narrow, fast-flowing trunk. In contrast, the central part of Carlson Inlet has gently-folded isochrones that drape over the bed topography, suggestive of local accumulation and slow flow. A 1-D thermo-mechanical model was used to estimate the age of the ice. I conclude that the ice in the centre of Carlson Inlet has been near-stagnant for between 3500 and 6800 yr and that fast flow has not occurred there during that time period.</t>
  </si>
  <si>
    <t>King, EC (corresponding author), British Antarctic Survey, Madingley Rd, Cambridge CB3 0ET, England.</t>
  </si>
  <si>
    <t>ecki@bas.ac.uk</t>
  </si>
  <si>
    <t>Natural Environment Research Council [bas0100027] Funding Source: researchfish; NERC [bas0100027] Funding Source: UKRI</t>
  </si>
  <si>
    <t>10.5194/tc-5-907-2011</t>
  </si>
  <si>
    <t>WOS:000298494200007</t>
  </si>
  <si>
    <t>Fujita, S; Holmlund, P; Andersson, I; Brown, I; Enomoto, H; Fujii, Y; Fujita, K; Fukui, K; Furukawa, T; Hansson, M; Hara, K; Hoshina, Y; Igarashi, M; Iizuka, Y; Imura, S; Ingvander, S; Karlin, T; Motoyama, H; Nakazawa, F; Oerter, H; Sjöberg, LE; Sugiyama, S; Surdyk, S; Ström, J; Uemura, R; Wilhelms, F</t>
  </si>
  <si>
    <t>Fujita, S.; Holmlund, P.; Andersson, I.; Brown, I.; Enomoto, H.; Fujii, Y.; Fujita, K.; Fukui, K.; Furukawa, T.; Hansson, M.; Hara, K.; Hoshina, Y.; Igarashi, M.; Iizuka, Y.; Imura, S.; Ingvander, S.; Karlin, T.; Motoyama, H.; Nakazawa, F.; Oerter, H.; Sjoberg, L. E.; Sugiyama, S.; Surdyk, S.; Strom, J.; Uemura, R.; Wilhelms, F.</t>
  </si>
  <si>
    <t>Spatial and temporal variability of snow accumulation rate on the East Antarctic ice divide between Dome Fuji and EPICA DML</t>
  </si>
  <si>
    <t>DRONNING MAUD-LAND; SURFACE MASS-BALANCE; TEMPERATURE-CHANGES; VOLCANIC-ERUPTIONS; WIND-FIELD; FIRN CORES; PRECIPITATION; SHEET; AMUNDSENISEN; 20TH-CENTURY</t>
  </si>
  <si>
    <t>To better understand the spatio-temporal variability of the glaciological environment in Dronning Maud Land (DML), East Antarctica, a 2800-km-long Japanese-Swedish traverse was carried out. The route includes ice divides between two ice-coring sites at Dome Fuji and EPICA DML. We determined the surface mass balance (SMB) averaged over various time scales in the late Holocene based on studies of snow pits and firn cores, in addition to radar data. We find that the large-scale distribution of the SMB depends on the surface elevation and continentality, and that the SMB differs between the windward and leeward sides of ice divides for strong-wind events. We suggest that the SMB is highly influenced by interactions between the large-scale surface topography of ice divides and the wind field of strong-wind events that are often associated with high-precipitation events. Local variations in the SMB are governed by the local surface topography, which is influenced by the bedrock topography. In the eastern part of DML, the accumulation rate in the second half of the 20th century is found to be higher by similar to 15% than averages over longer periods of 722 a or 7.9 ka before AD 2008. A similar increasing trend has been reported for many inland plateau sites in Antarctica with the exception of several sites on the leeward side of the ice divides.</t>
  </si>
  <si>
    <t>[Fujita, S.; Enomoto, H.; Fujii, Y.; Fukui, K.; Furukawa, T.; Igarashi, M.; Imura, S.; Motoyama, H.; Nakazawa, F.; Surdyk, S.] Res Org Informat &amp; Syst, Natl Inst Polar Res, Tokyo, Japan; [Holmlund, P.; Brown, I.; Hansson, M.; Ingvander, S.; Karlin, T.] Stockholm Univ, Dept Phys Geog &amp; Quaternary Geol, S-10691 Stockholm, Sweden; [Andersson, I.; Sjoberg, L. E.] Royal Inst Technol, Div Geodesy &amp; Geoinformat, Stockholm, Sweden; [Enomoto, H.] Kitami Inst Technol, Kitami, Hokkaido 090, Japan; [Fujita, K.; Hoshina, Y.] Nagoya Univ, Grad Sch Environm Studies, Nagoya, Aichi 4648601, Japan; [Hara, K.] Fukuoka Univ, Fac Sci, Dept Earth Syst Sci, Fukuoka 81401, Japan; [Iizuka, Y.; Sugiyama, S.] Hokkaido Univ, Inst Low Temp Sci, Sapporo, Hokkaido 060, Japan; [Oerter, H.; Wilhelms, F.] Alfred Wegener Inst Polar &amp; Marine Res, D-27515 Bremerhaven, Germany; [Strom, J.] Stockholm Univ, Dept Appl Environm Sci, S-10691 Stockholm, Sweden; [Uemura, R.] Univ Ryukyus, Fac Sci, Dept Chem Biol &amp; Marine Sci, Okinawa, Japan</t>
  </si>
  <si>
    <t>Research Organization of Information &amp; Systems (ROIS); National Institute of Polar Research (NIPR) - Japan; Stockholm University; Royal Institute of Technology; Kitami Institute of Technology; Nagoya University; Fukuoka University; Hokkaido University; Helmholtz Association; Alfred Wegener Institute, Helmholtz Centre for Polar &amp; Marine Research; Stockholm University; University of the Ryukyus</t>
  </si>
  <si>
    <t>Fujita, S (corresponding author), Res Org Informat &amp; Syst, Natl Inst Polar Res, Tokyo, Japan.</t>
  </si>
  <si>
    <t>sfujita@nipr.ac.jp</t>
  </si>
  <si>
    <t>Wilhelms, Frank/KEI-8426-2024; Nakazawa, Fumio/R-4031-2018; Uemura, Ryu/C-9793-2012; Sugiyama, Shin/C-2511-2012; Uemura, Ryu/AGR-0677-2022; Karlin, Torbjörn A/H-7839-2012; Fujita, Koji/E-6104-2010; Hara, Keiichiro/N-8264-2018; Iizuka, Yoshinori/D-9112-2012; FUKUI, Kotaro/H-5600-2018; Fujita, Shuji/A-7884-2016</t>
  </si>
  <si>
    <t>Wilhelms, Frank/0000-0001-7688-3135; Uemura, Ryu/0000-0002-4236-0085; Uemura, Ryu/0000-0002-4236-0085; Fujita, Koji/0000-0003-3753-4981; Hara, Keiichiro/0000-0001-7440-7776; Iizuka, Yoshinori/0000-0001-7241-6062; FUKUI, Kotaro/0000-0003-2106-0232; Fujita, Shuji/0000-0003-0127-0777</t>
  </si>
  <si>
    <t>Automatic Weather Station [JASE2007 AWS]; NSF [ANT-0944018]; Swedish Research Council (VR); Japan Society for the Promotion of Science (JSPS) [20241007]; TASTE-IDEA within IPY [152]; Grants-in-Aid for Scientific Research [23681001, 22710023] Funding Source: KAKEN</t>
  </si>
  <si>
    <t>Automatic Weather Station; NSF(National Science Foundation (NSF)); Swedish Research Council (VR)(Swedish Research Council); Japan Society for the Promotion of Science (JSPS)(Ministry of Education, Culture, Sports, Science and Technology, Japan (MEXT)Japan Society for the Promotion of Science); TASTE-IDEA within IPY; Grants-in-Aid for Scientific Research(Ministry of Education, Culture, Sports, Science and Technology, Japan (MEXT)Japan Society for the Promotion of ScienceGrants-in-Aid for Scientific Research (KAKENHI))</t>
  </si>
  <si>
    <t>The JASE traverse was organized by several organizations both in Sweden and Japan. The National Institute of Polar Research (NIPR), Tokyo and the Swedish Polar Research Secretariat (SPRS) managed the logistics in Antarctica. Science management was a collaborative effort of NIPR, Stockholm University, the Royal Institute of Technology in Stockholm and individuals from several universities and institutes in Japan. The JASE traverse is one of the research projects being undertaken by the Japanese Antarctic Research Expedition Studies on systems for climate change and ice sheet change, by introducing new observational methods and technologies. This work was carried out under the umbrella of TASTE-IDEA within the framework of IPY project 152. This work is also a contribution to ITASE. The authors appreciate the support of the Automatic Weather Station Program for the JASE2007 AWS and associated data, NSF grant number ANT-0944018. Thanks are extended to T. Kameda for arrangement of the AWS for the JASE team. AMSR-E data was provided by JAXA/EORC as a part of the GCOM-W project. The traverse was fully supported by the teams of the 48th and 49th Japanese Antarctic Research Expeditions led by H. Miyaoka and S. Imura, respectively. Special thanks go to the logistics members, S. Gunnarsson, H. Kaneko, T. Karlberg, P. Ljusberg and K. Taniguchi and the medical doctors, S. Eriksson and N. Shiga, for their very generous support during the traverse. We greatly appreciate constructive reviews from two anonymous reviewers. This research was supported by the Swedish Research Council (VR) and by a Grant-in-Aid for Scientific Research (A) 20241007 from the Japan Society for the Promotion of Science (JSPS).</t>
  </si>
  <si>
    <t>10.5194/tc-5-1057-2011</t>
  </si>
  <si>
    <t>WOS:000298494200017</t>
  </si>
  <si>
    <t>Oliva, M</t>
  </si>
  <si>
    <t>Oliva, M.</t>
  </si>
  <si>
    <t>Quaternary landscape evolution of Sierra Nevada (Southern Spain): state of the art</t>
  </si>
  <si>
    <t>CUATERNARIO Y GEOMORFOLOGIA</t>
  </si>
  <si>
    <t>Spanish</t>
  </si>
  <si>
    <t>ALBORAN SEA; MULTI-PROXY; LAST; RECORD; CIRCULATION; PLEISTOCENE; GLACIATION; ORIGIN; YR</t>
  </si>
  <si>
    <t>[Oliva, M.] Univ Lisbon, Ctr Estudos Geog, IGOT, Res Grp Antarctic Environm &amp; Climate Change, Edificio FLUL,Alameda Univ, P-1600214 Lisbon, Portugal; [Oliva, M.] Univ Barcelona, Fac Geog &amp; Hist, Res Grp Landscape Res &amp; Mediterranean Mt Palaeoen, Barcelona 08001, Spain</t>
  </si>
  <si>
    <t>Universidade de Lisboa; University of Barcelona</t>
  </si>
  <si>
    <t>Oliva, M (corresponding author), Univ Lisbon, Ctr Estudos Geog, IGOT, Res Grp Antarctic Environm &amp; Climate Change, Edificio FLUL,Alameda Univ, P-1600214 Lisbon, Portugal.</t>
  </si>
  <si>
    <t>oliva_marc@yahoo.com</t>
  </si>
  <si>
    <t>Oliva, Marc/K-5423-2014</t>
  </si>
  <si>
    <t>SPANISH QUATERNARY RESEARCH ASSOC</t>
  </si>
  <si>
    <t>MADRID</t>
  </si>
  <si>
    <t>FAC CIENCIAS, UNED-UNIV NACL EDUACION DISTANCIA, MADRID, 28040, SPAIN</t>
  </si>
  <si>
    <t>0214-1744</t>
  </si>
  <si>
    <t>CUATERN GEOMORFOL</t>
  </si>
  <si>
    <t>Cuatern. Geomorfol.</t>
  </si>
  <si>
    <t>V22JG</t>
  </si>
  <si>
    <t>WOS:000215017500003</t>
  </si>
  <si>
    <t>Schiaparelli, S; Hopcroft, RR</t>
  </si>
  <si>
    <t>Schiaparelli, Stefano; Hopcroft, Russell R.</t>
  </si>
  <si>
    <t>The Census of Antarctic Marine Life: Diversity and change in Southern Ocean Ecosystems</t>
  </si>
  <si>
    <t>BIODIVERSITY; INSIGHTS</t>
  </si>
  <si>
    <t>[Schiaparelli, Stefano] Univ Genoa, Dipartimento Terr Risorse, I-16132 Genoa, Italy; [Schiaparelli, Stefano] Museo Nazl Antartide Sede Genova, I-16132 Genoa, Italy; [Hopcroft, Russell R.] Univ Alaska, Inst Marine Sci, Fairbanks, AK 99775 USA</t>
  </si>
  <si>
    <t>University of Genoa; University of Alaska System; University of Alaska Fairbanks</t>
  </si>
  <si>
    <t>Schiaparelli, S (corresponding author), Univ Genoa, Dipartimento Terr Risorse, Corso Europa 26, I-16132 Genoa, Italy.</t>
  </si>
  <si>
    <t>stefano.schiaparelli@unige.it</t>
  </si>
  <si>
    <t>Schiaparelli, Stefano/AAI-4024-2020; Hopcroft, Russell R/I-6286-2012</t>
  </si>
  <si>
    <t>Schiaparelli, Stefano/0000-0002-0137-3605;</t>
  </si>
  <si>
    <t>10.1016/j.dsr2.2010.11.002</t>
  </si>
  <si>
    <t>WOS:000288470800001</t>
  </si>
  <si>
    <t>De Broyer, C; Danis, B; Allcock, L; Angel, M; Arango, C; Artois, T; Barnes, D; Bartsch, I; Bester, M; Blachowiak-Samolyk, K; Blazewicz, M; Bohn, J; Brandt, A; Brandao, SN; David, B; de Salas, M; Eléaume, M; Emig, C; Fautin, D; George, KH; Gillan, D; Gooday, A; Hopcroft, R; Jangoux, M; Janussen, D; Koubbi, P; Kouwenberg, J; Kuklinski, P; Ligowski, R; Lindsay, D; Linse, K; Longshaw, M; López-González, P; Martin, P; Munilla, T; Mühlenhardt-Siegel, U; Neuhaus, B; Norenburg, J; Ozouf-Costaz, C; Pakhomov, E; Perrin, W; Petryashov, V; Pena-Cantero, AL; Piatkowski, U; Pierrot-Bults, A; Rocka, A; Saiz-Salinas, J; Salvini-Plawen, L; Scarabino, V; Schiaparelli, S; Schrödl, M; Schwabe, E; Scott, F; Sicinski, J; Siegel, V; Smirnov, I; Thatje, S; Utevsky, A; Vanreusel, A; Wiencke, C; Woehler, E; Zdzitowiecki, K; Zeidler, W</t>
  </si>
  <si>
    <t>De Broyer, Claude; Danis, Bruno; Allcock, Louise; Angel, Martin; Arango, Claudia; Artois, Tom; Barnes, David; Bartsch, Ilse; Bester, Marthan; Blachowiak-Samolyk, Kasia; Blazewicz, Magda; Bohn, Jens; Brandt, Angelika; Brandao, Simone Nunes; David, Bruno; de Salas, Miguel; Eleaume, Marc; Emig, Christian; Fautin, Daphne; George, Kai-Horst; Gillan, David; Gooday, Andrew; Hopcroft, Russ; Jangoux, Michel; Janussen, Dorte; Koubbi, Philippe; Kouwenberg, Juliana; Kuklinski, Piotr; Ligowski, Ryszard; Lindsay, Dhugal; Linse, Katrin; Longshaw, Matt; Lopez-Gonzalez, Pablo; Martin, Patrick; Munilla, Tomas; Muehlenhardt-Siegel, Ute; Neuhaus, Birger; Norenburg, Jon; Ozouf-Costaz, Catherine; Pakhomov, Evgeny; Perrin, William; Petryashov, Victor; Pena-Cantero, Alvaro L.; Piatkowski, Uwe; Pierrot-Bults, Annelies; Rocka, Anna; Saiz-Salinas, Jose; Salvini-Plawen, Luitfried; Scarabino, Victor; Schiaparelli, Stefano; Schroedl, Michael; Schwabe, Enrico; Scott, Fiona; Sicinski, Jacek; Siegel, Volker; Smirnov, Igor; Thatje, Sven; Utevsky, Andrei; Vanreusel, Ann; Wiencke, Christian; Woehler, Eric; Zdzitowiecki, Krzysztof; Zeidler, Wolfgang</t>
  </si>
  <si>
    <t>64 SCAR-MarBIN Taxonomic Editors</t>
  </si>
  <si>
    <t>How many species in the Southern Ocean? Towards a dynamic inventory of the Antarctic marine species</t>
  </si>
  <si>
    <t>Biodiversity; Information system; Species inventory; Taxonomy; Cybertaxonomy; Barcoding; Southern Ocean; Antarctic</t>
  </si>
  <si>
    <t>BIODIVERSITY; BIOGEOGRAPHY; LILJEBORGIA; AMPHIPODA; CRUSTACEA; PATTERNS; ANDEEP</t>
  </si>
  <si>
    <t>The IPY sister-projects CAML and SCAR-MarBIN provided a timely opportunity, a strong collaborative framework and an appropriate momentum to attempt assessing the Known, Unknown and Unknowable of Antarctic marine biodiversity. To allow assessing the known biodiversity, SCAR-MarBIN Register of Antarctic Marine Species (RAMS) was compiled and published by a panel of 64 taxonomic experts. Thanks to this outstanding expertise mobilized for the first time, an accurate list of more than 8100 valid species was compiled and an up-to-date systematic classification comprising more than 16,800 taxon names was established. This taxonomic information is progressively and systematically completed by species occurrence data, provided by literature, taxonomic and biogeographic databases, new data from CAML and other cruises, and museum collections. RAMS primary role was to establish a benchmark of the present taxonomic knowledge of the Southern Ocean biodiversity, particularly important in the context of the growing realization of potential impacts of the global change on Antarctic ecosystems. This, in turn, allowed detecting gaps in knowledge, taxonomic treatment and coverage, and estimating the importance of the taxonomic impediment, as well as the needs for more complete and efficient taxonomic tools. A second, but not less important, role of RAMS was to contribute to the taxonomic backbone of the SCAR-MarBIN, OBIS and GBIF networks, to establish a dynamic information system on Antarctic marine biodiversity for the future. The unknown part of the Southern Ocean biodiversity was approached by pointing out what remains to be explored and described in terms of geographical locations and bathymetric zones, habitats, or size classes of organisms. The growing importance of cryptic species is stressed, as they are more and more often detected by molecular studies in several taxa. Relying on RAMS results and on some case studies of particular model groups, the question of the potential number of species that remains to be discovered in the Southern Ocean is discussed. In terms of taxonomic inputs to the census of Southern Ocean biodiversity, the current rate of progress in inventorying the Antarctic marine species as well as the state of taxonomic resources and capacity were assessed. Different ways of improving the taxonomic inputs are suggested. (C) 2010 Elsevier Ltd. All rights reserved.</t>
  </si>
  <si>
    <t>[De Broyer, Claude; Danis, Bruno; Martin, Patrick; 64 SCAR-MarBIN Taxonomic Editors] Royal Belgian Inst Nat Sci, B-1000 Brussels, Belgium; [Allcock, Louise] Natl Univ Ireland, Martin Ryan Marine Sci Inst, Dept Zool, Galway, Ireland; [Thatje, Sven] Univ Southampton, Natl Oceanog Ctr, Sch Ocean &amp; Earth Sci, Southampton SO9 5NH, Hants, England; [Arango, Claudia] Queensland Museum, Brisbane, Qld 4101, Australia; [Artois, Tom] Hasselt Univ, Dept Chem Biol &amp; Geol, Res Grp Biodivers Phylogeny &amp; Populat Study, Diepenbeek, Belgium; [Barnes, David; Linse, Katrin] British Antarctic Survey, Nat Environm Res Council, Cambridge CB3 0ET, England; [Bartsch, Ilse] Senckenberg Nat Res Soc, Res Inst &amp; Nat Hist Museum, Frankfurt, Germany; [Bester, Marthan] Univ Pretoria, Mammal Res Inst, ZA-0002 Pretoria, South Africa; [Blachowiak-Samolyk, Kasia; Kuklinski, Piotr] Polish Acad Sci, Inst Oceanol, PL-00901 Warsaw, Poland; [Blazewicz, Magda; Ligowski, Ryszard; Sicinski, Jacek] Univ Lodz, Dept Invertebrate Zool &amp; Hydrobiol, Lab Polar Biol &amp; Oceanobiol, PL-90131 Lodz, Poland; [Bohn, Jens; Schwabe, Enrico] Bavarian State Collect Zool, D-81247 Munich, Germany; [Brandt, Angelika; Brandao, Simone Nunes; Muehlenhardt-Siegel, Ute] Univ Hamburg, Zool Inst &amp; Zool Museum, Zool Museum Hamburg, Hamburg, Germany; [Danis, Bruno; Gillan, David; Jangoux, Michel] Free Univ Brussels, Interuniv Ctr Marine Biol ULB UMH, B-1050 Brussels, Belgium; [David, Bruno] Univ Bourgogne, F-21004 Dijon, France; [de Salas, Miguel; Scott, Fiona] Australian Antarctic Div, Kingston, Tas 7050, Australia; [Eleaume, Marc] Natl Nat Hist Museum Paris, Paris, France; [Emig, Christian] BrachNet, F-13007 Marseille, France; [Fautin, Daphne] Univ Kansas, Div Invertebrate Zool, Dept Ecol &amp; Evolutionary Biol, KU Nat Hist Museum, Lawrence, KS 66045 USA; [George, Kai-Horst] Senckenberg Nat Forschende Gesell, Nat Museum &amp; Forschungsinst Senckenberg, Deutsches Zentrum Marine Biodivers Forsch, Frankfurt, Germany; [Hopcroft, Russ] Univ Alaska Fairbanks, Sch Fisheries &amp; Ocean Sci, Fairbanks, AK 99775 USA; [Janussen, Dorte] Senckenberg Nat Res Soc, Sect Marine Invertebrates, Frankfurt, Germany; [Koubbi, Philippe] CNRS, Observ Oceanol Villefranche sur Mer, F-75700 Paris, France; [Kouwenberg, Juliana] Univ Amsterdam, Fac Nat Wetenschappen Wiskunde &amp; Informat, Zool Museum Amsterdam, NL-1012 WX Amsterdam, Netherlands; [Lindsay, Dhugal] Japan Agcy Marine Earth Sci &amp; Technol, Yokosuka, Kanagawa, Japan; [Longshaw, Matt] Ctr Environm Fisheries &amp; Aquaculture Sci, Weymouth Lab, Weymouth DT4 8UB, Dorset, England; [Lopez-Gonzalez, Pablo] Univ Seville, Dept Phys &amp; Zool, Sect Biodivers &amp; Marine Invertebrates, Seville, Spain; [Munilla, Tomas] Univ Autonoma Barcelona, Dept Anim Biol Biol Vegetal &amp; Ecol, Unitat Zool, Barcelona, Spain; [Neuhaus, Birger] Museum Nat Kunde, Berlin, Germany; [Norenburg, Jon] Smithsonian Inst, Natl Museum Nat Hist, Dept Invertebrate Zool, Washington, DC USA; [Ozouf-Costaz, Catherine; Scarabino, Victor] Museum Natl Hist Nat, Dept Systemat &amp; Evolut, F-75005 Paris, France; [Pakhomov, Evgeny] Univ British Columbia, Vancouver, BC V5Z 1M9, Canada; [Perrin, William] Natl Ocean &amp; Atmospher Adm, Fisheries Serv, SW Fisheries Sci Ctr, Protected Resource Div, La Jolla, CA 92037 USA; [Petryashov, Victor; Smirnov, Igor] Russian Acad Sci, Inst Zool, Moscow 117901, Russia; [Pena-Cantero, Alvaro L.] Univ Valencia, Unit Biodivers &amp; Evolut Cnidaria, E-46003 Valencia, Spain; [Piatkowski, Uwe] Helmholtz Ctr Ocean Res Kiel, Marine Ecol Div, Fishery Biol Sect, Kiel, Germany; [Pierrot-Bults, Annelies] Nat Biodivers Ctr, Dept Marine Zool, NL-2300 RA Leiden, Netherlands; [Rocka, Anna] Polish Acad Sci, Witold Stefanski Inst Parasitol, PL-00901 Warsaw, Poland; [Saiz-Salinas, Jose] Univ Basque Country, Dept Zool &amp; Animal Cell Dynam, Bilbao, Spain; [Salvini-Plawen, Luitfried] Univ Vienna, A-1010 Vienna, Austria; [Schiaparelli, Stefano] Univ Genoa, Fac Sci Matemat Fis &amp; Nat, Dipartimento Studio Terr &amp; Risorse, I-16126 Genoa, Italy; [Schroedl, Michael] Univ Munich, Fac Biol, Biozentrum Martinsried, D-80539 Munich, Germany; [Siegel, Volker] Johann Heinrich von Thunen Inst, Inst Sea Fisheries, Hamburg, Germany; [Utevsky, Andrei] Kharkov Natl Univ, Dept Zool &amp; Animal Ecol, Kharkov, Ukraine; [Vanreusel, Ann] Univ Ghent, Fac Sci, Dept Biol, Marine Biol Sect, Ghent, Belgium; [Wiencke, Christian] Alfred Wegener Inst Polar &amp; Marine Res, Bremerhaven, Germany; [Woehler, Eric] Univ Tasmania, Hobart, Tas 7001, Australia; [Zdzitowiecki, Krzysztof] Polish Acad Sci, Lab Biol Systemat &amp; Zoogeog Helminths, PL-00901 Warsaw, Poland; [Zeidler, Wolfgang] S Australian Museum, Dept Invertebrates, Adelaide, SA 5000, Australia</t>
  </si>
  <si>
    <t>Royal Belgian Institute of Natural Sciences; Ollscoil na Gaillimhe-University of Galway; University of Southampton; NERC National Oceanography Centre; Queensland Museum; Hasselt University; UK Research &amp; Innovation (UKRI); Natural Environment Research Council (NERC); NERC British Antarctic Survey; Senckenberg Gesellschaft fur Naturforschung (SGN); University of Pretoria; Polish Academy of Sciences; Institute of Oceanology of the Polish Academy of Sciences; University of Lodz; University of Hamburg; Universite Libre de Bruxelles; Universite de Bourgogne; Australian Antarctic Division; University of Kansas; Senckenberg Gesellschaft fur Naturforschung (SGN); University of Alaska System; University of Alaska Fairbanks; Senckenberg Gesellschaft fur Naturforschung (SGN); Centre National de la Recherche Scientifique (CNRS); Sorbonne Universite; University of Amsterdam; Japan Agency for Marine-Earth Science &amp; Technology (JAMSTEC); Centre for Environment Fisheries &amp; Aquaculture Science; University of Sevilla; Autonomous University of Barcelona; Leibniz Institut fur Evolutions und Biodiversitatsforschung; Smithsonian Institution; Smithsonian National Museum of Natural History; Museum National d'Histoire Naturelle (MNHN); University of British Columbia; National Oceanic Atmospheric Admin (NOAA) - USA; Russian Academy of Sciences; University of Valencia; Helmholtz Association; GEOMAR Helmholtz Center for Ocean Research Kiel; Naturalis Biodiversity Center; Polish Academy of Sciences; Witold Stefanski Institute of Parasitology of the Polish Academy of Sciences; University of Basque Country; University of Vienna; University of Genoa; University of Munich; Johann Heinrich von Thunen Institute; Ministry of Education &amp; Science of Ukraine; VN Karazin Kharkiv National University; Ghent University; Helmholtz Association; Alfred Wegener Institute, Helmholtz Centre for Polar &amp; Marine Research; University of Tasmania; Polish Academy of Sciences</t>
  </si>
  <si>
    <t>De Broyer, C (corresponding author), Royal Belgian Inst Nat Sci, Rue Vautier 29, B-1000 Brussels, Belgium.</t>
  </si>
  <si>
    <t>claude.debroyer@naturalsciences.be; bruno.danis@scarmarbin.be; louise.allcock@gmail.com; mva@noc.soton.ac.uk; claudia.arango@qm.qld.gov.au; tom.artois@uhasselt.be; dkab@bas.ac.uk; ibartsch@senckenberg.de; mnbester@zoology.up.ac.za; kasiab@iopan.gda.pl; magdab@biol.uni.lodz.pl; j.bohn@zsm.mwn.de; abrandt@zoologie.uni-hamburg.de; snbrandao@gmx.net; bruno.david@u-bourgogne.fr; Miguel.deSalas@aad.gov.au; eleaume@mnhn.fr; brachnet@aliceads1.fr; fautin@ku.edu; kgeorge@senckenberg.de; dgillan@ulb.ac.be; ang@noc.soton.ac.uk; hopcroft@ims.uaf.edu; dorte.janussen@senckenberg.de; koubbi@obs-vlfr.fr; kouwenberg@uva.nl; kuki@iopan.gda.pl; ligowski@biol.uni.lodz.pl; dhugal@jamstec.go.jp; kl@bas.ac.uk; matt.longshaw@cefas.co.uk; pjlopez@us.es; patrick.martin@naturalsciences.be; tomas.munilla@uab.es; muehsie@zoologie.uni-hamburg.de; birger.neuhaus@mfn-berlin.de; NORENBUR@si.edu; ozouf@mnhn.fr; epakhomov@eos.ubc.ca; William.Perrin@noaa.gov; malacostraca@zin.ru; alvaro.1.pena@uv.es; upiatkowski@ifm-geomar.de; pierrot@uva.nl; abroccy@poczta.onet.pl; ji.saiz@ehu.es; luitfried.salvini-plawen@univie.ac.at; scarabino_victor@yahoo.fr; stefano.schiaparelli@unige.it; schroedl@zi.biologie.uni-muenchen.de; Enrico.Schwabe@zsm.mwn.de; fiona.scott@aad.gov.au; sicinski@biol.uni.lodz.pl; volker.siegel@vti.bund.de; smiris@zin.ru; svth@noc.soton.ac.uk; Andrei.Yu.Utevsky@univer.kharkov.ua; ann.vanreusel@ugent.be; cwiencke@awi-bremerhaven.de; eric.woehler@utas.edu.au; kzdzit@twarda.pan.pl; wolfgang.zeidler@samuseum.sa.gov.au</t>
  </si>
  <si>
    <t>Gooday, Andrew/ABB-4267-2020; Gooday, Andrew/AAH-8991-2021; Smirnov, Igor Sergeevich/R-2792-2017; Longshaw, Matt/C-3884-2013; Danis, Bruno/AAS-8444-2021; Bester, Marthán N/E-5387-2010; Błażewicz, Magdalena/J-5175-2017; Arango, Claudia/A-5531-2008; Koubbi, Philippe/D-5873-2015; Cantero, Álvaro Luis Peña/F-7888-2016; Brandao, Simone/C-9416-2013; Angel, Martín Osvaldo/ITV-6992-2023; Allcock, Louise/A-7359-2012; Norenburg, Jon L/K-3481-2015; Sicinski, Jacek/P-2033-2017; DAVID, Bruno/N-8798-2013; Martin, Patrick/V-9708-2019; Hopcroft, Russell R/I-6286-2012; Lopez-González, Pablo J./Y-6440-2018; Saiz Salinas, Jose Ignacio/I-5216-2015; Artois, Tom/O-7349-2017; Piatkowski, Uwe/G-4161-2011</t>
  </si>
  <si>
    <t>Gooday, Andrew/0000-0002-5661-7371; Danis, Bruno/0000-0002-9037-7623; Brandao, Simone/0000-0002-3487-6129; Angel, Martín Osvaldo/0000-0002-1463-8887; Allcock, Louise/0000-0002-4806-0040; Martin, Patrick/0000-0002-6033-8412; Lopez-González, Pablo J./0000-0002-7348-6270; Saiz Salinas, Jose Ignacio/0000-0002-6245-7589; Artois, Tom/0000-0002-2491-7273; Kuklinski, Piotr/0000-0002-1507-215X; Piatkowski, Uwe/0000-0003-1558-5817; Woehler, Eric/0000-0002-1125-0748; Sicinski, Jacek/0000-0002-5235-3188; Blachowiak-Samolyk, Katarzyna/0000-0001-8076-2168; Utevsky, Andriy/0000-0002-8336-1105</t>
  </si>
  <si>
    <t>10.1016/j.dsr2.2010.10.007</t>
  </si>
  <si>
    <t>WOS:000288470800002</t>
  </si>
  <si>
    <t>Griffiths, HJ; Danis, B; Clarke, A</t>
  </si>
  <si>
    <t>Griffiths, Huw J.; Danis, Bruno; Clarke, Andrew</t>
  </si>
  <si>
    <t>Quantifying Antarctic marine biodiversity: The SCAR-MarBIN data portal</t>
  </si>
  <si>
    <t>Benthos; Biogeography; Bird; Fish; Mammal; Plankton; Antarctic; Southern Ocean</t>
  </si>
  <si>
    <t>SOUTHERN-OCEAN SOUTH; DISSOSTICHUS-ELEGINOIDES; SEASONAL SUCCESSION; CRYPTIC SPECIATION; TEMPERATURE LIMITS; SEA; ISOPODA; ZOOPLANKTON; DIVERSITY; AUSTRALIA</t>
  </si>
  <si>
    <t>The documentation and analysis of broad-scale biological diversity requires modern databases. Here we describe the SCAR-Marine Biodiversity Information Network (SCAR-MarBIN) and demonstrate its value with a preliminary analysis of geographic patterns in species richness for a variety of marine taxa. SCAR-MarBIN is a web portal (www.scarmarbin.be) that compiles and manages existing and new information on Antarctic marine biodiversity; it currently links over 140 datasets comprising over one million records. The portal is home to the Registry of Antarctic Marine Species (RAMS), an authoritative taxonomic list of marine species occurring in Antarctica. RAMS is a key resource for the Census of Antarctic Marine Life (CAML), a major five-year project that aims at assessing the nature, distribution and abundance of Southern Ocean biological diversity. SCAR-MarBIN provides a means of quantifying not only the diversity and distribution of Antarctic marine life but also a record of how, when and where these have been studied. It allows for the examination of geographic and bathymetric ranges, the documentation of gaps within and limits to the data, together with the identification of areas of particularly high diversity (hotspots) and also under-sampled regions or taxa. A preliminary analysis indicates that the pattern of sampling hotspots is driven principally by the pelagic data, mainly bird and mammal observations, whereas benthic species drive the overall pattern in species richness. Analyses of the complete data set reveal important biases in the data: most samples have been taken in shallow water (&lt;700 m) and are either concentrated around shore-based research stations, or in the open ocean close to regular ship transit routes. These data provide a useful benchmark for the future, enabling ventures such as CAML to assess their impact on knowledge of biological diversity. It also highlights key areas for further investigation, such as the deep sea and the Amundsen Sea. Crown Copyright (C) 2010 Published by Elsevier Ltd. All rights reserved.</t>
  </si>
  <si>
    <t>[Griffiths, Huw J.; Clarke, Andrew] British Antarctic Survey, Cambridge CB3 0ET, England; [Danis, Bruno] Royal Belgian Inst Nat Sci, B-1000 Brussels, Belgium</t>
  </si>
  <si>
    <t>UK Research &amp; Innovation (UKRI); Natural Environment Research Council (NERC); NERC British Antarctic Survey; Royal Belgian Institute of Natural Sciences</t>
  </si>
  <si>
    <t>Griffiths, HJ (corresponding author), British Antarctic Survey, High Cross,Madingley Rd, Cambridge CB3 0ET, England.</t>
  </si>
  <si>
    <t>hjg@bas.ac.uk; bruno.danis@scarmarbin.be; accl@bas.ac.uk</t>
  </si>
  <si>
    <t>Griffiths, Huw J/D-4234-2009; Danis, Bruno/AAS-8444-2021</t>
  </si>
  <si>
    <t>Griffiths, Huw J/0000-0003-1764-223X; Danis, Bruno/0000-0002-9037-7623</t>
  </si>
  <si>
    <t>NERC [bas0100026] Funding Source: UKRI; Natural Environment Research Council [bas0100026] Funding Source: researchfish</t>
  </si>
  <si>
    <t>10.1016/j.dsr2.2010.10.008</t>
  </si>
  <si>
    <t>WOS:000288470800003</t>
  </si>
  <si>
    <t>Sicinski, J; Jazdzewski, K; De Broyer, C; Presler, P; Ligowski, R; Nonato, EF; Corbisier, TN; Petti, MAV; Brito, TAS; Lavrado, HP; Blazewicz-Paszkowycz, M; Pabis, K; Jazdzewska, A; Campos, LS</t>
  </si>
  <si>
    <t>Sicinski, Jacek; Jazdzewski, Krzysztof; De Broyer, Claude; Presler, Piotr; Ligowski, Ryszard; Nonato, Edmundo F.; Corbisier, Thais N.; Petti, Monica A. V.; Brito, Tania A. S.; Lavrado, Helena P.; Blazewicz-Paszkowycz, Magdalena; Pabis, Krzysztof; Jazdzewska, Anna; Campos, Lucia S.</t>
  </si>
  <si>
    <t>Admiralty Bay Benthos Diversity-A census of a complex polar ecosystem</t>
  </si>
  <si>
    <t>Antarctica; King George Island; Admiralty Bay; Benthos; Biodiversity; Community ecology</t>
  </si>
  <si>
    <t>KING-GEORGE-ISLAND; SOUTH SHETLAND ISLANDS; LAST GLACIAL MAXIMUM; ANTARCTIC SPONGES PORIFERA; NEARSHORE ZONE; MARTEL-INLET; BRANSFIELD STRAIT; ANNUAL CYCLE; ICE-SHEET; CRUSTACEA</t>
  </si>
  <si>
    <t>A thorough census of Admiralty Bay benthic biodiversity was completed through the synthesis of data, acquired from more than 30 years of observations. Most of the available records arise from successive Polish and Brazilian Antarctic expeditions organized since 1977 and 1982, respectively, but also include new data from joint collecting efforts during the International Polar Year (2007-2009). Geological and hydrological characteristics of Admiralty Bay and a comprehensive species checklist with detailed data on the distribution and nature of the benthic communities are provided. Approximately 1300 species of benthic organisms (excluding bacteria, fungi and parasites) were recorded from the bay's entire depth range (0-500 m). Generalized classifications and the descriptions of soft-bottom and hard-bottom invertebrate communities are presented. A time-series analysis showed seasonal and interannual changes in the shallow benthic communities, likely to be related to ice formation and ice melt within the bay. As one of the best studied regions in the maritime Antarctic Admiralty Bay represents a legacy site, where continued, systematically integrated data sampling can evaluate the effects of climate change on marine life. Both high species richness and high assemblage diversity of the Admiralty Bay shelf benthic community have been documented against the background of habitat heterogeneity. (C) 2010 Elsevier Ltd. All rights reserved.</t>
  </si>
  <si>
    <t>[Sicinski, Jacek; Jazdzewski, Krzysztof; Presler, Piotr; Ligowski, Ryszard; Blazewicz-Paszkowycz, Magdalena; Pabis, Krzysztof; Jazdzewska, Anna] Univ Lodz, Lab Polar Biol &amp; Oceanobiol, PL-90237 Lodz, Poland; [De Broyer, Claude] Royal Belgian Inst Nat Sci, B-1000 Brussels, Belgium; [Nonato, Edmundo F.; Corbisier, Thais N.; Petti, Monica A. V.] Univ Sao Paulo, Oceanograph Inst, Dept Biol Oceanography, BR-05508120 Sao Paulo, Brazil; [Brito, Tania A. S.] SEPN, PROANTAR, Minist Environm, BR-70730542 Brasilia, DF, Brazil; [Lavrado, Helena P.; Campos, Lucia S.] Univ Fed Rio de Janeiro, CCS BIA, Inst Biol, BR-21941590 Rio De Janeiro, Brazil</t>
  </si>
  <si>
    <t>University of Lodz; Royal Belgian Institute of Natural Sciences; Universidade de Sao Paulo; Universidade Federal do Rio de Janeiro</t>
  </si>
  <si>
    <t>Sicinski, J (corresponding author), Univ Lodz, Lab Polar Biol &amp; Oceanobiol, 12-16 Banacha St, PL-90237 Lodz, Poland.</t>
  </si>
  <si>
    <t>sicinski@biol.uni.lodz.pl</t>
  </si>
  <si>
    <t>Petti, Monica A V/S-6367-2016; Pabis, Krzysztof/O-8628-2017; Sicinski, Jacek/P-2033-2017; Jazdzewska, Anna/AAK-4697-2020; Corbisier, Thais N./R-8255-2017; Błażewicz, Magdalena/J-5175-2017; Campos, Lucia/L-9539-2013; Lavrado, Helena/M-9737-2014</t>
  </si>
  <si>
    <t>Jazdzewska, Anna/0000-0003-2529-0641; Campos, Lucia/0000-0002-3648-7450; Blazewicz, Magdalena/0000-0002-4753-3424; Sicinski, Jacek/0000-0002-5235-3188; Pabis, Krzysztof/0000-0002-9625-3453; Lavrado, Helena/0000-0002-7275-7075</t>
  </si>
  <si>
    <t>10.1016/j.dsr2.2010.09.005</t>
  </si>
  <si>
    <t>WOS:000288470800004</t>
  </si>
  <si>
    <t>Schrödl, M; Bohn, JM; Brenke, N; Rolán, E; Schwabe, E</t>
  </si>
  <si>
    <t>Schroedl, M.; Bohn, J. M.; Brenke, N.; Rolan, E.; Schwabe, E.</t>
  </si>
  <si>
    <t>Abundance, diversity, and latitudinal gradients of southeastern Atlantic and Antarctic abyssal gastropods</t>
  </si>
  <si>
    <t>DIVA Expeditions; Southern Ocean; Deep-sea; Biodiversity; Source-sink hypothesis; Mollusca</t>
  </si>
  <si>
    <t>DEEP-SEA BENTHOS; SOUTHERN-OCEAN; SPECIES RICHNESS; 1ST INSIGHTS; BIODIVERSITY; PATTERNS; SCALE; PSEUDOLIVIDAE; BIOGEOGRAPHY; BIVALVES</t>
  </si>
  <si>
    <t>Mollusca are widely used for deriving concepts on deep-sea biology and biodiversity, yet abyssal collections are limited to only a few regions of the world ocean and biased toward the northern Atlantic. The present study compares gastropod molluscs sampled along a transect through the southern Atlantic from the equator to Antarctica. The DIVA land II expeditions concentrated on the hardly explored Guinea. Angola, and Cape Basins. Of the 145 deep-sea deployments (5025-5656 m depth) analyzed to date, 20 have yielded 68 specimens of benthic gastropods, representing 27 species. Only five abyssal species were previously known, four of them from the northern Atlantic deep sea; the remainder appear to be undescribed. Interestingly, there is no faunal overlap with the nearby Antarctic deep-sea. Most of these DIVA species (63%) are represented by single individuals, or limited to one or two stations. The rarity (i.e. 0.55 specimens m(-2) calculated from quantitative corers) and still undetectable patchiness of southeastern Atlantic abyssal gastropods may indicate source-sink dynamics, but comparison is needed with thus far hardly explored regional bathyal faunas. The BRENKE-epibenthic sledge (EBS) may be efficient at surveying the abyssal gastropod species richness, but is shown to drastically underestimate true abundances. Low diversity values throughout the three southern Atlantic ocean basins do further challenge earlier estimates of a hyperdiverse global abyssal macrofauna. Comparative EBS data available from the southern hemisphere indicate a gradient from the equatorial Guinea Basin towards higher gastropod abundances and diversity in Antarctica. This is in clear contrast to the paradigm of a globally strongly decreasing marine diversity from lower to higher latitudes, highlighting the importance of further exploring the southern fauna from the tropics to Antarctica. (C) 2010 Elsevier Ltd. All rights reserved.</t>
  </si>
  <si>
    <t>[Schroedl, M.; Bohn, J. M.; Schwabe, E.] Bavarian State Collect Zool ZSM, D-81247 Munich, Germany; [Brenke, N.] German Ctr Marine Biodivers Res DZMB, D-26382 Wilhelmshaven, Germany; [Rolan, E.] Maseo Hist Nat, Santiago De Compostela 15782, Spain</t>
  </si>
  <si>
    <t>Schrödl, M (corresponding author), Bavarian State Collect Zool ZSM, Munchhausenstr 21, D-81247 Munich, Germany.</t>
  </si>
  <si>
    <t>Michael.Schroedl@zsm.mwn.de</t>
  </si>
  <si>
    <t>10.1016/j.dsr2.2010.10.009</t>
  </si>
  <si>
    <t>WOS:000288470800005</t>
  </si>
  <si>
    <t>Rapp, HT; Janussen, D; Tendal, OS</t>
  </si>
  <si>
    <t>Rapp, Hans Tore; Janussen, Dorte; Tendal, Ole S.</t>
  </si>
  <si>
    <t>Calcareous sponges from abyssal and bathyal depths in the Weddell Sea, Antarctica</t>
  </si>
  <si>
    <t>Antarctica; Weddell Sea; Deep-sea; ANDEEP Porifera; Calcarea; Ascaltis; Clathrina; Leucetta; Breitfussia; Leucosolenia; New species</t>
  </si>
  <si>
    <t>PORIFERA; ATLANTIC; CLATHRINA</t>
  </si>
  <si>
    <t>Calcareous sponges have traditionally been regarded as shallow-water organisms, a persistent myth created by Hentschel (1925), partly supported by the problematic question of calcareous skeletal secretion under high partial CO2-pressure below the CCD in the abyss. Up to now, only few species world-wide of the sponge class Calcarea have been described from depths below 2000 m. By far, the largest number of records of Antarctic Calcarea is known from shelf areas between 50 and 400 m depth. They have only been sporadically recorded on the lower shelf and the upper slope from depths between 570 and 850 m. From abyssal depths in the Antarctic there are no previous records of calcareous sponges. It was therefore a big surprise when the first true deep-sea Calcarea from the Antarctic were collected at depths between 1120 and 4400 m during the ANDEEP I. H and III expeditions (Janussen et al., 2006). To date, five calcareous sponge species have been found, including three species new to science. The three new species belong to the genera Ascaltis, Clathrina and Leucetta. Although calcareous sponges are rare in the Antarctic deep sea, they seem to constitute a constant component of the fauna. Antarctic Calcarea shows all the characteristics of need for revision and further collection and investigation. Still, many new species are likely to be discovered in the Antarctic deep-sea. (C) 2010 Elsevier Ltd. All rights reserved.</t>
  </si>
  <si>
    <t>[Janussen, Dorte] Forschungs Inst &amp; Naturmuseum Senckenberg, Sekt Marine Evertebraten 1, D-60325 Frankfurt, Germany; [Rapp, Hans Tore] Univ Bergen, Ctr Geobiol, N-5020 Bergen, Norway; [Rapp, Hans Tore] Univ Bergen, Dept Biol, N-5020 Bergen, Norway; [Tendal, Ole S.] Univ Copenhagen, Zool Museum, DK-2100 Copenhagen O, Denmark</t>
  </si>
  <si>
    <t>University of Bergen; University of Bergen; University of Copenhagen</t>
  </si>
  <si>
    <t>Janussen, D (corresponding author), Forschungs Inst &amp; Naturmuseum Senckenberg, Sekt Marine Evertebraten 1, Senckenberganlage 25, D-60325 Frankfurt, Germany.</t>
  </si>
  <si>
    <t>dorte.janussen@senckenberg.de</t>
  </si>
  <si>
    <t>10.1016/j.dsr2.2010.05.022</t>
  </si>
  <si>
    <t>WOS:000288470800006</t>
  </si>
  <si>
    <t>Muehlenhardt-Siegel, U</t>
  </si>
  <si>
    <t>Muehlenhardt-Siegel, Ute</t>
  </si>
  <si>
    <t>Cumacean (Peracarida, Crustacea) endemism and faunal overlap in Antarctic deep-sea basins</t>
  </si>
  <si>
    <t>Cumacea; Antarctica; Deep sea; Biogeography</t>
  </si>
  <si>
    <t>OCEAN CURRENTS; ROSS SEA; BIODIVERSITY; BIOGEOGRAPHY; MALACOSTRACA; WATERS; KRILL</t>
  </si>
  <si>
    <t>At least 155 morphotypes of Cumaceans have been determined from samples collected by various expeditions over the past 15 years. Among them, only 38 species were previously described, while at least 116 morphotypes (75%) represent species new to science. The faunal overlap of Antarctic Cumacea (Peracarida) is calculated between various deep-sea basins, between the deep sea and the shelf, and between different shelf areas of Antarctica and the Sub Antarctic islands. The degree of endemism is high (about 80%) for the Antarctic Cumacea, but within the Antarctic regions faunal overlaps are detectable. Maximal faunal overlap (about 50%) is found among the Antarctic shelf regions, but the deep-sea basins of the Antarctic Peninsula region and the Weddell Sea have also a high (about 30%) species overlap. Including the new findings of Cumacea from the various deep-sea basins, the overlap between the Antarctic shelf and the deep sea is only 18%. (C) 2010 Elsevier Ltd. All rights reserved.</t>
  </si>
  <si>
    <t>Univ Hamburg, Zool Museum, D-20146 Hamburg, Germany</t>
  </si>
  <si>
    <t>Mühlenhardt-Siegel, U (corresponding author), Univ Hamburg, Zool Museum, Martin Luther King Platz 3, D-20146 Hamburg, Germany.</t>
  </si>
  <si>
    <t>muehsie@zoologie.uni-hamburg.de</t>
  </si>
  <si>
    <t>10.1016/j.dsr2.2010.10.010</t>
  </si>
  <si>
    <t>WOS:000288470800007</t>
  </si>
  <si>
    <t>Gutt, J; Barratt, I; Domack, E; d'Acoz, CD; Dimmler, W; Gremare, A; Heilmayer, O; Isla, E; Janussen, D; Jorgensen, E; Kock, KH; Lehnert, LS; Lopez-Gonzales, P; Langner, S; Linse, K; Manjon-Cabeza, ME; Meissner, M; Montiel, A; Raes, M; Robert, H; Rose, A; Schepisi, ES; Saucede, T; Scheidat, M; Schenke, HW; Seiler, J; Smith, C</t>
  </si>
  <si>
    <t>Gutt, Julian; Barratt, Iain; Domack, Eugene; d'Acoz, Cedric d'Udekem; Dimmler, Werner; Gremare, Antoine; Heilmayer, Olaf; Isla, Enrique; Janussen, Dorte; Jorgensen, Elaina; Kock, Karl-Hermann; Lehnert, Linn Sophia; Lopez-Gonzales, Pablo; Langner, Stephanie; Linse, Katrin; Eugenia Manjon-Cabeza, Maria; Meissner, Meike; Montiel, Americo; Raes, Maarten; Robert, Henri; Rose, Armin; Sane Schepisi, Elisabet; Saucede, Thomas; Scheidat, Meike; Schenke, Hans-Werner; Seiler, Jan; Smith, Craig</t>
  </si>
  <si>
    <t>Biodiversity change after climate-induced ice-shelf collapse in the Antarctic</t>
  </si>
  <si>
    <t>Antarctic Peninsula; Benthos; Krill; Apex predators; Pioneer species; Deep-sea species</t>
  </si>
  <si>
    <t>WESTERN WEDDELL SEA; 1ST INSIGHTS; PENINSULA; IMPACT; OCEAN; AGGREGATIONS; BIOGEOGRAPHY; COMMUNITIES; DIVERSITY; ABUNDANCE</t>
  </si>
  <si>
    <t>The marine ecosystem on the eastern shelf of the Antarctic Peninsula was surveyed 5 and 12 years after the climate-induced collapse of the Larsen A and B ice shelves. An impoverished benthic fauna was discovered, that included deep-sea species presumed to be remnants from ice-covered conditions. The current structure of various ecosystem components appears to result from extremely different response rates to the change from an oligotrophic sub-ice-shelf ecosystem to a productive shelf ecosystem. Meiobenthic communities remained impoverished only inside the embayments. On local scales, macro- and mega-epibenthic diversity was generally low, with pioneer species and typical Antarctic megabenthic shelf species interspersed. Antarctic Minke whales and seals utilised the Larsen A/B area to feed on presumably newly established krill and pelagic fish biomass. Ecosystem impacts also extended well beyond the zone of ice-shelf collapse, with areas of high benthic disturbance resulting from scour by icebergs discharged from the Larsen embayments. (C) 2010 Elsevier Ltd. All rights reserved.</t>
  </si>
  <si>
    <t>[Gutt, Julian; Heilmayer, Olaf; Langner, Stephanie; Schenke, Hans-Werner; Seiler, Jan] Alfred Wegener Inst Polar &amp; Marine Res, D-27568 Bremerhaven, Germany; [Barratt, Iain] Queens Univ Belfast, Sch Biol Sci, Belfast BT9 7BL, Antrim, North Ireland; [Domack, Eugene] Hamilton Coll, Dept Geosci, Clinton, NY 13323 USA; [d'Acoz, Cedric d'Udekem; Robert, Henri] Royal Belgian Inst Nat Sci, B-1000 Brussels, Belgium; [Dimmler, Werner] FIELAX GmbH, D-27568 Bremerhaven, Germany; [Gremare, Antoine] Univ Bordeaux 1, Arcachon Marine Stn, UMR 5805, F-33120 Arcachon, France; [Isla, Enrique; Sane Schepisi, Elisabet] Inst Marine Sci, Barcelona 08003, Spain; [Janussen, Dorte] Senckenberg Res Inst, D-60325 Frankfurt, Germany; [Janussen, Dorte] Nat Hist Museum, D-60325 Frankfurt, Germany; [Jorgensen, Elaina] Univ Washington, Sch Oceanog, Seattle, WA 98195 USA; [Kock, Karl-Hermann; Lehnert, Linn Sophia; Scheidat, Meike] Johann Heinrich von Thune Inst, Inst Sea Fisheries, D-22767 Hamburg, Germany; [Lehnert, Linn Sophia; Scheidat, Meike] Univ Kiel, Res &amp; Technol Ctr, D-25761 Busum, Germany; [Lopez-Gonzales, Pablo] Univ Seville, Dept Zool &amp; Physiol, E-41012 Seville, Spain; [Linse, Katrin] British Antarctic Survey, Nat Environm Res Council, Cambridge CB3 0ET, England; [Eugenia Manjon-Cabeza, Maria] Univ Malaga, Dept Anim Biol, E-29071 Malaga, Spain; [Meissner, Meike] Zool Res Museum Alexander Koenig, D-53113 Bonn, Germany; [Montiel, Americo] Univ Magellanes, Inst Patagonia, Punta Arenas, Chile; [Raes, Maarten] Univ Ghent, Marine Biol Sect, Dept Biol, B-9000 Ghent, Belgium; [Rose, Armin] German Ctr Marine Biodivers Res, Senckenberg Res Inst, D-26382 Wilhelmshaven, Germany; [Saucede, Thomas] Univ Burgundy, Dept Biogeosci, F-21000 Dijon, France; [Smith, Craig] Univ Hawaii Manoa, Dept Oceanog, Honolulu, HI 96822 USA</t>
  </si>
  <si>
    <t>Helmholtz Association; Alfred Wegener Institute, Helmholtz Centre for Polar &amp; Marine Research; Queens University Belfast; Hamilton College; Royal Belgian Institute of Natural Sciences; Universite de Bordeaux; Centre National de la Recherche Scientifique (CNRS); CNRS - National Institute for Earth Sciences &amp; Astronomy (INSU); Consejo Superior de Investigaciones Cientificas (CSIC); CSIC - Centro Mediterraneo de Investigaciones Marinas y Ambientales (CMIMA); CSIC - Instituto de Ciencias del Mar (ICM); Senckenberg Gesellschaft fur Naturforschung (SGN); University of Washington; University of Washington Seattle; Johann Heinrich von Thunen Institute; University of Kiel; University of Sevilla; UK Research &amp; Innovation (UKRI); Natural Environment Research Council (NERC); NERC British Antarctic Survey; Universidad de Malaga; Zoologisches Forschungsmuseum Alexander Koenig (ZFMK); Universidad de Magallanes; Ghent University; Senckenberg Gesellschaft fur Naturforschung (SGN); Universite de Bourgogne; University of Hawaii System; University of Hawaii Manoa</t>
  </si>
  <si>
    <t>Gutt, J (corresponding author), Alfred Wegener Inst Polar &amp; Marine Res, Columbusstr, D-27568 Bremerhaven, Germany.</t>
  </si>
  <si>
    <t>julian.gutt@awi.de; ibarrat01@queens-belfast.ac.uk; edomack@hamilton.edu; cedric.dudekem@naturalsciences.be; dimmler@fielax.de; a.gremare@epoc.u-bordeaux1.fr; olaf.heilmayer@awi.de; isla@icm.csic.es; dorte.janussen@senckenberg.de; elaina.jorgensen@noaa.gov; karl-hermann.kock@ish.bfa-fisch.de; linn.lehnert@ftz-west.uni-kiel.de; pjlopez@us.es; stephanie.langner@gmx.de; kl@bas.ac.uk; mecloute@uma.es; m_meike@yahoo.de; americo.montiel@umag.cl; maarten.raes@ugent.be; henri.robert@naturalsciences.be; arose@senckenberg.de; sane@cmima.csic.es; thomas.saucede@u-bourgogne.fr; meike.scheidat@wur.nl; hans-werner.schenke@awi.de; jan.seiler@csiro.au; craigsmi@hawaii.edu</t>
  </si>
  <si>
    <t>Lehnert, Linn/E-2941-2016; Lopez-González, Pablo J./Y-6440-2018; Manjón-Cabeza, M. Eugenia/L-1761-2014; sane, elisabet/AAT-4775-2020</t>
  </si>
  <si>
    <t>Lopez-González, Pablo J./0000-0002-7348-6270; Manjón-Cabeza, M. Eugenia/0000-0002-4014-6763; , elisabet/0000-0001-5719-5468; Meissner, Meike/0000-0002-2276-0815; Gutt, Julian/0000-0003-3773-9370; Heilmayer, Olaf/0000-0003-1849-1381; Linse, Katrin/0000-0003-3477-3047; Isla, Enrique/0000-0003-4959-6936; Scheidat, Meike/0000-0001-9702-6490; Montiel, Americo/0000-0002-2644-4879</t>
  </si>
  <si>
    <t>10.1016/j.dsr2.2010.05.024</t>
  </si>
  <si>
    <t>WOS:000288470800008</t>
  </si>
  <si>
    <t>Hardy, C; David, B; Rigaud, T; De Ridder, C; Saucède, T</t>
  </si>
  <si>
    <t>Hardy, C.; David, B.; Rigaud, T.; De Ridder, C.; Saucede, T.</t>
  </si>
  <si>
    <t>Ectosymbiosis associated with cidaroids (Echinodermata: Echinoidea) promotes benthic colonization of the seafloor in the Larsen Embayments, Western Antarctica</t>
  </si>
  <si>
    <t>Antarctica; Cidaroid echinoids; Diversity; Larsen embayments; Symbiosis</t>
  </si>
  <si>
    <t>PAPUA-NEW-GUINEA; ICE SHELF; DEEP-SEA; ICEBERG DISTURBANCE; SAMPLE COVERAGE; EMERGENT ISLAND; CALDERA LAKE; LONG-ISLAND; IMPACT; DIVERSITY</t>
  </si>
  <si>
    <t>Ice-shelf collapses in the Larsen A and B embayments along the Weddell side of the Antarctic Peninsula resulted in new open-water areas that are likely reorganizing benthic communities. It is a natural laboratory to assess colonization of the sea bottom under new conditions. We tested the hypothesis that the epibionts associated to cidaroid echinoids could promote or enhance the colonization of hard surfaces. In fact, being vagile, cidaroids might improve dispersal capabilities of the sessile animals that are attached to their spines, e.g., promoting the colonization of areas where the fauna has been eradicated by iceberg scouring. If this hypothesis is correct, pioneer sessile species present locally on stones might have affinities with ectosymbionts on cidaroids, and the sessile fauna present both on cidaroids and stones should be more similar in the Larsen embayments than in undisturbed areas. We therefore compared sessile species living on cidaroids with those living on stones in three areas: Larsen A and B embayments and two undisturbed and geographically different areas, Atka Bay and Elephant Island. Overall, richness, evaluated as 'morphotypes' richness, was lower in the Larsen area than in other areas, but levels of species diversity were similar among the three zones. The estimate of similarity between assemblages (using the C-22 index of Chao et al., 2008) also suggests that cidaroid epibionts are either species-specific or specific to cidaroids, while the composition of sessile fauna on stones is more variable and probably dependent on local factors. In the two undisturbed areas, sessile fauna are highly different between stones and cidaroids. This contrasts with the Larsen embayments where cidaroids share more than 80% of epibionts with the surrounding stones. These results suggest that ectosymbioses linked to cidaroids strongly contribute to benthic colonization of the seafloor in the Larsen enbayments. With time, secondary successions are expected to occur, increasing the difference between epibiotic communities on cidaroids and those on stones, and lead to the situations observed in unperturbed sites. (C) 2010 Elsevier Ltd. All rights reserved.</t>
  </si>
  <si>
    <t>[Hardy, C.; David, B.; Rigaud, T.; Saucede, T.] Univ Bourgogne, CNRS, UMR 5561, F-21000 Dijon, France; [De Ridder, C.] Univ Libre Brussels, Lab Biol Marine CP 160 15, B-1050 Brussels, Belgium</t>
  </si>
  <si>
    <t>Universite de Bourgogne; Centre National de la Recherche Scientifique (CNRS); Universite Libre de Bruxelles</t>
  </si>
  <si>
    <t>Saucède, T (corresponding author), Univ Bourgogne, CNRS, UMR 5561, F-21000 Dijon, France.</t>
  </si>
  <si>
    <t>thomas.saucede@u-bourgogne.fr</t>
  </si>
  <si>
    <t>DAVID, Bruno/N-8798-2013; Rigaud, Thierry/ABE-2552-2020</t>
  </si>
  <si>
    <t>Rigaud, Thierry/0000-0002-0163-6639</t>
  </si>
  <si>
    <t>10.1016/j.dsr2.2010.05.025</t>
  </si>
  <si>
    <t>WOS:000288470800009</t>
  </si>
  <si>
    <t>Kaiser, S; Griffiths, HJ; Barnes, DKA; Brandao, SN; Brandt, A; O'Brien, PE</t>
  </si>
  <si>
    <t>Kaiser, Stefanie; Griffiths, Huw J.; Barnes, David K. A.; Brandao, Simone N.; Brandt, Angelika; O'Brien, Philip E.</t>
  </si>
  <si>
    <t>Is there a distinct continental slope fauna in the Antarctic?</t>
  </si>
  <si>
    <t>Diversity; Glacial refuges; Weddell Sea; Scotia Sea; Geomorphology; Benthos</t>
  </si>
  <si>
    <t>DEEP-SEA; SOUTHERN-OCEAN; WEDDELL SEA; COMMUNITY RESPONSE; SPECIES RICHNESS; BOTTOM WATER; ICE-SHEET; DIVERSITY; PATTERNS; BIODIVERSITY</t>
  </si>
  <si>
    <t>The Antarctic continental slope spans the depths from the shelf break (usually between 500 and 1000 m) to similar to 3000 m, is very steep, overlain by 'warm' (2-2.5 degrees C) Circumpolar Deep Water (CDW), and life there is poorly studied. This study investigates whether life on Antarctica's continental slope is essentially an extension of the shelf or the abyssal fauna, a transition zone between these or clearly distinct in its own right. Using data from several cruises to the Weddell Sea and Scotia Sea, including the ANDEEP (ANtarctic benthic DEEP-sea biodiversity, colonisation history and recent community patterns) I-III, BIOPEARL (BIOdiversity, Phylogeny, Evolution and Adaptive Radiation of Life in Antarctica) 1 and EASIZ (Ecology of the Antarctic Sea Ice Zone) II cruises as well as current databases (SOMBASE, SCAR-MarBIN), four different taxa were selected (i.e. cheilostome bryozoans, isopod and ostracod crustaceans and echinoid echinoderms) and two areas, the Weddell Sea and the Scotia Sea, to examine faunal composition, richness and affinities. The answer has important ramifications to the link between physical oceanography and ecology, and the potential of the slope to act as a refuge and resupply zone to the shelf during glaciations. Benthic samples were collected using Agassiz trawl, epibenthic sledge and Rauschert sled. By bathymetric definition, these data suggest that despite eurybathy in some of the groups examined and apparent similarity of physical conditions in the Antarctic, the shelf, slope and abyssal faunas were clearly separated in the Weddell Sea. However, no such separation of faunas was apparent in the Scotia Sea (except in echinoids). Using a geomorphological definition of the slope, shelf-slope-abyss similarity only changed significantly in the bryozoans. Our results did not support the presence of a homogenous and unique Antarctic slope fauna despite a high number of species being restricted to the slope. However, it remains the case that there may be a unique Antarctic slope fauna, but the paucity of our samples could not demonstrate this in the Scotia Sea. It is very likely that various ecological and evolutionary factors (such as topography, water-mass and sediment characteristics, input of particulate organic carbon (POC) and glaciological history) drive slope distinctness. Isopods showed greatest species richness at slope depths, whereas bryozoans and ostracods were more speciose at shelf depths; however, significance varied across Weddell Sea and Scotia Sea and depending on bathymetric vs. geomorphological definitions. Whilst the slope may harbour some source populations for localised shelf recolonisation, the absence of many shelf species, genera and even families (in a poorly dispersing taxon) from the continental slope indicate that it was not a universal refuge for Antarctic shelf fauna. (C) 2010 Elsevier Ltd. All rights reserved.</t>
  </si>
  <si>
    <t>[Kaiser, Stefanie; Brandao, Simone N.; Brandt, Angelika] Univ Hamburg, Biozentrum Grindel, D-20146 Hamburg, Germany; [Kaiser, Stefanie; Brandao, Simone N.; Brandt, Angelika] Univ Hamburg, Zool Museum Hamburg, D-20146 Hamburg, Germany; [Griffiths, Huw J.; Barnes, David K. A.] British Antarctic Survey, Cambridge CB3 0ET, England; [O'Brien, Philip E.] Geosci Australia, Canberra, ACT 2601, Australia</t>
  </si>
  <si>
    <t>University of Hamburg; University of Hamburg; UK Research &amp; Innovation (UKRI); Natural Environment Research Council (NERC); NERC British Antarctic Survey; Geoscience Australia</t>
  </si>
  <si>
    <t>Kaiser, S (corresponding author), Univ Hamburg, Biozentrum Grindel, Martin Luther King Pl 3, D-20146 Hamburg, Germany.</t>
  </si>
  <si>
    <t>stefanie.kaiser@uni-hamburg.de</t>
  </si>
  <si>
    <t>Griffiths, Huw J/D-4234-2009; Brandao, Simone/C-9416-2013; Brandt, Angelika/C-1630-2018</t>
  </si>
  <si>
    <t>Griffiths, Huw J/0000-0003-1764-223X; Brandao, Simone/0000-0002-3487-6129; Kaiser, Stefanie/0000-0003-2026-4663; O'Brien, Philip/0000-0003-3446-3292</t>
  </si>
  <si>
    <t>10.1016/j.dsr2.2010.05.017</t>
  </si>
  <si>
    <t>WOS:000288470800010</t>
  </si>
  <si>
    <t>Post, AL; Beaman, RJ; O'Brien, PE; Eléaume, M; Riddle, MJ</t>
  </si>
  <si>
    <t>Post, Alexandra L.; Beaman, Robin J.; O'Brien, Philip E.; Eleaume, Marc; Riddle, Martin J.</t>
  </si>
  <si>
    <t>Community structure and benthic habitats across the George V Shelf, East Antarctica: Trends through space and time</t>
  </si>
  <si>
    <t>Polar waters; Adelie Land; Physical surrogates; Benthos; Benthic environment; Iceberg scouring</t>
  </si>
  <si>
    <t>MERTZ GLACIER POLYNYA; WILKES LAND MARGIN; ICEBERG DISTURBANCE; CONTINENTAL-SHELF; LATE PLEISTOCENE; MEGABENTHOS; PATTERNS; REGION; ICE; QUANTIFICATION</t>
  </si>
  <si>
    <t>Physical and biological characteristics of benthic communities are analysed from underwater video footage collected across the George V Shelf during the 2007/2008 CEAMARC voyage. Benthic habitats are strongly structured by physical processes operating over a range of temporal and spatial scales. Iceberg scouring recurs over timescales of years to centuries along shallower parts of the shelf, creating communities in various stages of maturity and recolonisation. Upwelling of modified circumpolar deep water (MCDW) onto the outer shelf and cross-shelf flow of high-salinity shelf water (HSSW) create spatial contrasts in nutrient and sediment supply, which are largely reflected in the distribution of deposit- and filter-feeding communities. Long-term cycles in the advance and retreat of icesheets (over millennial scales) and subsequent focussing of sediments in troughs such as the Mertz Drift create patches of consolidated and soft sediments, which also provide distinct habitats for colonisation by different biota. These physical processes of iceberg scouring, current regimes and depositional environments, in addition to water depth, are important factors in the structure of benthic communities across the George V Shelf. The modern shelf communities mapped in this study largely represent colonisation over the past 8000-12,000 years, following retreat of the icesheet and glaciers at the end of the last glaciation. Recolonisation on this shelf may have occurred from two sources: deep-sea environments and possible shelf refugia on the Mertz and Adelie Banks. However, any open-shelf area would have been subject to intense iceberg scouring. Understanding the timescales over which shelf communities have evolved and the physical factors which shape them will allow better prediction of the distribution of Antarctic shelf communities and their vulnerability to change. This knowledge can aid better management regimes for the Antarctic margin. Crown Copyright (C) 2010 Published by Elsevier Ltd. All rights reserved.</t>
  </si>
  <si>
    <t>[Post, Alexandra L.; O'Brien, Philip E.] Marine &amp; Coastal Environm Grp, Canberra, ACT 2601, Australia; [Beaman, Robin J.] James Cook Univ, Sch Earth &amp; Environm Sci, Cairns, Qld 4870, Australia; [Eleaume, Marc] Museum Natl Hist Nat, Dept Milieux &amp; Peuplements Aquat, F-75005 Paris, France; [Riddle, Martin J.] Australian Antarctic Div, Kingston, Tas 7050, Australia</t>
  </si>
  <si>
    <t>James Cook University; Museum National d'Histoire Naturelle (MNHN); Australian Antarctic Division</t>
  </si>
  <si>
    <t>Post, AL (corresponding author), Marine &amp; Coastal Environm Grp, GPO Box 378, Canberra, ACT 2601, Australia.</t>
  </si>
  <si>
    <t>Alix.Post@ga.gov.au</t>
  </si>
  <si>
    <t>O'Brien, Philip/0000-0003-3446-3292; Post, Alexandra/0000-0002-6287-3283</t>
  </si>
  <si>
    <t>10.1016/j.dsr2.2010.05.020</t>
  </si>
  <si>
    <t>WOS:000288470800011</t>
  </si>
  <si>
    <t>Bowden, DA; Schiaparelli, S; Clark, MR; Rickard, GJ</t>
  </si>
  <si>
    <t>Bowden, David A.; Schiaparelli, Stefano; Clark, Malcolm R.; Rickard, Graham J.</t>
  </si>
  <si>
    <t>A lost world? Archaic crinoid-dominated assemblages on an Antarctic seamount</t>
  </si>
  <si>
    <t>Last Glacial Maximum; Ross sea; Predation; Palaeocence; Guyot</t>
  </si>
  <si>
    <t>LAST GLACIAL MAXIMUM; ROSS SEA; STALKED CRINOIDS; ICE-SHEET; CLIMATE-CHANGE; COMMUNITY STRUCTURE; BALLENY ISLANDS; DEEP-SEA; PREDATION; ECHINODERMATA</t>
  </si>
  <si>
    <t>The previously unsurveyed Admiralty (67 degrees S, 171 degrees E) and Scott Island (67 degrees 22'S, 179 degrees 55'E) seamounts to the north of the Ross Sea were explored using cameras and physical sampling gear during the New Zealand IPY-CAML research voyage (TAN0802) in February 2008. A striking assemblage dominated by stalked crinoids and brachiopods was found at 580-600 m depths on isolated knolls at the northwest and southeast extremities of Admiralty Seamount. The seabed at these sites was littered with crinoid ossicles, and crinoid stalk bases were conspicuous on exposed rocks, suggesting that these assemblages have persisted for a considerable period of time. The crinoid sites were limited to the isolated knolls but large areas of the flanks of the main seamount were covered by dense populations of suspension-feeding ophiuroids. These assemblages are more similar in structure to those preserved in fossil strata from the Palaeocene and late Eocene than to any extant assemblages yet described from the Antarctic. In comparisons with faunal assemblages on Scott Island seamount, the abundance of stalked crinoids was strongly inversely correlated with the abundance of echinoid, asteroid, and lithodid crab predators and both asteroids and echinoids were photographed feeding on crinoids. These observations are consistent with the prevailing hypotheses that crinoid- and ophiuroid-dominated assemblages, which were widespread in the Palaeocene, were displaced by the radiation of mobile predators, and that conditions in isolated habitats in the Southern Ocean may have acted as refugia, allowing the persistence of archaic benthic assemblages. (C) 2010 Elsevier Ltd. All rights reserved.</t>
  </si>
  <si>
    <t>[Bowden, David A.; Clark, Malcolm R.] Natl Inst Water &amp; Atmospher Res NIWA, Wellington, New Zealand; [Schiaparelli, Stefano; Rickard, Graham J.] Dipartmento Studio Terr &amp; Risorse, I-16123 Genoa, Italy</t>
  </si>
  <si>
    <t>National Institute of Water &amp; Atmospheric Research (NIWA) - New Zealand</t>
  </si>
  <si>
    <t>Bowden, DA (corresponding author), Natl Inst Water &amp; Atmospher Res NIWA, Private Bag 14901, Wellington, New Zealand.</t>
  </si>
  <si>
    <t>d.bowden@niwa.co.nz</t>
  </si>
  <si>
    <t>Schiaparelli, Stefano/AAI-4024-2020</t>
  </si>
  <si>
    <t>Schiaparelli, Stefano/0000-0002-0137-3605; rickard, graham/0000-0002-0169-4361</t>
  </si>
  <si>
    <t>10.1016/j.dsr2.2010.09.006</t>
  </si>
  <si>
    <t>WOS:000288470800012</t>
  </si>
  <si>
    <t>Olguín, HF; Alder, VA</t>
  </si>
  <si>
    <t>Olguin, Hector F.; Alder, Viviana A.</t>
  </si>
  <si>
    <t>Species composition and biogeography of diatoms in antarctic and subantarctic (Argentine shelf) waters (37-76°S)</t>
  </si>
  <si>
    <t>Diatoms; Plankton; Biogeography; Biodiversity; Subantarctic and antarctic waters</t>
  </si>
  <si>
    <t>ANOMALOUS ATMOSPHERIC CIRCULATION; SOUTHERN-OCEAN SEDIMENTS; PHYTOPLANKTON BIOMASS; AUSTRAL SUMMER; SEA-ICE; WEDDELL-SEA; GENUS THALASSIOSIRA; SURFACE SEDIMENTS; PENINSULA; ASSEMBLAGES</t>
  </si>
  <si>
    <t>A large spatial scale study of the diatom species inhabiting waters from the subantarctic (Argentine shelf) to antarctic was made for the first time in order to understand the relationships between these two regions with regard to the fluctuations in diatom abundances in relation with environmental features, their floristic associations and the effect of the Polar Front as a biogeographic barrier. Species-specific diatom abundance, nutrient and chlorophyll-a concentration were assessed from 64 subsurface oceanographic stations carried out during the austral summer 2002, a period characterized by an anomalous sea-ice coverage corresponding to a warm year. Significant relationships of both diatom density and biomass with chlorophyll-a (positive) and water temperature (negative) were found for the study area as a whole. Within the Subantarctic region, diatom density and biomass values were more uniform and significantly (in average: 35 and 11 times) lower than those of the Antarctic region, and did not correlate with chlorophyll-a. In antarctic waters, instead, biomass was directly related with chlorophyll-a, thus confirming the important contribution of diatoms to the Antarctic phytoplanktonic stock. A total of 167 taxa were recorded for the entire study area, with Chaetoceros and Thalassiosira being the best represented genera. Species richness was maximum in subantarctic waters (46; Argentine shelf) and minimum in the Antarctic region (21; Antarctic Peninsula), and showed a significant decrease with latitude. Floristic associations were examined both qualitatively (Jaccard Index) and quantitatively (correlation) by cluster analyses and results allowed differentiating a similar number of associations (12 vs. 13, respectively) and two main groups of stations. In the Drake Passage, the former revealed that the main floristic change was found at the Polar Front, while the latter reflected the Southern ACC Front as a main boundary, and yielded a higher number of isolated sites, most of them located next to different Antarctic islands. Such differences are attributed to the high relative density of Fragilariopsis kerguelensis in Argentine shelf and Drake Passage waters and of Porosira glacialis and species of Chaetoceros and Thalasiosira in the Weddell Sea and near the Antarctic Peninsula. From a total of 84 taxa recorded in antarctic waters, only 17 were found exclusively in this region, and the great majority (67) was also present in subantarctic waters but in extremely low (&lt; 1 cell l(-1)) concentrations, probably as a result of expatriation processes via the ACC-Malvinas Current system. The present results were compared with those of previous studies on the Antarctic region with respect to both diatom associations in regular vs. atypically warm years, and the distribution and abundance of some selected planktonic species reported for surface sediments. (C) 2010 Elsevier Ltd. All rights reserved.</t>
  </si>
  <si>
    <t>[Olguin, Hector F.; Alder, Viviana A.] Univ Buenos Aires, Dept Ecol Genet &amp; Evoluc, Fac Ciencias Exactas &amp; Nat, Buenos Aires, DF, Argentina; [Alder, Viviana A.] Inst Antartico Argentino, Buenos Aires, DF, Argentina; [Alder, Viviana A.] Consejo Nacl Invest Cient &amp; Tecn, Buenos Aires, DF, Argentina; [Olguin, Hector F.] Museo Argentino Ciencias Nat Bernardino Rivadavia, Buenos Aires, DF, Argentina</t>
  </si>
  <si>
    <t>University of Buenos Aires; Instituto Antartico Argentino; Consejo Nacional de Investigaciones Cientificas y Tecnicas (CONICET); Museo Argentino de Ciencias Naturales Bernardino Rivadavia (MACN)</t>
  </si>
  <si>
    <t>Olguín, HF (corresponding author), Univ Buenos Aires, Dept Ecol Genet &amp; Evoluc, Fac Ciencias Exactas &amp; Nat, Pabellon 2,C1428EHA, Buenos Aires, DF, Argentina.</t>
  </si>
  <si>
    <t>holguin@ege.fcen.uba.ar</t>
  </si>
  <si>
    <t>10.1016/j.dsr2.2010.09.031</t>
  </si>
  <si>
    <t>WOS:000288470800014</t>
  </si>
  <si>
    <t>Würzberg, L; Peters, J; Schüller, M; Brandt, A</t>
  </si>
  <si>
    <t>Wuerzberg, Laura; Peters, Janna; Schueller, Myriam; Brandt, Angelika</t>
  </si>
  <si>
    <t>Diet insights of deep-sea polychaetes derived from fatty acid analyses</t>
  </si>
  <si>
    <t>Deep-sea; Fatty acids; Polychaetes; Southern Ocean benthos</t>
  </si>
  <si>
    <t>NORTHEAST PACIFIC-OCEAN; SOUTHERN-OCEAN; FOOD-WEB; EPIBENTHIC-SLEDGE; TROPHIC RELATIONSHIPS; BENTHIC COMMUNITIES; ANTARCTIC SHELF; ORGANIC-MATTER; WATER-COLUMN; NE ATLANTIC</t>
  </si>
  <si>
    <t>The fatty acid (FA) composition of representatives belonging to 18 polychaete families from the Southern Ocean shelf and deep sea (600 to 5337 m) was analysed in order to identify trophic biomarkers and elucidate possible feeding preferences. Total FA content was relatively low with few exceptions and ranged from 1.0 to 11.6% of total body dry weight. The most prominent FA found were 20:5(n-3), 16:0, 22:6(n-3), 18:1(n-7), 20:4(n-6), 18:0, 20:1(n-11) and 18:1(n-9). For some polychaete families and species FA profiles indicated selective feeding on certain dietary components, like freshly deposited diatom remains (e.g., Spionidae, Fauveliopsidae and Flabelligeridae) or foraminiferans (e.g., Euphrosinidae, Nephtyidae and Syllidae). Feeding patterns were relatively consistent within families at the deep stations, while the FA composition differed between the deep and the shelf stations within the same family. Fatty alcohols, indicative of wax ester storage, were found in almost all families (in proportions of 0.0 to 29.3% of total FA and fatty alcohols). The development of this long-term storage mechanism of energy reserves possibly displays an evolutionary strategy. (C) 2010 Elsevier Ltd. All rights reserved.</t>
  </si>
  <si>
    <t>[Wuerzberg, Laura; Brandt, Angelika] Univ Hamburg, Biozentrum Grindel &amp; Zool Museum, D-20146 Hamburg, Germany; [Peters, Janna] Univ Hamburg, Inst Hydrobiol &amp; Fischereiwissensch, D-22767 Hamburg, Germany; [Schueller, Myriam] Ruhr Univ Bochum, Dept Anim Evolut Ecol &amp; Biodivers, D-44780 Bochum, Germany</t>
  </si>
  <si>
    <t>University of Hamburg; University of Hamburg; Ruhr University Bochum</t>
  </si>
  <si>
    <t>Würzberg, L (corresponding author), Univ Hamburg, Biozentrum Grindel &amp; Zool Museum, Martin Luther King Pl 3, D-20146 Hamburg, Germany.</t>
  </si>
  <si>
    <t>laura.wuerzberg@helmholtz-muenchen.de</t>
  </si>
  <si>
    <t>Brandt, Angelika/C-1630-2018; Peters, Janna/JTV-2972-2023</t>
  </si>
  <si>
    <t>Peters, Janna/0000-0002-0941-8257</t>
  </si>
  <si>
    <t>10.1016/j.dsr2.2010.10.014</t>
  </si>
  <si>
    <t>WOS:000288470800015</t>
  </si>
  <si>
    <t>Eléaume, M; Beaman, RJ; Griffiths, HJ; Best, B; Riddle, MJ; Wadley, V; Rintoul, SR; Hemery, LG; Améziane, N</t>
  </si>
  <si>
    <t>Eleaume, Marc; Beaman, Robin J.; Griffiths, Huw J.; Best, Ben; Riddle, Martin J.; Wadley, Victoria; Rintoul, Stephen R.; Hemery, Lenaig G.; Ameziane, Nadia</t>
  </si>
  <si>
    <t>Near-bottom current direction inferred from comatulid crinoid feeding postures on the Terre Adelie and George V shelf, East Antarctica</t>
  </si>
  <si>
    <t>Comatulid; Near-bottom current; Antarctica; Terre Adelie</t>
  </si>
  <si>
    <t>LARVAL-DISPERSAL; SUSPENSION FEEDERS; ECHINODERMATA</t>
  </si>
  <si>
    <t>For the first time, comatulid crinoid feeding behaviour is used to infer near-bottom current (NBC) directions on the Terre Adelie and George V shelf, East Antarctica. We analysed 47 still-image and video transects sampled during the Collaborative East Antarctic Marine Census (CEAMARC) expedition in 2007-2008. We recorded the inferred current direction from 1537 comatulid observations and interpolated these data across the shelf using the Natural Neighbour Interpolation (NNI) method. Results revealed a mode current directionality at each station and a close local agreement between the observed and interpolated NBC directions. The interpolated NBC directions show a coherent counter-clockwise gyre in the deep George V Basin, with a northward and westward flow over the northern flank of the basin and eastward flow near the coast, consistent with the distribution of bottom salinity. There also appears to be a clockwise gyre on the relatively shallow Adelie Bank, with an easterly or southeasterly flow along the outer-shelf, south and southwesterly on the east Adelie Bank, and westerly along the Terre Adelie coast. (C) 2010 Elsevier Ltd. All rights reserved.</t>
  </si>
  <si>
    <t>[Eleaume, Marc; Hemery, Lenaig G.; Ameziane, Nadia] Museum Natl Hist Nat, CNRS, BOREA, UMR 7208,IRD 207, F-75005 Paris, France; [Beaman, Robin J.] James Cook Univ, Sch Earth &amp; Environm Sci, Cairns, Qld 4870, Australia; [Griffiths, Huw J.] British Antarctic Survey, NERC, Cambridge CB3 0ET, England; [Best, Ben] Duke Univ, Marine Lab, Marine Geospatial Ecol Lab, Beaufort, NC 28516 USA; [Riddle, Martin J.; Wadley, Victoria] Australian Antarctic Div, Kingston, Tas 7050, Australia; [Rintoul, Stephen R.] CSIRO, Hobart, Tas 7000, Australia</t>
  </si>
  <si>
    <t>Centre National de la Recherche Scientifique (CNRS); Institut de Recherche pour le Developpement (IRD); Museum National d'Histoire Naturelle (MNHN); Sorbonne Universite; CNRS - Institute of Ecology &amp; Environment (INEE); James Cook University; UK Research &amp; Innovation (UKRI); Natural Environment Research Council (NERC); NERC British Antarctic Survey; Duke University; Australian Antarctic Division; Commonwealth Scientific &amp; Industrial Research Organisation (CSIRO)</t>
  </si>
  <si>
    <t>Eléaume, M (corresponding author), Museum Natl Hist Nat, CNRS, BOREA, UMR 7208,IRD 207, 43 Rue Cuvier, F-75005 Paris, France.</t>
  </si>
  <si>
    <t>eleaume@mnhn.fr</t>
  </si>
  <si>
    <t>Rintoul, Stephen R/A-1471-2012; Hemery, Lenaïg/AAA-5799-2021; Griffiths, Huw J/D-4234-2009</t>
  </si>
  <si>
    <t>Rintoul, Stephen R/0000-0002-7055-9876; Hemery, Lenaïg/0000-0001-5337-4514; Griffiths, Huw J/0000-0003-1764-223X; Ameziane, Nadia/0000-0002-8546-9961</t>
  </si>
  <si>
    <t>10.1016/j.dsr2.2010.05.023</t>
  </si>
  <si>
    <t>WOS:000288470800016</t>
  </si>
  <si>
    <t>Koubbi, P; Moteki, M; Duhamel, G; Goarant, A; Hulley, PA; O'Driscoll, R; Ishimaru, T; Pruvost, P; Tavernier, E; Hosie, G</t>
  </si>
  <si>
    <t>Koubbi, Philippe; Moteki, Masato; Duhamel, Guy; Goarant, Anne; Hulley, Percy-Alexander; O'Driscoll, Richard; Ishimaru, Takashi; Pruvost, Patrice; Tavernier, Eric; Hosie, Graham</t>
  </si>
  <si>
    <t>Ecoregionalization of myctophid fish in the Indian sector of the Southern Ocean: Results from generalized dissimilarity models</t>
  </si>
  <si>
    <t>Ecoregionalization; Myctophids; Micronekton; Southern Ocean; Generalized dissimilarity modeling; Kerguelen Plateau</t>
  </si>
  <si>
    <t>SEASONAL SUCCESSION; FRONTAL STRUCTURE; ADDITIVE-MODELS; ZOOPLANKTON; AUSTRALIA; KERGUELEN; ICHTHYOPLANKTON; DISTRIBUTIONS; CIRCULATION; PATTERNS</t>
  </si>
  <si>
    <t>The Southern Ocean is delimited by major frontal zones which influence pelagic life at the spatial macroscale. There is a sharp ecological segregation of pelagic fish that inhabit this ocean with some families living in the neritic zone and others in the oceanic zone. The neritic zone is dominated by fish of the Notothenioid suborder. In the oceanic zone, mesopelagic species are dominated by myctophids. Their spatial distribution is highly influenced by meso- or sub-mesoscale oceanographic features. Myctophid presence/absence records from historical surveys and from the Census of Antarctic Marine Life were used to model species assemblages in the Indian sector of the Southern Ocean by using generalized dissimilarity modeling. This statistical technique is data-driven and is used in conjunction with Geographic Information Systems for creating models between communities and environmental factors. Application of these models in large unsurveyed areas is possible and helps in delineating regions of potential similar assemblages. This will allow us to move from the bioregionalization of the Southern Ocean based on only abiotic factors and chlorophyll, to its ecoregionalization by adding species assemblages. (C) 2010 Published by Elsevier Ltd.</t>
  </si>
  <si>
    <t>[Koubbi, Philippe; Goarant, Anne] Univ Paris 06, UPMC, Lab Oceanog Villefranche, UMR 7093, F-06234 Villefranche Sur Mer, France; [Koubbi, Philippe; Goarant, Anne] CNRS, LOV, UMR 7093, F-06234 Villefranche Sur Mer, France; [Moteki, Masato; Ishimaru, Takashi] Tokyo Univ Marine Sci &amp; Technol, Fac Marine Sci, Tokyo 1088477, Japan; [Duhamel, Guy; Pruvost, Patrice] MNHN, DMPA, UMR 5178, F-75005 Paris, France; [Hulley, Percy-Alexander] Iziko S African Museum, Cape Town, South Africa; [O'Driscoll, Richard] Natl Inst Water &amp; Atmospher Res Ltd, Wellington 6241, New Zealand; [Tavernier, Eric] ULCO, Dept Genie Biol, IUT Calais Boulogne, F-62327 Boulogne, France; [Hosie, Graham] Australian Antarctic Div, Dept Environm Water Heritage &amp; Arts, Kingston, Tas 7050, Australia</t>
  </si>
  <si>
    <t>Centre National de la Recherche Scientifique (CNRS); CNRS - National Institute for Earth Sciences &amp; Astronomy (INSU); Sorbonne Universite; Centre National de la Recherche Scientifique (CNRS); CNRS - National Institute for Earth Sciences &amp; Astronomy (INSU); Sorbonne Universite; Tokyo University of Marine Science &amp; Technology; Museum National d'Histoire Naturelle (MNHN); National Institute of Water &amp; Atmospheric Research (NIWA) - New Zealand; Universite du Littoral-Cote-d'Opale; Australian Antarctic Division</t>
  </si>
  <si>
    <t>Koubbi, P (corresponding author), Univ Paris 06, UPMC, Lab Oceanog Villefranche, UMR 7093, BP 28, F-06234 Villefranche Sur Mer, France.</t>
  </si>
  <si>
    <t>koubbi@obs-vIfr.fr</t>
  </si>
  <si>
    <t>Pruvost, Patrice/E-5690-2011; Koubbi, Philippe/D-5873-2015</t>
  </si>
  <si>
    <t>10.1016/j.dsr2.2010.09.007</t>
  </si>
  <si>
    <t>WOS:000288470800017</t>
  </si>
  <si>
    <t>Strugnell, JM; Cherel, Y; Cooke, IR; Gleadall, IG; Hochberg, FG; Ibáñez, CM; Jorgensen, E; Laptikhovsky, VV; Linse, K; Norman, M; Vecchione, M; Voight, JR; Allcock, AL</t>
  </si>
  <si>
    <t>Strugnell, J. M.; Cherel, Y.; Cooke, I. R.; Gleadall, I. G.; Hochberg, F. G.; Ibanez, C. M.; Jorgensen, E.; Laptikhovsky, V. V.; Linse, K.; Norman, M.; Vecchione, M.; Voight, J. R.; Allcock, A. L.</t>
  </si>
  <si>
    <t>The Southern Ocean: Source and sink?</t>
  </si>
  <si>
    <t>Benthoctopus; Antarctic zone; Phylogenetics; Marine molluscs; Thermohaline circulation</t>
  </si>
  <si>
    <t>MOLECULAR PHYLOGENY; CEPHALOPODA OCTOPODIDAE; OCTOPUSES CEPHALOPODA; MOLLUSCA; SEA; REDESCRIPTION; MODEL; REGRESSION; GENUS; SP.</t>
  </si>
  <si>
    <t>Many members of the benthic fauna of the Antarctic continental shelf share close phylogenetic relationships to the deep-sea fauna adjacent to Antarctica and in other ocean basins. It has been suggested that connections between the Southern Ocean and the deep sea have been facilitated by the presence of a deep Antarctic continental shelf coupled with submerging Antarctic bottom water and emerging circumpolar deep water. These conditions may have allowed 'polar submergence', whereby shallow Southern Ocean fauna have colonised the deep sea and 'polar emergence', whereby deep-sea fauna colonised the shallow Southern Ocean. A recent molecular study showed that a lineage of deep-sea and Southern Ocean octopuses with a uniserial sucker arrangement on their arms appear to have arisen via polar submergence. A distantly related clade of octopuses with a biserial sucker arrangement on their arms (historically placed in the genus Benthoctopus) is also present in the deepsea basins of the world and the Southern Ocean. To date their evolutionary history has not been examined. The present study investigated the origins of this group using 3133 base pairs (bp) of nucleotide data from five mitochondrial genes (12S rRNA, 16S rRNA, cytochrome c oxidase subunit I. cytochrome c oxidase subunit III, cytochrome b) and the nuclear gene rhodopsin from at least 18 species (and 7 outgroup taxa). Bayesian relaxed clock analyses showed that Benthoctopus species with a high-latitude distribution in the Southern Hemisphere represent a paraphyletic group comprised of three independent clades. The results suggest that the Benthoctopus clade originated in relatively shallow Northern Hemisphere waters. Benthoctopus species distributed in the Southern Ocean are representative of polar emergence and occur at shallower depths than non-polar Benthoctopus species. (C) 2010 Elsevier Ltd. All rights reserved.</t>
  </si>
  <si>
    <t>[Strugnell, J. M.] La Trobe Univ, La Trobe Inst Mol Sci, Dept Genet, Bundoora, Vic 3086, Australia; [Strugnell, J. M.; Cooke, I. R.] Univ Cambridge, Dept Zool, Cambridge CB2 3EJ, England; [Cherel, Y.] CNRS, Ctr Etud Biol Chize, UPR 1934, F-79360 Villiers En Bois, France; [Cooke, I. R.] La Trobe Univ, La Trobe Inst Mol Sci, Dept Biochem, Bundoora, Vic 3086, Australia; [Gleadall, I. G.] Tohoku Univ, Fac Agr, Dept Appl Biosci, Sendai, Miyagi, Japan; [Hochberg, F. G.] Santa Barbara Museum Nat Hist, Dept Invertebrate Zool, Santa Barbara, CA 93105 USA; [Ibanez, C. M.] Univ Chile, Fac Ciencias, Lab Ecol Mol, Inst Ecol &amp; Biodiversidad,Dpto Ciencias Ecol, Santiago, Chile; [Jorgensen, E.] Natl Marine Fisheries Serv, NMFS, Alaska Fisheries Sci Ctr, NOAA, Seattle, WA 98115 USA; [Linse, K.] British Antarctic Survey, NERC, Cambridge CB3 0ET, England; [Norman, M.] Museum Victoria, Melbourne, Vic 3001, Australia; [Vecchione, M.] Natl Museum Nat Hist, NMFS Natl Systemat Lab, Smithsonian Inst, MRC 153, Washington, DC 20013 USA; [Voight, J. R.] Field Museum Nat Hist, Dept Zool, Chicago, IL 60605 USA; [Allcock, A. L.] Natl Univ Ireland Galway, Martin Ryan Marine Sci Inst, Galway, Ireland</t>
  </si>
  <si>
    <t>La Trobe University; University of Cambridge; Centre National de la Recherche Scientifique (CNRS); La Trobe University; Tohoku University; Universidad de Chile; National Oceanic Atmospheric Admin (NOAA) - USA; UK Research &amp; Innovation (UKRI); Natural Environment Research Council (NERC); NERC British Antarctic Survey; Museum Victoria; Smithsonian Institution; Smithsonian National Museum of Natural History; National Oceanic Atmospheric Admin (NOAA) - USA; Field Museum of Natural History (Chicago); Ollscoil na Gaillimhe-University of Galway</t>
  </si>
  <si>
    <t>Strugnell, JM (corresponding author), La Trobe Univ, La Trobe Inst Mol Sci, Dept Genet, Bundoora, Vic 3086, Australia.</t>
  </si>
  <si>
    <t>J.Strugnell@latrobe.edu.au; cherel@cebc.cnrs.fr; octopus@bios.tohoku.ac.jp; fghochberg@sbnature2.org; christianibez@yahoo.com; Elaina.Jorgensen@noaa.gov; vlaptikhovsky@Fisheries.gov.fk; kl@bas.ac.uk; mnorman@museum.vic.gov.au; VecchioneM@si.edu; jvoight@fieldmuseum.org; louise.allcock@gmail.com</t>
  </si>
  <si>
    <t>Ibáñez, Christian/AGK-8830-2022; Allcock, Louise/A-7359-2012; Norman, Marc D/A-2244-2008; Cooke, Ira R/B-4409-2008; Ibáñez, Christian M/B-9700-2009; Strugnell, Jan M/P-9921-2016</t>
  </si>
  <si>
    <t>Ibáñez, Christian/0000-0002-7390-2617; Allcock, Louise/0000-0002-4806-0040; Strugnell, Jan/0000-0003-2994-637X; Cooke, Ira/0000-0001-6520-1397; Linse, Katrin/0000-0003-3477-3047; Norman, Marc/0000-0002-1357-5415</t>
  </si>
  <si>
    <t>10.1016/j.dsr2.2010.05.015</t>
  </si>
  <si>
    <t>WOS:000288470800019</t>
  </si>
  <si>
    <t>Díaz, A; Féral, JP; David, B; Saucède, T; Poulin, E</t>
  </si>
  <si>
    <t>Diaz, A.; Feral, J. -P.; David, B.; Saucede, T.; Poulin, E.</t>
  </si>
  <si>
    <t>Evolutionary pathways among shallow and deep-sea echinoids of the genus Sterechinus in the Southern Ocean</t>
  </si>
  <si>
    <t>Sea urchins; Coastal zone; Deep water; Phylogeny; Biogeography; Evolutionary patterns; COI</t>
  </si>
  <si>
    <t>ANTARCTIC POLAR FRONT; SOFTWARE PACKAGE; BIOGEOGRAPHY; DNA; BIODIVERSITY; DIVERSITY; ECOLOGY; ORIGIN; COLD; PHYLOGENY</t>
  </si>
  <si>
    <t>Antarctica is structured by a narrow and deep continental shelf that sustains a remarkable number of benthic species. The origin of these species and their affinities with the deep-sea fauna that borders the continent shelf are not clear. To date, two main hypotheses have been considered to account for the evolutionary connection between the faunas: (1) either shallow taxa moved down to deep waters (submergence) or (2) deep-sea taxa colonized the continental shelf (emergence). The regular sea urchin genus Sterechinus is a good model to explore the evolutionary relationships among these faunas because its five nominal species include Antarctic and Subantarctic distributions and different bathymetric ranges. Phylogenetic relationships and divergence times among Sterechinus species were established using the COI mitochondrial gene by assuming a molecular clock hypothesis. The results showed the existence of two genetically distinct main groups. The first corresponds exclusively to the shallow-water Antarctic species S. neumayeri, while the second includes all the other nominal species, either deep or shallow. Antarctic or Subantarctic. Within the latter group, S. dentifer specimens all formed a monophyletic cluster, slightly divergent from all other specimens, which were mixed in a second cluster that included S. agassizi from the continental shelf of Argentina, S. diadema from the Kerguelen Plateau and S. antarcticus from the deep Antarctic shelf. These results suggest that the deeper-water species S. dentifer and S. antarcticus are more closely related to Subantarctic species than to the shallow Antarctic species S. neumayeri. Thus, for this genus, neither the submergence nor emergence scenario explains the relationships between Antarctic and deep-sea benthos. At least in the Weddell quadrant, the observed genetic pattern suggests an initial separation between Antarctic and Subantarctic shallow species, and a much later colonization of deep water from the Subantarctic region, probably promoted by the geomorphology of the Scotia Arc. (C) 2010 Elsevier Ltd. All rights reserved.</t>
  </si>
  <si>
    <t>[Diaz, A.; Poulin, E.] Univ Chile, Fac Ciencias, Inst Ecol &amp; Biodiversidad IEB, Dept Ciencias Ecol, Santiago, Chile; [Feral, J. -P.] Univ Mediterranee, CNRS, DIMAR, COM Stn Marine Endoume,UMR 6540, Marseille, France; [David, B.; Saucede, T.] Univ Bourgogne, CNRS, UMR 5561, Dijon, France</t>
  </si>
  <si>
    <t>Universidad de Chile; Centre National de la Recherche Scientifique (CNRS); Aix-Marseille Universite; Centre National de la Recherche Scientifique (CNRS); Universite de Bourgogne</t>
  </si>
  <si>
    <t>Díaz, A (corresponding author), Univ Chile, Fac Ciencias, Inst Ecol &amp; Biodiversidad IEB, Dept Ciencias Ecol, Santiago, Chile.</t>
  </si>
  <si>
    <t>angie.ddl@gmail.com</t>
  </si>
  <si>
    <t>Poulin, Elie/C-2654-2012; Feral, Jean-Pierre/C-8368-2012; FERAL, Jean-Pierre/A-8199-2008; FERAL, Jean-Pierre/M-9608-2019; DAVID, Bruno/N-8798-2013; Diaz, Angie/I-8033-2016</t>
  </si>
  <si>
    <t>Poulin, Elie/0000-0001-7736-0969; FERAL, Jean-Pierre/0000-0001-7627-0160; FERAL, Jean-Pierre/0000-0001-7627-0160; Diaz, Angie/0000-0003-4944-588X</t>
  </si>
  <si>
    <t>10.1016/j.dsr2.2010.10.012</t>
  </si>
  <si>
    <t>WOS:000288470800020</t>
  </si>
  <si>
    <t>Arango, CP; Soler-Membrives, A; Miller, KJ</t>
  </si>
  <si>
    <t>Arango, Claudia P.; Soler-Membrives, Anna; Miller, Karen J.</t>
  </si>
  <si>
    <t>Genetic differentiation in the circum-Antarctic sea spider Nymphon australe (Pycnogonida: Nymphonidae)</t>
  </si>
  <si>
    <t>Pycnogonida; Nymphonidae; Genetic diversity; Dispersal; Mitochondrial DNA; Phylogeography; Southern ocean; Antarctica; Weddell sea; East Antarctica</t>
  </si>
  <si>
    <t>MITOCHONDRIAL LINEAGES; ARTHROPODA; PHYLOGENY; EVOLUTION; PENINSULA; PATTERNS; ISOPODA; STAR; DNA</t>
  </si>
  <si>
    <t>Nymphon australe Hodgson 1902 is the most abundant species of sea spiders in the Southern Ocean. The species is recognised as highly morphologically variable, circumpolar and eurybathic-which is surprising given that sea spiders lack a planktonic stage; the fertilised eggs and larvae remain attached to the ovigers of the father, and consequently have limited dispersal capacity. In this study, we investigate the genetic structure of N. australe populations around Antarctica, confronting the apparent limited dispersal ability with its recognised circumpolarity. Here we analyse mitochondrial DNA of specimens from Antarctic Peninsula, Weddell Sea and East Antarctica to determine if they represent populations of the widespread N. australe or instead we can recognise cryptic species - and how genetically different they are. Both CO1 and 16S sequence data produced single haplotype networks for N. australe from all three Antarctic locations without indication of cryptic speciation. However, we found strong phylogeographic structure among the three Antarctic locations based on CO1 data. There was only a single shared haplotype between the Antarctic Peninsula and the East Antarctica locations, and all three regions were significantly subdivided from each other (F-ST=0.28, p&lt;0.01). Furthermore, within the Antarctic Peninsula and East Antarctic locations, we found evidence of genetic subdivision between populations of N. australe separated by 10-100 s of km (F-ST=0.07-0.22, p&lt;0.05), consistent with sea spiders life history traits indicating a limited dispersal capability. We conclude N. australe represents a single circum-Antarctic species that, despite its limited dispersal abilities, has successfully colonised large parts of the Antarctic marine ecosystem through geological history. However, clear genetic differences among and within locations indicate contemporary gene flow is limited, and that populations of N. australe around Antarctica are effectively isolated. Crown Copyright (C) 2010 Published by Elsevier Ltd. All rights reserved.</t>
  </si>
  <si>
    <t>[Arango, Claudia P.] Queensland Museum, Biodivers Program, Brisbane, Qld 4101, Australia; [Soler-Membrives, Anna] Univ Autonoma Barcelona, Unitat Zool, E-08193 Barcelona, Spain; [Miller, Karen J.] Univ Tasmania, Inst Antarctic &amp; So Ocean Studies, Hobart, Tas 7000, Australia; [Miller, Karen J.] Australian Antarctic Div, Hobart, Tas 7000, Australia</t>
  </si>
  <si>
    <t>Queensland Museum; Autonomous University of Barcelona; University of Tasmania; Australian Antarctic Division</t>
  </si>
  <si>
    <t>Arango, CP (corresponding author), Queensland Museum, Biodivers Program, POB 3300, Brisbane, Qld 4101, Australia.</t>
  </si>
  <si>
    <t>claudia.arango@qm.qld.gov.au; Anna.Soler@uab.cat; Karen.Miller@utas.edu.au</t>
  </si>
  <si>
    <t>Miller, Karen/A-7902-2011; Soler-Membrives, Anna/L-3169-2014; Rochette, Mally/JFS-0030-2023; Miller, Karen/V-4098-2019; /A-5531-2008</t>
  </si>
  <si>
    <t>Soler-Membrives, Anna/0000-0002-6543-8367; /0000-0003-1098-830X</t>
  </si>
  <si>
    <t>10.1016/j.dsr2.2010.05.019</t>
  </si>
  <si>
    <t>WOS:000288470800021</t>
  </si>
  <si>
    <t>Havermans, C; Nagy, ZT; Sonet, G; De Broyer, C; Martin, P</t>
  </si>
  <si>
    <t>Havermans, C.; Nagy, Z. T.; Sonet, G.; De Broyer, C.; Martin, P.</t>
  </si>
  <si>
    <t>DNA barcoding reveals new insights into the diversity of Antarctic species of Orchomene sensu lato (Crustacea: Amphipoda: Lysianassoidea)</t>
  </si>
  <si>
    <t>DNA barcoding; Genetic diversity; Species; Amphipoda; Lysianassoidea; Southern Ocean</t>
  </si>
  <si>
    <t>SOUTHERN-OCEAN; DEEP-SEA; EVOLUTIONARY PERSPECTIVE; MOLECULAR SYSTEMATICS; BIODIVERSITY; TAXONOMY; ISOPODA; IDENTIFICATION; PHYLOGENY; ORIGIN</t>
  </si>
  <si>
    <t>Recent molecular analyses revealed that several so-called circum-Antarctic benthic crustacean species appeared to be complexes of cryptic species with restricted distributions. In this study we used a DNA barcoding approach based on mitochondrial cytochrome oxidase I gene sequences in order to detect possible cryptic diversity and to test the circumpolarity of some lysianassoid species. The orchomenid genus complex consists of the genera Abyssorchomene, Falklandia, Orchomenella, Orchomenyx and Pseudorchomene. Species of this genus complex are found throughout the Southern Ocean and show a high species richness and level of endemism. In the majority of the studied species, a genetic homogeneity was found even among specimens from remote sampling sites, which indicates a possible circum-Antarctic and eurybathic distribution. In four investigated species (Orchomenella (Orchomenopsis) acanthurus, Orchomenella (Orchomenopsis) cavimanus, Orchomenella (Orchomenella) franklini and Orchomenella (Orchomenella) pinguides), genetically divergent lineages and possible cryptic taxa were revealed. After a detailed morphological analysis, O. (O.) pinguides appeared to be composed of two distinct species, formerly synonymized under O. (O.) pinguides. The different genetic patterns observed in these orchomenid species might be explained by the evolutionary histories undergone by these species and by their different dispersal and gene flow capacities. (C) 2010 Elsevier Ltd. All rights reserved.</t>
  </si>
  <si>
    <t>[Havermans, C.] Royal Belgian Inst Nat Sci, Dept Freshwater Biol, B-1000 Brussels, Belgium; [Havermans, C.] Catholic Univ Louvain, Marine Biol Lab, B-1348 Louvain, Belgium</t>
  </si>
  <si>
    <t>Royal Belgian Institute of Natural Sciences; Universite Catholique Louvain</t>
  </si>
  <si>
    <t>Havermans, C (corresponding author), Royal Belgian Inst Nat Sci, Dept Freshwater Biol, Rue Vautier 29, B-1000 Brussels, Belgium.</t>
  </si>
  <si>
    <t>chavermans@naturalsciences.be; zoltan-tamas.nagy@naturalsciences.be; gontran.sonet@naturalsciences.be; claude.debroyer@naturalsciences.be; patrick.martin@naturalsciences.be</t>
  </si>
  <si>
    <t>Martin, Patrick/V-9708-2019; Nagy, Zoltan T./C-6737-2011; Sonet, Gontran/G-7740-2018</t>
  </si>
  <si>
    <t>Martin, Patrick/0000-0002-6033-8412; Havermans, Charlotte/0000-0002-1126-4074; Sonet, Gontran/0000-0001-7310-9574</t>
  </si>
  <si>
    <t>10.1016/j.dsr2.2010.09.028</t>
  </si>
  <si>
    <t>WOS:000288470800023</t>
  </si>
  <si>
    <t>Allcock, AL; Barratt, I; Eléaume, M; Linse, K; Norman, MD; Smith, PJ; Steinke, D; Stevens, DW; Strugnell, JM</t>
  </si>
  <si>
    <t>Allcock, A. Louise; Barratt, Iain; Eleaume, Marc; Linse, Katrin; Norman, Mark D.; Smith, Peter J.; Steinke, Dirk; Stevens, Darren W.; Strugnell, Jan M.</t>
  </si>
  <si>
    <t>Cryptic speciation and the circumpolarity debate: A case study on endemic Southern Ocean octopuses using the COI barcode of life</t>
  </si>
  <si>
    <t>DNA barcoding; Pareledone; Ring species; Circumpolarity</t>
  </si>
  <si>
    <t>BIOLOGICAL IDENTIFICATIONS; MITOCHONDRIAL LINEAGES; SPECIES IDENTIFICATION; 1905 CEPHALOPODA; DNA BARCODES; WEDDELL SEA; OCTOPODIDAE; REVEALS; RADIATION; DISTANCE</t>
  </si>
  <si>
    <t>Three hundred and fifty specimens of the endemic Southern Ocean octopus genus Pareledone, were sequenced for the barcoding gene COI. Geographic coverage comprised the South Shetland Islands, the Ross Sea, Adelie Land, George V Land, the Weddell Sea, under the site of the former Larsen B ice shelf, Prydz Bay, the South Orkney Islands and the Amundsen Sea. The greatest number of specimens was captured at the three first-mentioned localities. At least 11 species were represented in the samples and the analyses revealed cryptic species. Six species were found to have extended distributions. Circumpolarity is supported for at least one species. Evidence is presented for a barrier to gene flow to the west of the Antarctic Peninsula, with haplotypes of P. aequipapillae becoming progressively more diverse in a clockwise direction from the South Shetland Islands to the Amundsen Sea. This pattern is akin to that seen in ring species, although we suggest that comparatively warm bottom water acts as a physical barrier preventing completion of the ring. (C) 2010 Elsevier Ltd. All rights reserved.</t>
  </si>
  <si>
    <t>[Allcock, A. Louise] Natl Univ Ireland Galway, Martin Ryan Marine Sci Inst, Galway, Ireland; [Allcock, A. Louise; Barratt, Iain] Queens Univ Belfast, Sch Biol Sci, Belfast BT9 7BL, Antrim, North Ireland; [Eleaume, Marc] UPMC, Museum Natl Hist Nat, BOREA, USM 401,UMR 7208,IRD 207, F-75005 Paris, France; [Linse, Katrin] British Antarctic Survey, NERC, Cambridge CB3 0ET, England; [Norman, Mark D.] Museum Victoria, Melbourne, Vic 3001, Australia; [Smith, Peter J.; Stevens, Darren W.] Natl Inst Water &amp; Atmospher Res NIWA, Wellington 6241, New Zealand; [Steinke, Dirk] Univ Guelph, Biodivers Inst Ontario, Canadian Ctr DNA Barcoding, Guelph, ON N1G 2W1, Canada; [Strugnell, Jan M.] La Trobe Univ, La Trobe Inst Mol Sci, Dept Genet, Bundoora, Vic 3086, Australia</t>
  </si>
  <si>
    <t>Ollscoil na Gaillimhe-University of Galway; Queens University Belfast; Centre National de la Recherche Scientifique (CNRS); Institut de Recherche pour le Developpement (IRD); Museum National d'Histoire Naturelle (MNHN); Sorbonne Universite; CNRS - Institute of Ecology &amp; Environment (INEE); UK Research &amp; Innovation (UKRI); Natural Environment Research Council (NERC); NERC British Antarctic Survey; Museum Victoria; National Institute of Water &amp; Atmospheric Research (NIWA) - New Zealand; University of Guelph; La Trobe University</t>
  </si>
  <si>
    <t>Allcock, AL (corresponding author), Natl Univ Ireland Galway, Martin Ryan Marine Sci Inst, Univ Rd, Galway, Ireland.</t>
  </si>
  <si>
    <t>louise.allcock@gmail.com; ibarratt01@qub.ac.uk; eleaume@mnhn.fr; k.linse@bas.ac.uk; mnorman@museum.vic.gov.au; p.smith@niwa.co.nz; dsteinke@uoguelph.ca; d.stevens@niwa.co.nz; J.Strugnell@latrobe.edu.au</t>
  </si>
  <si>
    <t>Allcock, Louise/A-7359-2012; Steinke, Dirk/D-4700-2009; Strugnell, Jan M/P-9921-2016</t>
  </si>
  <si>
    <t>Allcock, Louise/0000-0002-4806-0040; Linse, Katrin/0000-0003-3477-3047; Strugnell, Jan/0000-0003-2994-637X; Steinke, Dirk/0000-0002-8992-575X</t>
  </si>
  <si>
    <t>10.1016/j.dsr2.2010.05.016</t>
  </si>
  <si>
    <t>WOS:000288470800024</t>
  </si>
  <si>
    <t>Dettai, A; Lautredou, AC; Bonillo, C; Goimbault, E; Busson, F; Causse, R; Couloux, A; Cruaud, C; Duhamel, G; Denys, G; Hautecoeur, M; Iglesias, S; Koubbi, P; Lecointre, G; Moteki, M; Pruvost, P; Tercerie, S; Ozouf, C</t>
  </si>
  <si>
    <t>Dettai, A.; Lautredou, A. -C.; Bonillo, C.; Goimbault, E.; Busson, F.; Causse, R.; Couloux, A.; Cruaud, C.; Duhamel, G.; Denys, G.; Hautecoeur, M.; Iglesias, S.; Koubbi, P.; Lecointre, G.; Moteki, M.; Pruvost, P.; Tercerie, S.; Ozouf, C.</t>
  </si>
  <si>
    <t>The actinopterygian diversity of the CEAMARC cruises: Barcoding and molecular taxonomy as a multi-level tool for new findings</t>
  </si>
  <si>
    <t>Ichthyology; Identification; Molecular taxonomy; Antarctic zone; Barcode; Southern Ocean; Dumont d'Urville Sea</t>
  </si>
  <si>
    <t>SPECIES IDENTIFICATION; EVOLUTIONARY RATES; ROSS SEA; DNA; FISH; MITOCHONDRIAL; TELEOSTEI; SEQUENCES; PISCES; ARTEDIDRACONIDAE</t>
  </si>
  <si>
    <t>In the winter 2007-2008, the CAML-CEAMARC cruises prospected in the Eastern part of the Antarctic continental shelf (Dumont d'Urville Sea, off Terre Adelie). The Australian R/V Aurora Australis and the Japanese R/V Umitaka Maru sampled in locations and at depths previously uninvestigated in this region. In total, 538 teleost specimens collected during these cruises were sequenced for the mitochondrial cytochrome oxidase I gene (COI), with the goal of barcoding a representative sampling from the campaign. The efficiency of barcoding for identification has been questioned for some taxonomic groups, thus we compared the COI results for a few of the families and genera included here (genus Trematomus, Artedidraconidae, Liparidae) to results for other markers for the same specimens. To better explore intra- and interspecific variability, sequences from previous campaigns and public databases were added to the analysis for these groups. The congruence among the results for different genes (COI, cytochrome b, D-loop and the nuclear rhodopsin retrogene) and morphological identification was used to assess the efficiency of the COI dataset at recovering species delimited using other data. Where discrepancies were present among the different data sources, a morphological re-identification was performed. The partial COI sequence yields reliable identification in most Antarctic teleost families when using their position in the clusters on a NJ tree. However, for several groups of species neither COI nor the other molecular markers investigated nor morphology recover unambiguously the currently accepted species. The taxonomy of these groups needs to be reconsidered. Identification through sequence similarity using the Barcode of Life Data System (BOLD) works for some groups, but is hampered by the incompleteness of the taxonomic coverage for antarctic teleosts. For four families (Artedidraconidae, Zoarcidae, Liparidae and Channichthyidae), several interspecific divergences were very small, and of the same magnitude as intraspecific divergences for other antarctic species. Despite these small divergences, almost all the species investigated in artedidraconids have molecular synapomorphies in the COI sequences, and a barcoding gap from the closest species. In the genus Trematomus, almost all species are well separated except for two pairs of closely related species that could not be distinguished by the other molecular markers either. For the typically hard to identify zoarcids and liparids, the results of barcoding are in agreement with in-depth morphological study. Once a reasonably complete reference dataset is available, barcoding will be invaluable to discriminate species from one another in these families. A careful comparison of the morphological and molecular results for our specimens allowed us to add numerous well-identified specimens (including some rare species) and sequences to BOLD. It helped to pinpoint the specimens that needed to be re-identified morphologically, and highlighted groups where barcoding is most helpful for specimen identification (Chionodraco species). This large-scale project underlines the need for further taxonomic work in antarctic actinopterygians. (C) 2010 Elsevier Ltd. All rights reserved.</t>
  </si>
  <si>
    <t>[Dettai, A.; Lautredou, A. -C.; Bonillo, C.; Goimbault, E.; Lecointre, G.; Tercerie, S.; Ozouf, C.] Museum Natl Hist Nat, Dept Systemat &amp; Evolut, UMR 7138, F-75231 Paris 05, France; [Busson, F.; Causse, R.; Duhamel, G.; Denys, G.; Hautecoeur, M.; Iglesias, S.; Pruvost, P.] Museum Natl Hist Nat, Dept Milieux &amp; Peuplements Aquat, UMR 7208, F-75231 Paris 05, France; [Couloux, A.; Cruaud, C.] Ctr Natl Sequencage, F-91057 Evry, France; [Koubbi, P.] Univ Paris 06, Lab Oceanog Villefranche Sur Mer, UMR 7093, F-06230 Villefranche Sur Mer, France; [Moteki, M.] Tokyo Univ Marine Sci &amp; Technol, Dept Ocean Sci, Tokyo 1088477, Japan</t>
  </si>
  <si>
    <t>Museum National d'Histoire Naturelle (MNHN); Centre National de la Recherche Scientifique (CNRS); CNRS - National Institute for Biology (INSB); Sorbonne Universite; Centre National de la Recherche Scientifique (CNRS); CNRS - Institute of Ecology &amp; Environment (INEE); Institut de Recherche pour le Developpement (IRD); Museum National d'Histoire Naturelle (MNHN); Sorbonne Universite; Universite Paris Saclay; Sorbonne Universite; Centre National de la Recherche Scientifique (CNRS); CNRS - National Institute for Earth Sciences &amp; Astronomy (INSU); Tokyo University of Marine Science &amp; Technology</t>
  </si>
  <si>
    <t>Dettai, A (corresponding author), Museum Natl Hist Nat, Dept Systemat &amp; Evolut, UMR 7138, CP 26,43 Rue Cuvier, F-75231 Paris 05, France.</t>
  </si>
  <si>
    <t>adettai@mnhn.fr</t>
  </si>
  <si>
    <t>Pruvost, Patrice/E-5690-2011; Dettai, Agnes/Q-6743-2019; Koubbi, Philippe/D-5873-2015; Iglesias, Samuel Paco/ABH-9759-2020</t>
  </si>
  <si>
    <t>Iglesias, Samuel Paco/0000-0002-2926-9770; Cruaud, Corinne/0000-0002-4752-7278</t>
  </si>
  <si>
    <t>10.1016/j.dsr2.2010.05.021</t>
  </si>
  <si>
    <t>WOS:000288470800025</t>
  </si>
  <si>
    <t>O'Loughlin, PM; Paulay, G; Davey, N; Michonneau, F</t>
  </si>
  <si>
    <t>O'Loughlin, P. Mark; Paulay, Gustav; Davey, Niki; Michonneau, Francois</t>
  </si>
  <si>
    <t>The Antarctic region as a marine biodiversity hotspot for echinoderms: Diversity and diversification of sea cucumbers</t>
  </si>
  <si>
    <t>Speciation; Antarctica; Biogeography; Echinodermata; Holothuroidea; Diversification</t>
  </si>
  <si>
    <t>CRYPTIC SPECIATION; SPECIES-DIVERSITY; OCEAN BARRIERS; CRABS DECAPODA; HOLOTHUROIDEA; ORIGIN; DEEP; DNA; DIVERGENCE; GRADIENTS</t>
  </si>
  <si>
    <t>The Antarctic region is renowned for its isolated, unusual, diverse, and disharmonic marine fauna. Holothuroids are especially diverse, with 187 species (including 51 that are undescribed) recorded south of the Antarctic Convergence. This represents similar to 4% of the documented Antarctic marine biota, and similar to 10% of the world's holothuroid diversity. We present evidence that both inter-regional speciation with southern cold-temperate regions and intra-regional diversification has contributed to species richness. The Antarctic fauna is isolated, with few shallow-water Antarctic species known from north of the Convergence, yet several species show recent transgression of this boundary followed by genetic divergence. Interchange at longer time scales is evidenced by the scarcity of endemic genera (10 of 55) and occurrence of all six holothuroid orders within the region. While most Antarctic holothuroid morphospecies have circum-polar distributions, mtDNA sequence data demonstrate substantial geographic differentiation in many of these. Thus, most of the 37 holothuroid species recorded from shelf/slope depths in the Weddell Sea have also been found in collections from Prydz Bay and the Ross Sea. Yet 17 of 28 morphospecies and complexes studied show allopatric differentiation around the continent, on average into three divergent lineages each, suggesting that morphological data fails to reflect the level of differentiation. Interchange and local radiation of colonizers appear to have rapidly built diversity in the Antarctic, despite the potential of cold temperatures (and associated long generation times) to slow the rate of evolution. (c) 2010 Elsevier Ltd. All rights reserved.</t>
  </si>
  <si>
    <t>[O'Loughlin, P. Mark] Museum Victoria, Dept Marine Sci, Melbourne, Vic, Australia; [Paulay, Gustav; Michonneau, Francois] Univ Florida, Florida Museum Nat Hist, Gainesville, FL 32611 USA</t>
  </si>
  <si>
    <t>Museum Victoria; State University System of Florida; University of Florida</t>
  </si>
  <si>
    <t>O'Loughlin, PM (corresponding author), Museum Victoria, Dept Marine Sci, Melbourne, Vic, Australia.</t>
  </si>
  <si>
    <t>pmo@bigpond.net.au; paulay@flmnh.ufl.edu; n.davey@niwa.co.nz; francois.michonneau@gmail.com</t>
  </si>
  <si>
    <t>Paulay, Gustav/0000-0003-4118-9797; Michonneau, Francois/0000-0002-9092-966X</t>
  </si>
  <si>
    <t>10.1016/j.dsr2.2010.10.011</t>
  </si>
  <si>
    <t>WOS:000288470800026</t>
  </si>
  <si>
    <t>Bickert, T; Henrich, R</t>
  </si>
  <si>
    <t>Huneke, H; Mulder, T</t>
  </si>
  <si>
    <t>Bickert, Torsten; Henrich, Ruediger</t>
  </si>
  <si>
    <t>CLIMATE RECORDS OF DEEP-SEA SEDIMENTS: TOWARDS THE CENOZOIC ICE HOUSE</t>
  </si>
  <si>
    <t>DEEP-SEA SEDIMENTS</t>
  </si>
  <si>
    <t>Developments in Sedimentology</t>
  </si>
  <si>
    <t>ATMOSPHERIC CARBON-DIOXIDE; NORWEGIAN-GREENLAND SEA; CENTRAL-AMERICAN SEAWAY; LATE MIOCENE; NORTH-ATLANTIC; WATER CIRCULATION; ANTARCTIC GLACIATION; SOUTHERN-OCEAN; ODP SITE-1085; GRAIN-SIZE</t>
  </si>
  <si>
    <t>[Bickert, Torsten] Univ Bremen, Zentrum Marine Umweltwissensch, D-28359 Bremen, Germany; [Henrich, Ruediger] Univ Bremen, Fachbereich Geowissensch, D-28359 Bremen, Germany</t>
  </si>
  <si>
    <t>University of Bremen; University of Bremen</t>
  </si>
  <si>
    <t>Bickert, T (corresponding author), Univ Bremen, Zentrum Marine Umweltwissensch, D-28359 Bremen, Germany.</t>
  </si>
  <si>
    <t>tbickert@marum.de</t>
  </si>
  <si>
    <t>0070-4571</t>
  </si>
  <si>
    <t>978-0-08-093187-6; 978-0-44-453000-4</t>
  </si>
  <si>
    <t>DEVEL SEDIM</t>
  </si>
  <si>
    <t>10.1016/S0070-4571(11)63012-4</t>
  </si>
  <si>
    <t>Geology; Oceanography</t>
  </si>
  <si>
    <t>BA8AQ</t>
  </si>
  <si>
    <t>WOS:000337925700013</t>
  </si>
  <si>
    <t>Villalba, R; Luckman, BH; Boninsegna, J; D'Arrigo, RD; Lara, A; Villanueva-Diaz, J; Masiokas, M; Argollo, J; Soliz, C; LeQuesne, C; Stahle, DW; Roig, F; Aravena, JC; Hughes, MK; Wiles, G; Jacoby, G; Hartsough, P; Wilson, RJS; Watson, E; Cook, ER; Cerano-Paredes, J; Therrell, M; Cleaveland, M; Morales, MS; Graham, NE; Moya, J; Pacajes, J; Massacchesi, G; Biondi, F; Urrutia, R; Pastur, GM</t>
  </si>
  <si>
    <t>Hughes, MK; Swetnam, TW; Diaz, HF</t>
  </si>
  <si>
    <t>Villalba, Ricardo; Luckman, Brian H.; Boninsegna, Jose; D'Arrigo, Rosanne D.; Lara, Antonio; Villanueva-Diaz, Jose; Masiokas, Mariano; Argollo, Jaime; Soliz, Claudia; LeQuesne, Carlos; Stahle, David W.; Roig, Fidel; Carlos Aravena, Juan; Hughes, Malcolm K.; Wiles, Gregory; Jacoby, Gordon; Hartsough, Peter; Wilson, Robert J. S.; Watson, Emma; Cook, Edward R.; Cerano-Paredes, Julian; Therrell, Matthew; Cleaveland, Malcolm; Morales, Mariano S.; Graham, Nicholas E.; Moya, Jorge; Pacajes, Jeanette; Massacchesi, Guillermina; Biondi, Franco; Urrutia, Rocio; Martinez Pastur, Guillermo</t>
  </si>
  <si>
    <t>Dendroclimatology from Regional to Continental Scales: Understanding Regional Processes to Reconstruct Large-Scale Climatic Variations Across the Western Americas</t>
  </si>
  <si>
    <t>DENDROCLIMATOLOGY: PROGRESS AND PROSPECTS</t>
  </si>
  <si>
    <t>Developments in Paleoenvironmental Research</t>
  </si>
  <si>
    <t>Dendrochronology; Regional scale; Continental scale; Climate variations; Americas</t>
  </si>
  <si>
    <t>AIR-TEMPERATURE VARIATIONS; TROPICAL PACIFIC; CENTRAL CHILE; EL-NINO; PRECIPITATION VARIABILITY; ATMOSPHERIC CIRCULATION; SOUTHERN-OSCILLATION; RAINFALL VARIABILITY; NORTHERN-HEMISPHERE; SUMMER TEMPERATURES</t>
  </si>
  <si>
    <t>Common patterns of climatic variability across the Western Americas are modulated by tropical and extra-tropical oscillatory modes operating at different temporal scales. Interannual climatic variations in the tropics and subtropics of the Western Americas are largely regulated by El Nino-Southern Oscillation (ENSO), whereas decadal-scale variations are induced by long-term Pacific modes of climate variability such as the Pacific Decadal Oscillation (PDO). At higher latitudes, climate variations are dominated by oscillations in the Annular Modes (the Arctic and Antarctic Oscillations) which show both interannual and longer-scale temporal oscillations. Here we use a recently-developed network of tree-ring chronologies to document past climatic variations along the length of the Western Cordilleras. The local and regional characterization of the relationships between climate and tree-growth provide the basis to compare climatic variations in temperature- and precipitation-sensitive records in the Western Americas over the past 3-4 centuries. Upper-elevation records from tree-ring sites in the Gulf of Alaska and Patagonia reveal the occurrence of concurrent decade-scale oscillations in temperature during the last 400 years modulated by PDO. The most recent fluctuation from the cold- to the warm-phase of the PDO in the mid 1970s induced marked changes in tree growth in most extratropical temperature-sensitive chronologies in the Western Cordilleras of both Hemispheres. Common patterns of interannual variations in tree-ring chronologies from the relatively-dry subtropics in western North and South America are largely modulated by ENSO. We used an independent reconstruction of Nino-3 sea surface temperature (SST) to document relationships to tree growth in the southwestern US, the Bolivian Altiplano and Central Chile and also to show strong correlations between these regions. These results further document the strong influence of SSTs in the tropical Pacific as a common forcing of precipitation variations in the subtropical Western America during the past 3-4 centuries. Common patterns of interdecadal or longer-scale variability in tree-ring chronologies from the subarctic and subantarctic regions also suggest common foreings for the annular modes of high-latitude climate variability. A clear separation of the relative influence of tropical versus high-latitude modes of variability is currently difficult to establish: discriminating between tropical and extra-tropical influences on tree growth still remains elusive, particularly in subtropical and temperate regions along our transect. We still need independent reconstructions of tropical and polar modes of climate variability to gain insight into past forcing interactions and the combined effect on climates of the Western Americas. Finally, we also include a series of brief examples (as 'boxes') illustrating some of the major regional developments in dendrochronology over this global transect in the last 10 years.</t>
  </si>
  <si>
    <t>[Villalba, Ricardo; Boninsegna, Jose; Masiokas, Mariano; Roig, Fidel; Morales, Mariano S.] Consejo Nacl Invest Cient &amp; Tecn, Dept Dendrocronol &amp; Hist Ambiental, Inst Argentino Nivol Glaciol &amp; Ciencias Ambiental, RA-5500 Mendoza, Argentina; [Therrell, Matthew] So Illinois Univ, Carbondale, IL 62901 USA; [Lara, Antonio; LeQuesne, Carlos; Moya, Jorge; Urrutia, Rocio] Univ Austral Chile, Inst Silvicultura, Lab Dendrocronol, Valdivia, Chile; [Wiles, Gregory] Coll Wooster, Wooster, OH 44691 USA; [Wilson, Robert J. S.] Univ St Andrews, Dept Geog, St Andrews, Fife, Scotland; [Villanueva-Diaz, Jose; Cerano-Paredes, Julian] INIFAP CENID RASPA, Inst Nacl Invest Forestales &amp; Agr, Gomez Palacio 35140, Durango, Mexico; [Cleaveland, Malcolm] Univ Arkansas, Dept Geosci, Tree Ring Lab, Fayetteville, AR 72701 USA; [Argollo, Jaime; Soliz, Claudia; Pacajes, Jeanette] Univ Mayor de San Andres, Fac Ciencias Geol, Lab Dendrocronol &amp; Hist Ambiental, La Paz, Bolivia; [D'Arrigo, Rosanne D.; Jacoby, Gordon; Cook, Edward R.] Columbia Univ, Tree Ring Lab, Lamont Doherty Earth Observ, Palisades, NY 10964 USA; [Hartsough, Peter] Univ Calif Davis, Dept Land Air &amp; Water Resources, Davis, CA 95618 USA; [Hughes, Malcolm K.] Univ Arizona, Tree Ring Res Lab, Tucson, AZ 85721 USA; [Luckman, Brian H.] Univ Western Ontario, Dept Geog, London, ON N6A 5C2, Canada; [Martinez Pastur, Guillermo] Consejo Nacl Invest Cient &amp; Tecn, Ctr Austral Invest Cient CADIC, Tierra Del Fuego, Argentina; [Biondi, Franco] Univ Nevada, Dept Geog, Reno, NV 89557 USA; [Carlos Aravena, Juan] Univ Magallanes, Ctr Estudios Cuaternarios CEQUA, Punta Arenas, Chile; [Massacchesi, Guillermina] Adm Parques Nacl, Ushuaia, Tierra Del Fueg, Argentina</t>
  </si>
  <si>
    <t>Consejo Nacional de Investigaciones Cientificas y Tecnicas (CONICET); Southern Illinois University System; Southern Illinois University; Universidad Austral de Chile; University System of Ohio; College of Wooster; University of St Andrews; University of Arkansas System; University of Arkansas Fayetteville; Universidad Mayor de San Andres; Columbia University; University of California System; University of California Davis; University of Arizona; Western University (University of Western Ontario); Consejo Nacional de Investigaciones Cientificas y Tecnicas (CONICET); Nevada System of Higher Education (NSHE); University of Nevada Reno; Universidad de Magallanes</t>
  </si>
  <si>
    <t>Villalba, R (corresponding author), Consejo Nacl Invest Cient &amp; Tecn, Dept Dendrocronol &amp; Hist Ambiental, Inst Argentino Nivol Glaciol &amp; Ciencias Ambiental, CC 330, RA-5500 Mendoza, Argentina.</t>
  </si>
  <si>
    <t>ricardo@mendoza-conicet.gob.ar; luckman@uwo.ca; pbonin@lab.cricyt.edu.ar; rdd@ldgo.columbia.edu; antoniolara@uach.cl; villanueva.jose@inifap.gob.mx; mmasiokas@mendoza-conicet.gov.ar; jargollo@ceibo.entelnet.bo; SolizGamboa@uu.nl; clequesn@uach.cl; dstahle@uark.edu; froig@lab.cricyt.edu.ar; juan.aravena@cequa.cl; mhughes@ltrr.arizona.edu; gwiles@wooster.edu; druid@ldeo.columbia.edu; phartsough@ucdavis.edu; rjsw@st-andrews.ac.uk; emma.watson@rogers.com; drdendro@ldeo.columbia.edu; cerano.julian@inifap.gob.mx; therrell@siu.edu; mcleavel@uark.edu; mmorales@mendoza-conicet.gov.ar; ngraham@hrc-lab.org; jorgemoya@uach.cl; jane_pacajes@yahoo.com; gmassaccesi@apn.gov.ar; fbiondi@unr.edu; rociourrutia@uach.cl; cadicforesta1@cadic.gov.ar</t>
  </si>
  <si>
    <t>Wilson, Robert/S-9147-2016; Biondi, Franco/G-2536-2010; Hartsough, Peter C./B-6104-2008; Martínez Pastur, Guillermo J./H-8188-2014; Hughes, Malcolm/F-3350-2014; Therrell, Matthew/N-8487-2016</t>
  </si>
  <si>
    <t>Wilson, Robert/0000-0003-4486-8904; Biondi, Franco/0000-0003-0651-104X; Martínez Pastur, Guillermo J./0000-0003-2614-5403; Hughes, Malcolm/0000-0003-1062-3167; Therrell, Matthew/0000-0002-9174-6005; Hartsough, Peter/0000-0001-7888-8028</t>
  </si>
  <si>
    <t>1571-5299</t>
  </si>
  <si>
    <t>978-1-4020-4010-8</t>
  </si>
  <si>
    <t>DEV PALEOENVIRON RES</t>
  </si>
  <si>
    <t>Dev. Paleoenviron. Res.</t>
  </si>
  <si>
    <t>10.1007/978-1-4020-5725-0_7</t>
  </si>
  <si>
    <t>10.1007/978-1-4020-5725-0</t>
  </si>
  <si>
    <t>Environmental Sciences; Paleontology</t>
  </si>
  <si>
    <t>Environmental Sciences &amp; Ecology; Paleontology</t>
  </si>
  <si>
    <t>BYN49</t>
  </si>
  <si>
    <t>WOS:000299442400007</t>
  </si>
  <si>
    <t>Crouzet, N; Guillot, T; Agabi, K; Daban, JB; Abe, L; Mekarnia, D; Rivet, JP; Fanteï-Caujolle, Y; Fressin, F; Gouvret, C; Schmider, FX; Valbousquet, F; Blazit, A; Rauer, H; Erikson, A; Fruth, T; Aigrain, S; Pont, F; Barbieri, M</t>
  </si>
  <si>
    <t>Bouchy, F; Diaz, R; Moutou, C</t>
  </si>
  <si>
    <t>Crouzet, N.; Guillot, T.; Agabi, K.; Daban, J. -B.; Abe, L.; Mekarnia, D.; Rivet, J. -P.; Fantei-Caujolle, Y.; Fressin, F.; Gouvret, C.; Schmider, F. -X.; Valbousquet, F.; Blazit, A.; Rauer, H.; Erikson, A.; Fruth, T.; Aigrain, S.; Pont, F.; Barbieri, M.</t>
  </si>
  <si>
    <t>ASTEP: Towards the detection and characterization of exoplanets from Dome C</t>
  </si>
  <si>
    <t>DETECTION AND DYNAMICS OF TRANSITING EXOPLANETS</t>
  </si>
  <si>
    <t>EPJ Web of Conferences</t>
  </si>
  <si>
    <t>International Conference on Transiting Planets - Detection and Dynamics</t>
  </si>
  <si>
    <t>AUG 23-27, 2010</t>
  </si>
  <si>
    <t>FRANCE</t>
  </si>
  <si>
    <t>The ASTEP project (Antarctic Search for Transiting ExoPlanets), aims at testing the quality of the Dome C site in Antarctica for photometry in the visible, as well as detecting and characterizing transiting exoplanets. A dedicated telescope, ASTEP400, has been developped and installed at Concordia. The first campaign took place during the winter 2010, and the telescope functionned nominally during all the winter. A first analysis of the data leads to a precision of 189 and 205 ppm for WASP-19 and WASP-18 respectively, for continuous observations during 1 month. This shows that extremely high precision photometry is achievable from Dome C.</t>
  </si>
  <si>
    <t>[Crouzet, N.; Guillot, T.; Agabi, K.; Daban, J. -B.; Abe, L.; Mekarnia, D.; Rivet, J. -P.; Fantei-Caujolle, Y.; Gouvret, C.; Schmider, F. -X.; Blazit, A.] Univ Nice Sophia Antipolis, CNRS, Observ Cote Azur, Nice, France; [Fressin, F.] Harvard Smithsonian Ctr Astrophys, Cambridge, MA 02138 USA; [Valbousquet, F.] Opt Vis, Juanles les Pins, France; [Rauer, H.; Erikson, A.; Fruth, T.] DLR Inst Planetary Res, Berlin, Germany; [Rauer, H.] Tech Univ Berlin, Ctr Astron &amp; Astrophys, Berlin, Germany; [Aigrain, S.] Oxford Astrophys, Dept Phys, Oxford, England; [Pont, F.] Univ Exeter, Sch Phys, Exeter, Devon, England; [Barbieri, M.] Univ Padua, Dept Astron, Padua, Italy</t>
  </si>
  <si>
    <t>Universite Cote d'Azur; Observatoire de la Cote d'Azur; Centre National de la Recherche Scientifique (CNRS); Smithsonian Astrophysical Observatory; Smithsonian Institution; Harvard University; Helmholtz Association; German Aerospace Centre (DLR); Technical University of Berlin; University of Oxford; University of Exeter; University of Padua</t>
  </si>
  <si>
    <t>Crouzet, N (corresponding author), Univ Nice Sophia Antipolis, CNRS, Observ Cote Azur, Nice, France.</t>
  </si>
  <si>
    <t>crouzet@oca.eu</t>
  </si>
  <si>
    <t>Barbieri, Mauro/W-4602-2017; Schmider, François-Xavier/C-5435-2012</t>
  </si>
  <si>
    <t>Barbieri, Mauro/0000-0001-8362-3462; Pont, Frederic/0000-0003-0076-5444; Guillot, Tristan/0000-0002-7188-8428; Schmider, Francois-Xavier/0000-0003-3914-3546; Aigrain, Suzanne/0000-0003-1453-0574</t>
  </si>
  <si>
    <t>2100-014X</t>
  </si>
  <si>
    <t>EPJ WEB CONF</t>
  </si>
  <si>
    <t>10.1051/epjconf/20111106001</t>
  </si>
  <si>
    <t>BUU70</t>
  </si>
  <si>
    <t>WOS:000290390000040</t>
  </si>
  <si>
    <t>Gao, S; Qu, TD; Fukumori, I</t>
  </si>
  <si>
    <t>Gao, Shan; Qu, Tangdong; Fukumori, Ichiro</t>
  </si>
  <si>
    <t>Effects of mixing on the subduction of South Pacific waters identified by a simulated passive tracer and its adjoint</t>
  </si>
  <si>
    <t>DYNAMICS OF ATMOSPHERES AND OCEANS</t>
  </si>
  <si>
    <t>Subduction; Mixing; Tracer; South Pacific</t>
  </si>
  <si>
    <t>NORTH-PACIFIC; MIXED-LAYER; MODE WATERS; OCEAN; CIRCULATION; THERMOCLINE; CLIMATOLOGY; PATHWAY; ORIGIN; GCM</t>
  </si>
  <si>
    <t>Effects of mixing on water mass subduction are analyzed in the South Pacific Ocean. Model simulations using a passive tracer and its adjoint are employed in conjunction with a particle tracking method to distinguish effects of mixing from those of advection. The results show that mixing processes can contribute to as much as 20% of the overall subduction rate in the South Pacific. Of this mixing contribution, about 30% can be attributed to meso-scale eddies, including their associated bolus transport, while the major part (70%) is due to other diabatic processes. The impact of mixing reaches its maximum near the Sub-Antarctic Front, accounting for nearly 30% of the total subduction rate. Consequently, estimates based on tracing particles or on advection alone may significantly underestimate the subduction rate in the South Pacific Ocean. (C) 2010 Elsevier B.V. All rights reserved.</t>
  </si>
  <si>
    <t>[Gao, Shan] Chinese Acad Sci, Inst Oceanol, Qingdao 266071, PR, Peoples R China; [Qu, Tangdong] Univ Hawaii Manoa, SOEST, Int Pacific Res Ctr, Honolulu, HI 96822 USA; [Fukumori, Ichiro] CALTECH, Jet Prop Lab, Pasadena, CA USA</t>
  </si>
  <si>
    <t>Chinese Academy of Sciences; Institute of Oceanology, CAS; University of Hawaii System; University of Hawaii Manoa; National Aeronautics &amp; Space Administration (NASA); NASA Jet Propulsion Laboratory (JPL); California Institute of Technology</t>
  </si>
  <si>
    <t>Gao, S (corresponding author), Chinese Acad Sci, Inst Oceanol, 7 Nanhai Rd, Qingdao 266071, PR, Peoples R China.</t>
  </si>
  <si>
    <t>gaoshan@qdio.ac.cn</t>
  </si>
  <si>
    <t>Fukumori, Ichiro/AAY-9005-2020; gao, shan/H-7959-2013</t>
  </si>
  <si>
    <t>Fukumori, Ichiro/0000-0002-0882-6400; gao, shan/0000-0003-4510-5028</t>
  </si>
  <si>
    <t>Chinese Academy of Sciences [KZCX2-YW-Q11-02]; National Basic Research Program of China [2007CB411802]; National Science Foundation of China [40876011]; NSF [OCE06-23533]; JAMSTEC; NASA; NOAA</t>
  </si>
  <si>
    <t>Chinese Academy of Sciences(Chinese Academy of Sciences); National Basic Research Program of China(National Basic Research Program of China); National Science Foundation of China(National Natural Science Foundation of China (NSFC)); NSF(National Science Foundation (NSF)); JAMSTEC; NASA(National Aeronautics &amp; Space Administration (NASA)); NOAA(National Oceanic Atmospheric Admin (NOAA) - USA)</t>
  </si>
  <si>
    <t>S. Gao was supported by the Knowledge Innovation Program of the Chinese Academy of Sciences through grant KZCX2-YW-Q11-02, National Basic Research Program of China through Grant 2007CB411802 and the National Science Foundation of China through grant 40876011. T. Qu was supported by NSF through grant OCE06-23533 and by JAMSTEC, NASA, and NOAA through their sponsorship of research activities at the International Pacific Research Center (IPRC). Work by I. Fukumori was carried out at the Jet Propulsion Laboratory, California Institute of Technology, under contract with NASA. The authors are grateful to Z. Xing, I.-L. Tang, R.T. Goo and Y. Shen for constant assistance in processing the ECCO outputs and language polishing. SOEST contribution number 8053 and IPRC contribution number IPRC-738.</t>
  </si>
  <si>
    <t>0377-0265</t>
  </si>
  <si>
    <t>DYNAM ATMOS OCEANS</t>
  </si>
  <si>
    <t>Dyn. Atmos. Oceans</t>
  </si>
  <si>
    <t>10.1016/j.dynatmoce.2010.10.002</t>
  </si>
  <si>
    <t>Geochemistry &amp; Geophysics; Meteorology &amp; Atmospheric Sciences; Oceanography</t>
  </si>
  <si>
    <t>720LB</t>
  </si>
  <si>
    <t>WOS:000287281100003</t>
  </si>
  <si>
    <t>Stone, P; Thomson, MRA; Rushton, AWA</t>
  </si>
  <si>
    <t>Stone, P.; Thomson, M. R. A.; Rushton, A. W. A.</t>
  </si>
  <si>
    <t>An Early Cambrian archaeocyath-trilobite fauna in limestone erratics from the Upper Carboniferous Fitzroy Tillite Formation, Falkland Islands</t>
  </si>
  <si>
    <t>EARTH AND ENVIRONMENTAL SCIENCE TRANSACTIONS OF THE ROYAL SOCIETY OF EDINBURGH</t>
  </si>
  <si>
    <t>Antarctica; Dwyka Group; glaciation; Gondwana; Lafonia Group; South Africa; Transantarctic Mountains</t>
  </si>
  <si>
    <t>LATE PALEOZOIC GLACIATION; SOUTH-AUSTRALIA; GONDWANA; PALEOGEOGRAPHY; SEDIMENTOLOGY; STRATIGRAPHY; EVOLUTION; DEPOSITS; AFRICA; BLOCKS</t>
  </si>
  <si>
    <t>Rare clasts of limestone contained in the uppermost Carboniferous Fitzroy Tillite Formation of the Falkland Islands contain a rich Cambrian fauna of archaeocyaths together with a radiocyath and a few trilobites. Neither Cambrian strata nor limestone are present in the indigenous rock succession and the clasts are regarded as exotic erratics, introduced during the Permo-Carboniferous glaciation of southern Gondwana, prior to its Mesozoic break-up. Nineteen archaeocyath taxa have been identified, with seven (plus a radiocyath) occurring in a single clast. Trilobite identifications are less definitive, but they are compared to Yorkella and the Siberian genera Edelsteinaspis, Namanoia and Chondrinouyina. The archaeocyath fauna has an Australo-Antarctic character and the Transantarctic Mountains seem the most likely source for these unusual erratics. Most recent reconstructions of Gondwana rotate a Falklands microplate into a position between South Africa and East Antarctica. There, it is in proximity with the Eastern Cape Province, where tillites within the Permo-Carboniferous Dwyka Group are correlatives of the Fitzroy Tillite Formation, and the 'Atlantic' end of the Transantarctic Mountains. The Dwyka Group tillites also contain rare clasts of archaeocyathan limestone and the rotational reconstruction produces a continuity of the apparent ice-flow directions in South Africa and the Falkland Islands.</t>
  </si>
  <si>
    <t>[Stone, P.] British Geol Survey, Edinburgh EH9 3LA, Midlothian, Scotland; [Thomson, M. R. A.] Univ Leeds, Sch Earth &amp; Environm, Leeds LS2 9JT, W Yorkshire, England; [Rushton, A. W. A.] Nat Hist Museum, Dept Palaeontol, London SW7 5BD, England; [Rushton, A. W. A.] British Geol Survey, Keyworth NG12 5GG, Notts, England</t>
  </si>
  <si>
    <t>UK Research &amp; Innovation (UKRI); Natural Environment Research Council (NERC); NERC British Geological Survey; University of Leeds; Natural History Museum London; UK Research &amp; Innovation (UKRI); Natural Environment Research Council (NERC); NERC British Geological Survey</t>
  </si>
  <si>
    <t>Stone, P (corresponding author), British Geol Survey, Murchison House,W Mains Rd, Edinburgh EH9 3LA, Midlothian, Scotland.</t>
  </si>
  <si>
    <t>psto@bgs.ac.uk</t>
  </si>
  <si>
    <t>NERC [bgs010024] Funding Source: UKRI; Natural Environment Research Council [bgs010024] Funding Source: researchfish</t>
  </si>
  <si>
    <t>1755-6910</t>
  </si>
  <si>
    <t>1755-6929</t>
  </si>
  <si>
    <t>EARTH ENV SCI T R SO</t>
  </si>
  <si>
    <t>Earth Environ. Sci. Trans. R. Soc. Edinb.</t>
  </si>
  <si>
    <t>10.1017/S175569101101005X</t>
  </si>
  <si>
    <t>Geosciences, Multidisciplinary; Paleontology</t>
  </si>
  <si>
    <t>070TQ</t>
  </si>
  <si>
    <t>WOS:000313534600001</t>
  </si>
  <si>
    <t>Uprety, S; Cao, CY</t>
  </si>
  <si>
    <t>Butler, JJ; Xiong, X; Gu, X</t>
  </si>
  <si>
    <t>Uprety, Sirish; Cao, Changyong</t>
  </si>
  <si>
    <t>Using the Dome C Site to Characterize AVHRR Near-Infrared Channel for Consistent Radiometric Calibration</t>
  </si>
  <si>
    <t>EARTH OBSERVING SYSTEMS XVI</t>
  </si>
  <si>
    <t>Conference on Earth Observing Systems XVI</t>
  </si>
  <si>
    <t>AUG 23-25, 2011</t>
  </si>
  <si>
    <t>San Diego, CA</t>
  </si>
  <si>
    <t>AVHRR NIR channel; afternoon orbit; Dome C; BRDF; Hyperion; water vapor; AVHRR bias</t>
  </si>
  <si>
    <t>HIGH-RESOLUTION RADIOMETER; BIDIRECTIONAL REFLECTANCE; SNOW; SPACECRAFT</t>
  </si>
  <si>
    <t>AVHRR is a heritage instrument on NOAA's polar orbiting satellites with more than 30 years of global earth observation. Due to absence of onboard calibrator for the visible and near-infrared channels, AVHRR sensors rely on desert sites for relative calibration with uncertainties primarily due to lack of rigorous site characterization and atmospheric effects. This study aims at quantifying the long term degradation of the near-infrared channel (0.86 mu m) of AVHRR using the Antarctic Dome C site which has very small atmospheric effects. All afternoon-orbit NOAA series AVHRR instruments are included in this study. Though the TOA reflectance data exists only during austral summer for Dome C, the degradation estimated using TOA reflectance time series for the respective instruments is comparable to those from the previous studies. The degradation estimated suggests that NOAA-7 and -9 have the largest calibration drift (greater than -3% per year) compared to the other instruments which have less than -1.5% drift per year. The AVHRR channel 2 (0.86 mu m) calibration using desert sites has always been challenging due to high uncertainty mainly introduced by the presence of water vapor absorption at this wavelength. The study shows that, due to the extremely cold and dry climate of Dome C, the water vapor absorption effect is negligible and thus it is possible to calibrate near-infrared channel (0.86 mu m) with calibration uncertainty less than 1%.</t>
  </si>
  <si>
    <t>[Uprety, Sirish] Dell Serv Fed Govt, Fairfax, VA 22031 USA; [Cao, Changyong] NOAA, NESDIS, STAR, College Pk, MD 20740 USA</t>
  </si>
  <si>
    <t>National Oceanic Atmospheric Admin (NOAA) - USA</t>
  </si>
  <si>
    <t>Uprety, S (corresponding author), Dell Serv Fed Govt, Fairfax, VA 22031 USA.</t>
  </si>
  <si>
    <t>Cao, Changyong/AAP-7605-2021</t>
  </si>
  <si>
    <t>Cao, Changyong/0000-0003-3572-6525</t>
  </si>
  <si>
    <t>JPSS program</t>
  </si>
  <si>
    <t>This study is partially funded by the JPSS program. The authors would like to thank Dr. Tiejun Chang, Dr. Ruiyue Chen and Mr. Michael Grotenhuis for their review with valuable comments. The manuscript contents are solely the opinions of the authors and do not constitute a statement of policy, decision, or position on behalf of NOAA or the U.S. government.</t>
  </si>
  <si>
    <t>978-0-81948-763-6</t>
  </si>
  <si>
    <t>81531Y</t>
  </si>
  <si>
    <t>10.1117/12.892481</t>
  </si>
  <si>
    <t>Astronomy &amp; Astrophysics; Optics</t>
  </si>
  <si>
    <t>BXZ18</t>
  </si>
  <si>
    <t>WOS:000297670900058</t>
  </si>
  <si>
    <t>Wu, A; Angal, A; Xiong, X</t>
  </si>
  <si>
    <t>Wu, A.; Angal, A.; Xiong, X.</t>
  </si>
  <si>
    <t>Using MODIS to calibrate NOAA series AVHRR reflective solar channels</t>
  </si>
  <si>
    <t>AVHRR; calibration; MODIS; desert; BRDF</t>
  </si>
  <si>
    <t>Nearly 30 years of continuous observations made by a series of AVHRR sensors have offered a great potential for studies of global environment and climate change. In order to achieve this objective, each sensor must be accurately and consistently calibrated. This is not an easy task as there is no onboard calibrator for AVHRR reflective solar channels and vicarious calibration often needs to accumulate enough observations to derive useful trends. In this study, we select CEOS (the Committee on Earth Observation Satellites) endorsed Cal/Val desert sites to track the long-term stability of reflective solar channels of NOAA-17 AVHRR (launched on June 24, 2002) and re-calibrate them using well-calibrated MODIS as reference. A site-specific Bi-directional Reflectance Distribution Function (BRDF) developed based on observations made by MODIS is used to normalize AVHRR observed reflectances. Impacts of atmospheric water vapor on AVHRR to MODIS reflectance ratios are corrected with measured total water vapor contents derived from the split-window temperature difference technique. Finally, MODIS-based AVHRR calibration coefficients on top of the AVHRR prelaunch values are provided in time-dependent look-up tables (LUT). A further validation is performed using MODIS and AVHRR observations obtained over Antarctic Dome C site where impact due to atmospheric water vapor is negligibly small.</t>
  </si>
  <si>
    <t>[Wu, A.] Sigma Space Corp, 4801 Forbes Blvd, Lanham, MD 20706 USA; [Angal, A.] Sci Syst &amp; Appl Inc, Lanham, MD 20706 USA; [Xiong, X.] NASA, Goddard Space Flight Ctr, Sci &amp; Explorat, Greenbelt, MD 20771 USA</t>
  </si>
  <si>
    <t>National Aeronautics &amp; Space Administration (NASA); NASA Goddard Space Flight Center</t>
  </si>
  <si>
    <t>Wu, A (corresponding author), Sigma Space Corp, 4801 Forbes Blvd, Lanham, MD 20706 USA.</t>
  </si>
  <si>
    <t>Xiong, Xiaoxiong (Jack)/J-9869-2012</t>
  </si>
  <si>
    <t>10.1117/12.892602</t>
  </si>
  <si>
    <t>WOS:000297670900037</t>
  </si>
  <si>
    <t>Bajo, K; Akaida, T; Ohashi, N; Noguchi, T; Nakamura, T; Nakamura, Y; Sumino, H; Nagao, K</t>
  </si>
  <si>
    <t>Bajo, Ken-ichi; Akaida, Tomohiro; Ohashi, Noriaki; Noguchi, Takaaki; Nakamura, Tomoki; Nakamura, Yoshinobu; Sumino, Hirochika; Nagao, Keisuke</t>
  </si>
  <si>
    <t>Single grain noble gas analysis of Antarctic micrometeorites by stepwise heating method with a newly constructed miniature furnace</t>
  </si>
  <si>
    <t>7th Annual Meeting Asia-Oceania-Geosciences-Society (AOGS)</t>
  </si>
  <si>
    <t>JUL 05-09, 2010</t>
  </si>
  <si>
    <t>Hyderabad, INDIA</t>
  </si>
  <si>
    <t>Noble gases; snow Antarctic micrometeorites; miniature furnace; stepwise heating; entry velocity</t>
  </si>
  <si>
    <t>INTERPLANETARY DUST PARTICLES; RICH MICROMETEORITES; NEON ISOTOPES; COSMIC DUST; SOLAR-WIND; MINERALOGY; HELIUM; METEORITE; TEMPERATURES; COLLECTION</t>
  </si>
  <si>
    <t>Ten micrometeorites weighing 0.14-18.5 mu g, each retrieved from surface snow near the Dome Fuji Station, Antarctica (snow-AMMs), were studied to elucidate their noble gases, mineralogy, morphology, and chemical compositions. Low densities in the range of 0.2-1.4 g/cm(3) estimated for seven samples suggested a porous inner structure. Noble gases were extracted from each particle using stepwise heating with a laboratory manufactured miniature furnace. Isotopic ratios of He and Ne indicate that the light noble gases with high He-4 concentrations ranging from 10(-2) to 10(-4) cm(3) STP/g are mostly of solar origin. The higher concentrations of He-4 observed for several samples are comparable with those of IDPs enriched in solar He, but exceed those reported for ice-AMMs. In contrast to He and Ne, heavy noble gases Ar, Kr, and Xe are primordial ones resembling Q-gas trapped in chondrites, although a small contribution of solar Ar is indicated for some samples with higher Ar-36/Xe-132 ratios than that for the Q-gas. Three particles released appreciable amounts of He at temperatures lower than 800 degrees C, suggesting heating temperatures lower than 700 degrees C at the time of atmospheric entry. Other particles released at most 10% of total He at the temperatures up to 800 degrees C. Based on their sizes, weights, and release profiles of He-4, initial speeds of less than 14 km/s at atmospheric entry were indicated for the particles. The slow entry speeds imply that all the snow-AMMs studied in this work were likely derived from asteroids. The present work demonstrates that the miniature furnace can be applicable to noble gas analysis of tiny grains from the Itokawa asteroidal regolith materials returned by the Hayabusa mission.</t>
  </si>
  <si>
    <t>[Bajo, Ken-ichi; Akaida, Tomohiro; Nakamura, Yoshinobu; Sumino, Hirochika; Nagao, Keisuke] Univ Tokyo, Geochem Res Ctr, Grad Sch Sci, Bunkyo Ku, Tokyo 1130033, Japan; [Ohashi, Noriaki; Noguchi, Takaaki] Ibaraki Univ, Coll Sci, Mito, Ibaraki 3108512, Japan; [Nakamura, Tomoki] Tohoku Univ, Dept Earth Sci, Grad Sch Sci, Aoba Ku, Sendai, Miyagi 9808578, Japan</t>
  </si>
  <si>
    <t>University of Tokyo; Ibaraki University; Tohoku University</t>
  </si>
  <si>
    <t>Bajo, K (corresponding author), Hokkaido Univ, Dept Nat Hist Sci, Kita Ku, N10W8, Sapporo, Hokkaido 0600810, Japan.</t>
  </si>
  <si>
    <t>nagao@eqchem.s.u-tokyo.ac.jp</t>
  </si>
  <si>
    <t>Noguchi, Takaaki/IWV-1123-2023; Nakamura, Tomoki/Y-8551-2018; Sumino, Hirochika/AAH-2640-2019; Sumino, Hirochika/G-4912-2014</t>
  </si>
  <si>
    <t>Noguchi, Takaaki/0000-0001-7211-2595; Sumino, Hirochika/0000-0002-4689-6231</t>
  </si>
  <si>
    <t>[17340157]; Grants-in-Aid for Scientific Research [22224010] Funding Source: KAKEN</t>
  </si>
  <si>
    <t>; Grants-in-Aid for Scientific Research(Ministry of Education, Culture, Sports, Science and Technology, Japan (MEXT)Japan Society for the Promotion of ScienceGrants-in-Aid for Scientific Research (KAKENHI))</t>
  </si>
  <si>
    <t>We thank S. Nishida and M. Osonoi for their cooperative work of snow-AMMs collection. Surface snow was sampled by Japan Antarctic Research Expedition (JARE) teams in 2004 and 2006. We appreciate H. Motoyama and N. Imae for their transportation of snow in a frozen state from Antarctica to Ibaraki University. This study was supported by a Grant-in-Aid for Scientific Research (B) 17340157 to T. Noguchi. The manuscript was greatly improved by two reviewers, R. Palma and D. Garrison, for their careful reading.</t>
  </si>
  <si>
    <t>SPRINGEROPEN</t>
  </si>
  <si>
    <t>CAMPUS, 4 CRINAN ST, LONDON, N1 9XW, ENGLAND</t>
  </si>
  <si>
    <t>10.5047/eps.2011.08.001</t>
  </si>
  <si>
    <t>894NK</t>
  </si>
  <si>
    <t>WOS:000300433300010</t>
  </si>
  <si>
    <t>Vincent, WF; Fortier, D; Lévesque, E; Boulanger-Lapointe, N; Tremblay, B; Sarrazin, D; Antoniades, D; Mueller, DR</t>
  </si>
  <si>
    <t>Vincent, Warwick F.; Fortier, Daniel; Levesque, Esther; Boulanger-Lapointe, Noemie; Tremblay, Benoit; Sarrazin, Denis; Antoniades, Dermot; Mueller, Derek R.</t>
  </si>
  <si>
    <t>Extreme ecosystems and geosystems in the Canadian High Arctic: Ward Hunt Island and vicinity</t>
  </si>
  <si>
    <t>ECOSCIENCE</t>
  </si>
  <si>
    <t>climate change; cryosphere; Holocene; ice shelves; lakes; landscapes; periglacial; polar deserts; vegetation</t>
  </si>
  <si>
    <t>NORTHERN ELLESMERE-ISLAND; QUEEN ELIZABETH ISLANDS; MILNE ICE SHELF; MEROMICTIC LAKE; SEA-ICE; REGIME SHIFTS; EPISHELF LAKE; CLIMATE; COMMUNITIES; VARIABILITY</t>
  </si>
  <si>
    <t>Global circulation models predict that the strongest and most rapid effects of global warming will take place at the highest latitudes of the Northern Hemisphere. Consistent with this prediction, the Ward Hunt Island region at the northern terrestrial limit of Arctic Canada is experiencing the onset of major environmental changes. This article provides a synthesis of research including new observations on the diverse geosystems/ecosystems of this coastal region of northern Ellesmere Island that extends to latitude 83.11 degrees N (Cape Aldrich). The climate is extreme, with an average annual air temperature of -17.2 degrees C, similar to Antarctic regions such as the McMurdo Dry Valleys. The region is geologically distinct (the Pearya Terrane) and contains steep mountainous terrain intersected by deep fiords and fluvial valleys. Numerous glaciers flow into the valleys, fiords, and bays, and thick multi-year sea ice and ice shelves occur along the coast. These extreme ice features are currently undergoing rapid attrition. The polar desert landscape contains sparse, discontinuous patches of vegetation, including dense stands of the prostrate shrub Salix arctica (Artic willow) at some sites, and 37 species of vascular plants on Ward Hunt Island. Diverse aquatic ecosystems occur throughout the area, including meromictic, epishelf, and perennially ice-covered lakes. Many of these have responded strongly to climate shifts in the past and like other geosystems/ecosystems of the region are now sentinels of ongoing global climate change.</t>
  </si>
  <si>
    <t>[Vincent, Warwick F.; Sarrazin, Denis] Univ Laval, Ctr Etud Nord, Quebec City, PQ, Canada; [Vincent, Warwick F.] Univ Laval, Dept Biol, Quebec City, PQ, Canada; [Fortier, Daniel] Univ Montreal, Ctr Etud Nord, Montreal, PQ, Canada; [Fortier, Daniel] Univ Montreal, Dept Geog, Montreal, PQ, Canada; [Levesque, Esther; Boulanger-Lapointe, Noemie; Tremblay, Benoit] Univ Quebec Trois Rivieres, Ctr Etud Nord, Trois Rivieres, PQ GA9 5H7, Canada; [Levesque, Esther; Boulanger-Lapointe, Noemie; Tremblay, Benoit] Univ Quebec Trois Rivieres, Dept Chim Biol, Trois Rivieres, PQ GA9 5H7, Canada; [Antoniades, Dermot] Univ Republica, Secc Limnol, Fac Ciencias, Montevideo, Uruguay; [Mueller, Derek R.] Carleton Univ, Dept Geog &amp; Environm Studies, Ottawa, ON K1S 5B6, Canada</t>
  </si>
  <si>
    <t>Laval University; Laval University; Universite de Montreal; Universite de Montreal; University of Quebec; University of Quebec Trois Rivieres; University of Quebec; University of Quebec Trois Rivieres; Universidad de la Republica, Uruguay; Carleton University</t>
  </si>
  <si>
    <t>Vincent, WF (corresponding author), Univ Laval, Ctr Etud Nord, Quebec City, PQ, Canada.</t>
  </si>
  <si>
    <t>warwick.vincent@bio.ulaval.ca</t>
  </si>
  <si>
    <t>Fortier, Daniel/E-6965-2016; Boulanger-Lapointe, Noemie/AAA-9710-2021; Vincent, Warwick/AAH-6152-2019; Boulanger-Lapointe, Noémie/CAE-4043-2022</t>
  </si>
  <si>
    <t>Fortier, Daniel/0000-0003-0908-6157; Vincent, Warwick/0000-0001-9055-1938; Boulanger-Lapointe, Noémie/0000-0002-0104-6065; Antoniades, Dermot/0000-0001-6629-4839; Mueller, Derek/0000-0003-1974-319X; Levesque, Esther/0000-0002-1119-6032</t>
  </si>
  <si>
    <t>Natural Sciences and Engineering Research Council of Canada (NSERC); Fonds de recherche du Quebec - Nature et technologies; ArcticNet Network of Centres of Excellence, Indian and Northern Affairs Canada; Canadian Foundation for Innovation</t>
  </si>
  <si>
    <t>Natural Sciences and Engineering Research Council of Canada (NSERC)(Natural Sciences and Engineering Research Council of Canada (NSERC)); Fonds de recherche du Quebec - Nature et technologies(Fonds de recherche du Quebec (FRQ)Fonds de recherche du Quebec - Nature et technologies (FRQNT)); ArcticNet Network of Centres of Excellence, Indian and Northern Affairs Canada; Canadian Foundation for Innovation(Canada Foundation for Innovation)</t>
  </si>
  <si>
    <t>We thank the many students, post-doctoral researchers, collaborators, research associates, and field assistants who have worked with us in the Ward Hunt Island region from 1998 onwards in our program Northern Ellesmere Island in the Global Environment (NEIGE). We are grateful to our funding sources: the Natural Sciences and Engineering Research Council of Canada (NSERC), the Fonds de recherche du Quebec - Nature et technologies, the ArcticNet Network of Centres of Excellence, Indian and Northern Affairs Canada (programs NSTP and ARIF), and the Canadian Foundation for Innovation. Radarsat-2 imagery was provided courtesy of the Canadian Space Agency's Science and Operational Applications Research Initiative for RADARSAT-2 (SOAR-E). We thank Parks Canada for their encouragement of our work and for access to their facilities; Polar Shelf (Natural Resources Canada) for excellent logistics support (this is PCSP/PPCP contribution # 00611); the Centre for Northern Studies (CEN) for funding and technical support; L. Consaul, L. Gillespie, and J. Doubt of the Canadian Museum of Nature Herbarium and J. Cayouette of Agriculture Canada Herbarium for their expert help; M.-J. Martineau for technical support and assistance with manuscript preparation; three reviewers for their comments on the manuscript; and the people of Grise Fjord and Resolute Bay for their ongoing support of our work.</t>
  </si>
  <si>
    <t>1195-6860</t>
  </si>
  <si>
    <t>2376-7626</t>
  </si>
  <si>
    <t>Ecoscience</t>
  </si>
  <si>
    <t>10.2980/18-3-3448</t>
  </si>
  <si>
    <t>854EQ</t>
  </si>
  <si>
    <t>WOS:000297478200006</t>
  </si>
  <si>
    <t>Martínez, JL</t>
  </si>
  <si>
    <t>Lopez Martinez, J.</t>
  </si>
  <si>
    <t>Antarctic research, SCAR and the Spain's role in the international context: current situation and future perspectives</t>
  </si>
  <si>
    <t>ECOSISTEMAS</t>
  </si>
  <si>
    <t>Antarctica is a valuable scenario for scientific research in different fields, including studies on ecosystems, biodiversity and life adaptation to the existing particular environmental conditions. Last years there has been a development of projects related to the study of climate change, its local effects and connection to global processes. The International Polar Year 2007-2008 has produced a development of the Antarctic research and opened new perspectives. In this paper the importance of the international cooperation and the role of the Scientific Committee on Antarctic Research (SCAR) are pointed out. The Spanish contribution and a series of possibly key themes and research fields for the coming years are also commented.</t>
  </si>
  <si>
    <t>[Lopez Martinez, J.] Univ Autonoma Madrid, Fac Ciencias, Dept Geol &amp; Geoquim, Campus Cantoblanco, E-28049 Madrid, Spain</t>
  </si>
  <si>
    <t>Autonomous University of Madrid</t>
  </si>
  <si>
    <t>Martínez, JL (corresponding author), Univ Autonoma Madrid, Fac Ciencias, Dept Geol &amp; Geoquim, Campus Cantoblanco, E-28049 Madrid, Spain.</t>
  </si>
  <si>
    <t>ASOCIACION ESPANOLA ECOLOGIA TERRESTRE</t>
  </si>
  <si>
    <t>MOSTOLES</t>
  </si>
  <si>
    <t>C/ TULIPSAN S-N, DEPT BIOLOGIA &amp; GEOLOGIA, UNIV REY JUAN CARLOS, MOSTOLES, 28933, SPAIN</t>
  </si>
  <si>
    <t>1697-2473</t>
  </si>
  <si>
    <t>Ecosistemas</t>
  </si>
  <si>
    <t>JAN-APR</t>
  </si>
  <si>
    <t>VB3BF</t>
  </si>
  <si>
    <t>WOS:000415308100003</t>
  </si>
  <si>
    <t>Rochera, C; Villaescusa, JA; Díazmacip, ME; Gil-Delgado, JA; Toro, M; Rico, E; Velázquez, D; Quesada, A; Camacho, A</t>
  </si>
  <si>
    <t>Rochera, C.; Villaescusa, J. A.; Diazmacip, M. E.; Gil-Delgado, J. A.; Toro, M.; Rico, E.; Velazquez, D.; Quesada, A.; Camacho, A.</t>
  </si>
  <si>
    <t>Biotic interactions in Antarctic lakes. Research coming from the LIMNOPOLAR project in the Peninsula Byers</t>
  </si>
  <si>
    <t>The plankton communities of Antarctic lakes show a simple trophic structure. These communities are functionality dominated by microorganisms. When zooplankters are present, they constitute usually the top predators. It is for this reason that these ecosystems results appropriate to undertake studies related with the trophic and functional ecology. Our purpose has been to validate some ecological concepts concerning trophic interactions, energy flows, and the relative role of abiotic and biotic factors as structural forces in polar ecosystems, which are submitted to a strong physical control. The experimental studies that we have performed in Byers Peninsula (Livingston Is.) put forward that some biotic interactions such predation might account for this structural role. In this sense, it can be deduced from our findings the occurrence of trophic cascades in the plankton that extends to the microbial loop. Particularly, are significant those interactions derived from the zooplankton activity. Thus, the occurrence of zooplankters induce a general increase of picoplankton abundances because the control of bacterivory. Our studies demonstrate also the capacity of this zooplankton for nutrients recycling, which is supposed to sustain in part the productivity of the system. These observations allows to outline a conceptual model for the pelagic food web functioning. The progressive increase of temperatures in polar regions might promote the energy inputs and also activate the nutrients turnover. A direct consequence of this warming could be the increasing role of the biotic interactions referred here.</t>
  </si>
  <si>
    <t>[Rochera, C.; Villaescusa, J. A.; Diazmacip, M. E.; Gil-Delgado, J. A.; Camacho, A.] Univ Valencia, Dept Microbiol &amp; Ecol, Inst Cavanilles Biodiversidad &amp; Biol Evolut, E-46100 Burjassot, Spain; [Toro, M.] Ctr Estudios Hidrog CEDEX, E-28005 Madrid, Spain; [Rico, E.] Univ Autonoma Madrid, Dept Ecol, E-28049 Madrid, Spain; [Velazquez, D.; Quesada, A.] Univ Autonoma Madrid, Dept Biol, E-28049 Madrid, Spain</t>
  </si>
  <si>
    <t>University of Valencia; Autonomous University of Madrid; Autonomous University of Madrid</t>
  </si>
  <si>
    <t>Rochera, C (corresponding author), Univ Valencia, Dept Microbiol &amp; Ecol, Inst Cavanilles Biodiversidad &amp; Biol Evolut, E-46100 Burjassot, Spain.</t>
  </si>
  <si>
    <t>Rico, Eugenio/L-2429-2013; Quesada, Antonio/L-2430-2013; Rochera, Carlos/M-2932-2014; Velazquez, David/M-2309-2017</t>
  </si>
  <si>
    <t>Rochera, Carlos/0000-0002-8294-4755; Velazquez, David/0000-0002-4127-8370</t>
  </si>
  <si>
    <t>WOS:000415308100005</t>
  </si>
  <si>
    <t>Barbosa, A</t>
  </si>
  <si>
    <t>Barbosa, A.</t>
  </si>
  <si>
    <t>Climate change effects on Antarctic penguins</t>
  </si>
  <si>
    <t>The Antarctic Peninsula is one of the places in the planet where more and faster the temperatures are increasing producing environmental changes due to the climate change. Some examples of these changes are the decresase in the sea-ice extent, the reduction of algae production, and then the reduction of the abundance of krill. As a consequence of these changes, penguin populations have suffered a decline, specially chinstrap and adelie species. The present paper address the consequences of the climate change in the Antarctic penguins emphasizing the results obtained within the PINGUCLIM project which studies such effects in the penguin physiology though hostparasite interaction.</t>
  </si>
  <si>
    <t>[Barbosa, A.] CSIC, Museo Nacl Ciencias Nat, Dept Ecol Evolut, C Jose Gutierrez Abascal 2, E-28006 Madrid, Spain</t>
  </si>
  <si>
    <t>Consejo Superior de Investigaciones Cientificas (CSIC); CSIC - Museo Nacional de Ciencias Naturales (MNCN)</t>
  </si>
  <si>
    <t>Barbosa, A (corresponding author), CSIC, Museo Nacl Ciencias Nat, Dept Ecol Evolut, C Jose Gutierrez Abascal 2, E-28006 Madrid, Spain.</t>
  </si>
  <si>
    <t>Barbosa, Andrés/C-3208-2008</t>
  </si>
  <si>
    <t>Barbosa, Andrés/0000-0001-8434-3649</t>
  </si>
  <si>
    <t>WOS:000415308100006</t>
  </si>
  <si>
    <t>Sancho, LG; Pintado, A</t>
  </si>
  <si>
    <t>Sancho, L. G.; Pintado, A.</t>
  </si>
  <si>
    <t>Plant ecology in Antarctica</t>
  </si>
  <si>
    <t>Plant life in Antarctica has often been described as extremely poor and ecologically simple. However, this is really only true when we are referring to the most inhospitable localities of the continental Antarctica. In the region known as maritime Antarctica, which includes the west coast of the Antarctic Peninsula and adjacent islands, the situation is very different. The number of lichen species is above 350 and more than 100 species of mosses and hepatics have been described although only two flowering plants are present. One of the main questions that has always interested plant ecologists is whether Antarctic lichens and mosses possess some type of adaptation mechanism that allows them to survive better than other plants under such extreme conditions. A second area of interest at present is to determine the capacity of Antarctic plants to adapt to climate change, for example, to increasing UV radiation as a consequence of the ozone hole and to global warming. Both mosses and lichens have proven to be very resistant to UV radiation and appear able to adapt rapidly to this stress. Antarctic lichens are also very tolerant of long periods of cold and drought and can carry out active photosynthesis at temperatures below the freezing-point, which contrasts with some of the studied species being unable to reach positive carbon gain if the temperature rises only two or three degrees. The lichens and microbial communities of the Dry Valleys and Transantarctic Mountains do not seem to be limited by the most extreme combination of cold, dryness and radiation on our planet. These species are excellent candidates for astrobiology experiments in outer space in order to demonstrate the capacity of survival of complex cells, originating on the Earth, for possible interplanetary transfer.</t>
  </si>
  <si>
    <t>[Sancho, L. G.; Pintado, A.] Univ Complutense Madrid, Fac Farm, Dept Biol Vegetal 2, Ciudad Univ, E-28040 Madrid, Spain</t>
  </si>
  <si>
    <t>Complutense University of Madrid</t>
  </si>
  <si>
    <t>Sancho, LG (corresponding author), Univ Complutense Madrid, Fac Farm, Dept Biol Vegetal 2, Ciudad Univ, E-28040 Madrid, Spain.</t>
  </si>
  <si>
    <t>SANCHO, LEOPOLDO G/G-9120-2015; Pintado, Ana/G-9881-2015</t>
  </si>
  <si>
    <t>WOS:000415308100007</t>
  </si>
  <si>
    <t>Ballesteros, M; Núñez-Pons, L; Vázquez, J; Cristobo, FJ; Taboada, S; Figuerola, B; Avila, C</t>
  </si>
  <si>
    <t>Ballesteros, M.; Nunez-Pons, L.; Vazquez, J.; Cristobo, F. J.; Taboada, S.; Figuerola, B.; Avila, C.</t>
  </si>
  <si>
    <t>Chemical ecology in the Antarctic benthos</t>
  </si>
  <si>
    <t>The study of the relationships between organisms mediated by chemicals (chemical ecology) can provide valuable information about the biology of the species, their role within the community and our knowledge of new molecules potentially useful to human beings. Within our ECOQUIM Project (2003-2006), we collected many biological samples that allowed us to obtain extracts and bioactive natural products from Antarctic benthic invertebrates. During the ACTIQUIM Project (2007 and on) the ecological activities of the marine natural products obtained have been determined by in situ chemical ecology experiments (repellence, defence, toxicity, cytotoxicity and antifouling). Also, the pharmacological potential has been analyzed by testing the antitumoral activity of selected compounds recently described. Our results show that chemical defences are abundant in Antarctic sponges, cnidarians, echinoderms, bryozoans, tunicates and mollusks, and that these zoological groups can be considered as a rich source of bioactive secondary metabolites of importance both in ecology and in pharmacology.</t>
  </si>
  <si>
    <t>[Ballesteros, M.; Nunez-Pons, L.; Vazquez, J.; Taboada, S.; Figuerola, B.; Avila, C.] Univ Barcelona, Fac Biol, Dept Biol Anim Invertebrats, Avda Diagonal 645, E-08028 Barcelona, Spain; [Cristobo, F. J.] Ctr Oceanog Gijon, Inst Espanol Oceanog, Gijon 33212, Asturias, Spain</t>
  </si>
  <si>
    <t>University of Barcelona; Spanish Institute of Oceanography</t>
  </si>
  <si>
    <t>Ballesteros, M (corresponding author), Univ Barcelona, Fac Biol, Dept Biol Anim Invertebrats, Avda Diagonal 645, E-08028 Barcelona, Spain.</t>
  </si>
  <si>
    <t>Taboada, Sergi/AAB-9390-2021; Figuerola, Blanca/C-6252-2015; Avila, Conxita/B-9466-2008; Ballesteros, Manuel/M-1664-2014</t>
  </si>
  <si>
    <t>Taboada, Sergi/0000-0003-1669-1152; Figuerola, Blanca/0000-0003-4731-9337; Avila, Conxita/0000-0002-5489-8376; Ballesteros, Manuel/0000-0001-9055-1241</t>
  </si>
  <si>
    <t>WOS:000415308100008</t>
  </si>
  <si>
    <t>Tejedo, P; Pertierra, L; Benayas, J; Boada, M</t>
  </si>
  <si>
    <t>Tejedo, P.; Pertierra, L.; Benayas, J.; Boada, M.</t>
  </si>
  <si>
    <t>Balancing on the ice: a brief (but complete) review of the current knowledge about human impact on the Antarctica</t>
  </si>
  <si>
    <t>Antarctica is one of the less disturbed areas of our planet. Even so, it is subject to several impacts caused by human presence which are briefly reviewed in this article. For each kind of alteration most representative case studies, main minimization and/or mitigation adopted measures, and specific contributions made recently by scientists from Spain, if any, are cited. The text ends with a series of recommendations to improve the monitoring of Antarctic human impacts. After presenting the state of knowledge of Antarctic human impacts, this text includes several recommendations lead to improve their monitoring. These guidelines should aim the future research to maximize the resources and to strengthen the protection of this emblematic place.</t>
  </si>
  <si>
    <t>[Tejedo, P.] IE Univ, Campus Santa Cruz Real,C Cardenal Zuniga 12, Segovia 40003, Spain; [Pertierra, L.; Benayas, J.] Univ Autonoma Madrid, Fac Ciencias, Dept Ecol, E-28049 Madrid, Spain; [Boada, M.] Univ Autonoma Barcelona, Dept Geog, Cerdanyola Del Valles 08193, Spain</t>
  </si>
  <si>
    <t>IE University; Autonomous University of Madrid; Autonomous University of Barcelona</t>
  </si>
  <si>
    <t>Tejedo, P (corresponding author), IE Univ, Campus Santa Cruz Real,C Cardenal Zuniga 12, Segovia 40003, Spain.</t>
  </si>
  <si>
    <t>Benayas, Javier/E-5663-2017; Pertierra, Luis R./K-3727-2017; Tejedo, Pablo/A-7163-2010</t>
  </si>
  <si>
    <t>Pertierra, Luis R./0000-0002-2232-428X;</t>
  </si>
  <si>
    <t>WOS:000415308100009</t>
  </si>
  <si>
    <t>Díaz, SP</t>
  </si>
  <si>
    <t>Pedraza Diaz, S.</t>
  </si>
  <si>
    <t>Human impact on the health status of phocids and otarids from the Antarctic Peninsula</t>
  </si>
  <si>
    <t>Antarctica is undoubtedly one of the least impacted areas by human activities on the planet. However, the increased human presence recorded in the last few years, could seriously affect the Antarctic ecosystem. Medium to long-term effects may include health related aspects and the introduction or redistribution of diseases in the autochthonous fauna. Marine mammals, particularly Antarctic pinnipeds, due to their intrinsic characteristics, constitute excellent sentinel species to study such impact. However, currently there is lack of knowledge regarding disease in these populations. Our research aims at contributing to the current knowledge of the health status of these populations in the Antarctic Peninsula and to the potential human impact both at the population dynamics and health levels. The ultimate goal of our project is to provide useful data, through medium to long term monitoring of these animals, for risk assessment of disease introduction and environmental impact as well as for improvement of prevention and response measures and thereby contribute to the Conservation of the Antarctic Fauna and Environment.</t>
  </si>
  <si>
    <t>[Pedraza Diaz, S.] Univ Complutense Madrid, Fac Vet, Grp SALUVET, Dept Sanidad Anim, Avda Puerta de Hierro S-N, E-28040 Madrid, Spain</t>
  </si>
  <si>
    <t>Díaz, SP (corresponding author), Univ Complutense Madrid, Fac Vet, Grp SALUVET, Dept Sanidad Anim, Avda Puerta de Hierro S-N, E-28040 Madrid, Spain.</t>
  </si>
  <si>
    <t>Pérez-Díaz, Sonia/P-7030-2015</t>
  </si>
  <si>
    <t>Pérez-Díaz, Sonia/0000-0002-0174-5325</t>
  </si>
  <si>
    <t>WOS:000415308100010</t>
  </si>
  <si>
    <t>Bermudez, O; Barragán, A; Alonso, F</t>
  </si>
  <si>
    <t>Bermudez, O.; Barragan, A.; Alonso, F.</t>
  </si>
  <si>
    <t>Polar data management in Spain: an approach to the contribution of life sciences</t>
  </si>
  <si>
    <t>Polar data management in Spain: an approach to the contribution of life sciences. Since 2004 Spain has a polar data policy, and through the protocol of sending, storage and diffusion of the Antarctic data implemented by the National Polar Data Centre, this organism acts for execute the article III. c of Antarctic Treaty which demands the information interchange between the signer countries. This article describes the operative process of support and management that frame the procedure of sending information by the Antarctic scientific community and makes an approximation to the contribution made by investigators from the life science by two different points of view. The first point of view corresponds to the contribution of life sciences to the information systems based on metadata, by means of analyze the contribution of those within the Global Master Directory of NASA. And the second point of view responds to the contribution of Spanish scientific community in the ecology through the issued articles in ISI Thomson index papers.</t>
  </si>
  <si>
    <t>[Bermudez, O.; Barragan, A.] Ctr Nacl Datos Polares, Inst Geol &amp; Minero Espana, Rios Rosas 23, Madrid 28003, Spain; [Alonso, F.] INMAR 81, Madrid 28250, Spain</t>
  </si>
  <si>
    <t>Bermudez, O (corresponding author), Ctr Nacl Datos Polares, Inst Geol &amp; Minero Espana, Rios Rosas 23, Madrid 28003, Spain.</t>
  </si>
  <si>
    <t>WOS:000415308100011</t>
  </si>
  <si>
    <t>Breed, GA; Costa, DP; Goebel, ME; Robinson, PW</t>
  </si>
  <si>
    <t>Breed, Greg A.; Costa, Daniel P.; Goebel, Michael E.; Robinson, Patrick W.</t>
  </si>
  <si>
    <t>Electronic tracking tag programming is critical to data collection for behavioral time-series analysis</t>
  </si>
  <si>
    <t>ECOSPHERE</t>
  </si>
  <si>
    <t>animal tracking; Argos; geolocation; GPS; state-space model; wildlife telemetry</t>
  </si>
  <si>
    <t>ACCURACY; ECOLOGY; SYSTEM; OCEAN; HOME</t>
  </si>
  <si>
    <t>Electronic tracking tags are major tools of ecological research and management, but programming sophisticated tags can be challenging. We discovered that a common programming scheme can negatively affect the quality of tracks collected by Argos tags. Here we describe the problem and how it occurred. We then simulated a series of tracks with different data collection schemes to investigate how spatial precision and temporal frequency affect the overall quality of tracking data. Tracks were simulated using a two-state composite correlated random walk (CCRW). Tracks were simulated with two spatial scales, using parameters estimated from northern elephant seal (large scale) and California sea lion (small scale) tracking data. Onto each simulated track, observations of varying precision, frequency, and censoring were imposed. We then fit the CCRW in a state-space model (SSM) to the simulated observations in order to assess how data quality and frequency affected recovery of known behavioral state and location. We show that when movement scales are small, regular observations were critical to recover behavior and location. In addition, tracks with frequent regular locations (increasing N) overcame low spatial accuracy (e.g., Argos) to detect small-scale movement patterns, suggesting frequently collected Argos locations may be as good as infrequently collected GPS in some circumstances. From these results and our experience tracking animals generally, we produce a set of guidelines for those manufacturing, programming, and deploying electronic tracking tags to maximize the utility of the data they produce.</t>
  </si>
  <si>
    <t>[Breed, Greg A.; Costa, Daniel P.; Robinson, Patrick W.] Univ Calif Santa Cruz, Long Marine Lab, Santa Cruz, CA 95060 USA; [Breed, Greg A.] Dalhousie Univ, Dept Biol, Halifax, NS B3H 4J1, Canada; [Goebel, Michael E.] SW Fisheries Sci Ctr, Antarctic Marine Living Resources Program, La Jolla, CA 92037 USA</t>
  </si>
  <si>
    <t>University of California System; University of California Santa Cruz; Dalhousie University; National Oceanic Atmospheric Admin (NOAA) - USA</t>
  </si>
  <si>
    <t>Breed, GA (corresponding author), Univ Calif Santa Cruz, Long Marine Lab, 100 Shaffer Rd, Santa Cruz, CA 95060 USA.</t>
  </si>
  <si>
    <t>breed@biology.ucsc.edu</t>
  </si>
  <si>
    <t>Carlos, Universidade Federal de São/W-8832-2019; Costa, Daniel Paul/E-2616-2013</t>
  </si>
  <si>
    <t>Carlos, Universidade Federal de São/0000-0002-0334-3899; Costa, Daniel Paul/0000-0002-0233-5782</t>
  </si>
  <si>
    <t>Sloan Foundation; Office of Naval Research; E&amp;P Marine Life Project of the Joint Industry Program; Future of Marine Animal Populations program; Directorate For Geosciences [0838937] Funding Source: National Science Foundation; Office of Polar Programs (OPP) [0838937] Funding Source: National Science Foundation</t>
  </si>
  <si>
    <t>Sloan Foundation(Alfred P. Sloan Foundation); Office of Naval Research(Office of Naval Research); E&amp;P Marine Life Project of the Joint Industry Program; Future of Marine Animal Populations program; Directorate For Geosciences(National Science Foundation (NSF)NSF - Directorate for Geosciences (GEO)); Office of Polar Programs (OPP)(National Science Foundation (NSF)NSF - Directorate for Geosciences (GEO))</t>
  </si>
  <si>
    <t>Funding for this analysis was provided by the Sloan Foundation, Office of Naval Research, the E&amp;P Marine Life Project of the Joint Industry Program and Future of Marine Animal Populations program. Data were collected under the Tagging of Pacific Predators program and the Antarctic Marine Living Resources program of the US National Marine Fisheries Service. I would also like to thank Mark Hindell and Chris Wilcox, conversations with both were instrumental in the early stages of this manuscript. The manuscript was also greatly improved by helpful reviews from Mike Lonergan and Martin Buiw, and copy-editing by Catherine Muir.</t>
  </si>
  <si>
    <t>2150-8925</t>
  </si>
  <si>
    <t>Ecosphere</t>
  </si>
  <si>
    <t>10.1890/ES10-00021.1</t>
  </si>
  <si>
    <t>V30SQ</t>
  </si>
  <si>
    <t>WOS:000208836100009</t>
  </si>
  <si>
    <t>Holdsworth, M; Dettmann, B; Baker, GB</t>
  </si>
  <si>
    <t>Holdsworth, Mark; Dettmann, Belinda; Baker, G. Barry</t>
  </si>
  <si>
    <t>Survival in the Orange-bellied Parrot (Neophema chrysogaster)</t>
  </si>
  <si>
    <t>EMU-AUSTRAL ORNITHOLOGY</t>
  </si>
  <si>
    <t>conservation; demography; lifespan; Tasmanian Wilderness World Heritage Area</t>
  </si>
  <si>
    <t>POPULATIONS</t>
  </si>
  <si>
    <t>Knowledge of demographic parameters, including survival, are fundamental to understanding the population dynamics of any taxon. Here we report on a long-term capture-mark-recapture study of the Orange-bellied Parrot (Neophema chrysogaster), one of the world's most threatened parrots, using capture histories of 848 known-age wild birds. Parameter estimates of survival and probability of recapture were derived using the program MARK 4.1. Mean annual survival of juveniles and adults was estimated at 0.56 (s.e. 0.07) and 0.65 (s.e. 0.14) respectively. There was no evidence for an effect of sex on survival. Survival of three age-classes was estimated at 0.53 (s.e. 0.08) for juveniles, 0.64 (s.e. 0.11) for first-year birds and 0.59 (s.e. 0.09) for adults (2 years and older), indicating that maximum survival occurs in the second year of life, and declines thereafter. Although survival for both adults and juveniles varied considerably across years, there was no evidence of a decline in survival over the 20 years of the study. However, there has been an annual decline in the numbers of adult birds observed each year at the breeding grounds of 12% between 2000 and 2008, current survival rates do not appear to be a factor inhibiting population growth. The observed decline is more likely to result from a decline in female participation in breeding resulting in a decrease in the recruitment of juveniles to the population.</t>
  </si>
  <si>
    <t>[Baker, G. Barry] Univ Tasmania, Sch Govt, Hobart, Tas 7001, Australia; [Holdsworth, Mark] Univ Tasmania, Sch Zool, Dept Primary Ind Pk Water &amp; Environm, Wildlife Management Branch, Hobart, Tas 7001, Australia; [Baker, G. Barry] Univ Tasmania, Antarctic Climate &amp; Ecosyst Cooperat Res Ctr, Hobart, Tas 7001, Australia</t>
  </si>
  <si>
    <t>University of Tasmania; University of Tasmania; Antarctic Climate &amp; Ecosystems Cooperative Research Centre (ACE CRC); University of Tasmania</t>
  </si>
  <si>
    <t>Baker, GB (corresponding author), Univ Tasmania, Sch Govt, Private Bag 22, Hobart, Tas 7001, Australia.</t>
  </si>
  <si>
    <t>barry.baker@latitude42.com.au</t>
  </si>
  <si>
    <t>Baker, G. Barry/0000-0003-4766-8182</t>
  </si>
  <si>
    <t>University of Tasmania (Hobart); Tasmanian Government; Australian Government</t>
  </si>
  <si>
    <t>University of Tasmania (Hobart); Tasmanian Government; Australian Government(Australian Government)</t>
  </si>
  <si>
    <t>Peter Brown established the early observation program and provided support for the research. Neil Murray, La Trobe University (Melbourne), carried out molecular analysis for determination of sex. Many volunteers freely gave of their own time to collect data, and Peter and Barbara Willson, in particular, provided invaluable support to the observation program at Melaleuca. Wieslawa Misiak provided useful input to discussions on long-term population trends. We acknowledge the support provided to Mark Holdsworth by the University of Tasmania (Hobart) during his M.Sc. candidature, and to Alistair Richardson and Sally Bryant for encouragement and professional advice during this period. Funding for much of the research was provided by the Tasmanian and Australian Governments. We also acknowledge the positive support provided by the Orange-bellied Parrot Recovery Team over the years, and are grateful for the comments provided by John Cooper, Peter Menkhorst and three anonymous reviewers, which improved earlier versions of this paper, and Kate Buchanan, who managed the editorial process. We appreciate the support of David Drynan and Lisa Hardy of the Australian Bird and Bat Banding Schemes over the many years of this study.</t>
  </si>
  <si>
    <t>TAYLOR &amp; FRANCIS AUSTRALIA</t>
  </si>
  <si>
    <t>MELBOURNE</t>
  </si>
  <si>
    <t>LEVEL 2, 11 QUEENS RD, MELBOURNE, VIC 3004, AUSTRALIA</t>
  </si>
  <si>
    <t>0158-4197</t>
  </si>
  <si>
    <t>1448-5540</t>
  </si>
  <si>
    <t>EMU</t>
  </si>
  <si>
    <t>Emu</t>
  </si>
  <si>
    <t>10.1071/MU09071</t>
  </si>
  <si>
    <t>811MG</t>
  </si>
  <si>
    <t>WOS:000294214500007</t>
  </si>
  <si>
    <t>Loreto, MF; Tinivella, U; Accaino, F; Giustiniani, M</t>
  </si>
  <si>
    <t>Loreto, Maria Filomena; Tinivella, Umberta; Accaino, Flavio; Giustiniani, Michela</t>
  </si>
  <si>
    <t>Offshore Antarctic Peninsula Gas Hydrate Reservoir Characterization by Geophysical Data Analysis</t>
  </si>
  <si>
    <t>ENERGIES</t>
  </si>
  <si>
    <t>BSR; CIGs; velocity model; gas estimate; bathymetry; tectonics; Antarctic Peninsula</t>
  </si>
  <si>
    <t>BOTTOM-SIMULATING REFLECTORS; SOUTH SHETLAND ISLANDS; MARINE-SEDIMENTS; VELOCITY STRUCTURE; SEISMIC DATA; MARGIN; INVERSION; MIGRATION; RATIO</t>
  </si>
  <si>
    <t>A gas hydrate reservoir, identified by the presence of the bottom simulating reflector, is located offshore of the Antarctic Peninsula. The analysis of geophysical dataset acquired during three geophysical cruises allowed us to characterize this reservoir. 2D velocity fields were obtained by using the output of the pre-stack depth migration iteratively. Gas hydrate amount was estimated by seismic velocity, using the modified Biot-Geerstma-Smit theory. The total volume of gas hydrate estimated, in an area of about 600 km(2), is in a range of 16 x 10(9)-20 x 10(9) m(3). Assuming that 1 m(3) of gas hydrate corresponds to 140 m(3) of free gas in standard conditions, the reservoir could contain a total volume that ranges from 1.68 to 2.8 x 10(12) m(3) of free gas. The interpretation of the pre-stack depth migrated sections and the high resolution morpho-bathymetry image allowed us to define a structural model of the area. Two main fault systems, characterized by left transtensive and compressive movement, are recognized, which interact with a minor transtensive fault system. The regional geothermal gradient (about 37.5 degrees C/km), increasing close to a mud volcano likely due to fluid-upwelling, was estimated through the depth of the bottom simulating reflector by seismic data.</t>
  </si>
  <si>
    <t>[Loreto, Maria Filomena; Tinivella, Umberta; Accaino, Flavio; Giustiniani, Michela] Natl Inst Oceanog &amp; Expt Geophys OGS, Trieste, Italy</t>
  </si>
  <si>
    <t>Istituto Nazionale di Oceanografia e di Geofisica Sperimentale</t>
  </si>
  <si>
    <t>Loreto, MF (corresponding author), Natl Inst Oceanog &amp; Expt Geophys OGS, Borgo Grotta Gigante 42-C, Trieste, Italy.</t>
  </si>
  <si>
    <t>mfloreto@ogs.trieste.it; utinivella@ogstrieste.it; faccaino@ogs.trieste.it; mgiustiniani@ogs.trieste.it</t>
  </si>
  <si>
    <t>Loreto, Maria Filomena/AAY-4782-2020; Tinivella, Umberta/AAF-3133-2020</t>
  </si>
  <si>
    <t>Loreto, Maria Filomena/0000-0003-1960-8684; Tinivella, Umberta/0000-0002-1588-6452; Accaino, Flavio/0000-0003-3512-2457; Giustiniani, Michela/0000-0002-1620-4599</t>
  </si>
  <si>
    <t>PNRA program</t>
  </si>
  <si>
    <t>Thanks to the PNRA program that partially support this project. A special thanks to Daniela Accettella who has processed the multibeam data.</t>
  </si>
  <si>
    <t>MDPI</t>
  </si>
  <si>
    <t>BASEL</t>
  </si>
  <si>
    <t>ST ALBAN-ANLAGE 66, CH-4052 BASEL, SWITZERLAND</t>
  </si>
  <si>
    <t>1996-1073</t>
  </si>
  <si>
    <t>Energies</t>
  </si>
  <si>
    <t>10.3390/en4010039</t>
  </si>
  <si>
    <t>Energy &amp; Fuels</t>
  </si>
  <si>
    <t>711KS</t>
  </si>
  <si>
    <t>WOS:000286590900003</t>
  </si>
  <si>
    <t>Cropp, R; Kerr, G; Bengtson-Nash, S; Hawker, D</t>
  </si>
  <si>
    <t>Cropp, Roger; Kerr, Georgina; Bengtson-Nash, Susan; Hawker, Darryl</t>
  </si>
  <si>
    <t>A dynamic biophysical fugacity model of the movement of a persistent organic pollutant in Antarctic marine food webs</t>
  </si>
  <si>
    <t>ENVIRONMENTAL CHEMISTRY</t>
  </si>
  <si>
    <t>Antarctica; biomagnification factor; dynamic coupled fugacity food web model; hexachlorobenzene (HCB); plankton</t>
  </si>
  <si>
    <t>AIR-WATER EXCHANGE; BIOACCUMULATION; FATE; PHYTOPLANKTON; CHEMICALS; SYSTEMS; POPS; BIOMAGNIFICATION; PRODUCTIVITY; CONTAMINANTS</t>
  </si>
  <si>
    <t>Polar regions can be repositories for many persistent organic pollutants (POPs). However, comparatively little is known of the movement and behaviour of POPs in Antarctic ecosystems. These systems are characterised by strong seasonal effects of light on plankton dynamics. This work describes a mass-conserving, fugacity-based dynamic model to describe the movement of POPs in the Antarctic physical and plankton systems. The model includes dynamic corrections for changes in the population volumes and the temperature dependence of the fugacity capacities, and was developed by coupling a dynamic Nutrient Phytoplankton Zooplankton Detritus (NPZD) ecosystem model to fugacity models of the chemistry and biology of the Southern Ocean. The model is applied to the movement of hexachlorobenzene, a POP found in the Antarctic environment. The model predicts that the burden of HCB in the plankton varies with the seasonal cycle in Antarctic waters, and induces a seasonal variation in the biomagnification factor of zooplankton. This suggests that time series of POP concentrations in Antarctic biotic and abiotic systems should be measured over complete seasonal cycles. Furthermore, detritus is shown to be a key contributor to the movement of POPs in polar environments, linking physical and biological components of the model.</t>
  </si>
  <si>
    <t>[Cropp, Roger; Kerr, Georgina; Bengtson-Nash, Susan; Hawker, Darryl] Griffith Univ, Sch Environm, Atmospher Environm Res Ctr, Nathan, Qld 4111, Australia</t>
  </si>
  <si>
    <t>Cropp, R (corresponding author), Griffith Univ, Sch Environm, Atmospher Environm Res Ctr, Nathan, Qld 4111, Australia.</t>
  </si>
  <si>
    <t>r.cropp@griffith.edu.au</t>
  </si>
  <si>
    <t>Bengtson Nash, Susan/I-3942-2015; Bengtson Nash, Susan/GMX-4611-2022; Cropp, Roger/C-1019-2008</t>
  </si>
  <si>
    <t>1448-2517</t>
  </si>
  <si>
    <t>1449-8979</t>
  </si>
  <si>
    <t>ENVIRON CHEM</t>
  </si>
  <si>
    <t>Environ. Chem.</t>
  </si>
  <si>
    <t>10.1071/EN10108</t>
  </si>
  <si>
    <t>Chemistry, Analytical; Environmental Sciences</t>
  </si>
  <si>
    <t>Chemistry; Environmental Sciences &amp; Ecology</t>
  </si>
  <si>
    <t>781OS</t>
  </si>
  <si>
    <t>WOS:000291943800004</t>
  </si>
  <si>
    <t>Roberts, P</t>
  </si>
  <si>
    <t>Roberts, P.</t>
  </si>
  <si>
    <t>European Antarctic: Science and Strategy in Scandinavia and the British Empire</t>
  </si>
  <si>
    <t>EUROPEAN ANTARCTIC: SCIENCE AND STRATEGY IN SCANDINAVIA AND THE BRITISH EMPIRE</t>
  </si>
  <si>
    <t>Palgrave Studies in Cultural and Intellectual History</t>
  </si>
  <si>
    <t>EXPLORATION; EXPEDITION; CAMBRIDGE; PLACE; GEOGRAPHY; FLIGHTS; OXFORD; LAND; IGY; WAR</t>
  </si>
  <si>
    <t>PALGRAVE</t>
  </si>
  <si>
    <t>BASINGSTOKE</t>
  </si>
  <si>
    <t>HOUNDMILLS, BASINGSTOKE RG21 6XS, ENGLAND</t>
  </si>
  <si>
    <t>978-0-230-33790-9; 978-0-230-11591-0</t>
  </si>
  <si>
    <t>PALGRAVE STUD CULT</t>
  </si>
  <si>
    <t>10.1057/9780230337909</t>
  </si>
  <si>
    <t>History &amp; Philosophy Of Science</t>
  </si>
  <si>
    <t>History &amp; Philosophy of Science</t>
  </si>
  <si>
    <t>BDV48</t>
  </si>
  <si>
    <t>WOS:000315122000010</t>
  </si>
  <si>
    <t>Roberts, Peder</t>
  </si>
  <si>
    <t>The European Antarctic Science and Strategy in Scandinavia and the British Empire Introduction</t>
  </si>
  <si>
    <t>Editorial Material; Book Chapter</t>
  </si>
  <si>
    <t>WOS:000315122000001</t>
  </si>
  <si>
    <t>Science, Commerce, and the State</t>
  </si>
  <si>
    <t>WOS:000315122000002</t>
  </si>
  <si>
    <t>Imperial Science in the Antarctic</t>
  </si>
  <si>
    <t>WOS:000315122000003</t>
  </si>
  <si>
    <t>The Union of Hunting and Research</t>
  </si>
  <si>
    <t>WOS:000315122000004</t>
  </si>
  <si>
    <t>Ivory Towers and Icy Frontiers</t>
  </si>
  <si>
    <t>WOS:000315122000005</t>
  </si>
  <si>
    <t>The (Re)invention of a Swedish Tradition</t>
  </si>
  <si>
    <t>WOS:000315122000006</t>
  </si>
  <si>
    <t>A Successful Failure</t>
  </si>
  <si>
    <t>WOS:000315122000007</t>
  </si>
  <si>
    <t>The Cold War Comes to the Coldest Continent</t>
  </si>
  <si>
    <t>WOS:000315122000008</t>
  </si>
  <si>
    <t>Epilogue: A Continent for Performing Science</t>
  </si>
  <si>
    <t>WOS:000315122000009</t>
  </si>
  <si>
    <t>Moreira, E; Galotti, A; Gordillo, FJL</t>
  </si>
  <si>
    <t>Moreira, Elena; Galotti, Andrea; Gordillo, Francisco J. L.</t>
  </si>
  <si>
    <t>MOST INTERTIDAL ANTARCTIC MACROALGAE SHOW HIGH RESILIENCE TO OCEAN ACIDIFICATION</t>
  </si>
  <si>
    <t>EUROPEAN JOURNAL OF PHYCOLOGY</t>
  </si>
  <si>
    <t>[Moreira, Elena; Gordillo, Francisco J. L.] Univ Malaga, Dept Ecol, E-29071 Malaga, Spain; [Galotti, Andrea] Univ Jaen, Dept Ecol, Jaen, Spain</t>
  </si>
  <si>
    <t>Universidad de Malaga; Universidad de Jaen</t>
  </si>
  <si>
    <t>moreira@uma.es; agalotti@ujaen.es; gordillo@uma.es</t>
  </si>
  <si>
    <t>Gordillo, Francisco/H-8524-2015; de Souza, Andréa/F-5656-2012</t>
  </si>
  <si>
    <t>Gordillo, Francisco/0000-0003-1302-7213;</t>
  </si>
  <si>
    <t>0967-0262</t>
  </si>
  <si>
    <t>EUR J PHYCOL</t>
  </si>
  <si>
    <t>Eur. J. Phycol.</t>
  </si>
  <si>
    <t>880PF</t>
  </si>
  <si>
    <t>WOS:000299418700055</t>
  </si>
  <si>
    <t>Micheli, C; Cianchi, R; Paperi, R; Pushraraj, B</t>
  </si>
  <si>
    <t>Micheli, Carla; Cianchi, Rossella; Paperi, Raffaella; Pushraraj, Benjamin</t>
  </si>
  <si>
    <t>TRACKING GLOBAL CHANGES IN ANTARCTIC CYANOBACTERIA BIODIVERSITY</t>
  </si>
  <si>
    <t>[Micheli, Carla] ENEA, Res Ctr Casaccia, I-00100 Rome, Italy; [Cianchi, Rossella] Univ Sapienza, Dept Genet &amp; Mol Biol, Rome, Italy; [Paperi, Raffaella; Pushraraj, Benjamin] CNR ISE, Inst Ecosyst Studies, Florence, Italy</t>
  </si>
  <si>
    <t>Italian National Agency New Technical Energy &amp; Sustainable Economics Development; Sapienza University Rome; Consiglio Nazionale delle Ricerche (CNR); Istituto per lo Studio degli Ecosistemi (ISE-CNR)</t>
  </si>
  <si>
    <t>carla.micheli@enea.it</t>
  </si>
  <si>
    <t>Micheli, Carla/U-4382-2019</t>
  </si>
  <si>
    <t>WOS:000299418700285</t>
  </si>
  <si>
    <t>Runcie, JW; Riddle, MJ</t>
  </si>
  <si>
    <t>Runcie, John W.; Riddle, Martin J.</t>
  </si>
  <si>
    <t>Distinguishing downregulation from other non-photochemical quenching of an Antarctic benthic macroalga using in situ fluorometry</t>
  </si>
  <si>
    <t>Antarctica; chlorophyll fluorescence; dark acclimation; in situ; Iridaea sp.; irradiance; macroalgae; non-photochemical quenching</t>
  </si>
  <si>
    <t>RAPID LIGHT CURVES; CHLOROPHYLL-FLUORESCENCE; PHOTOSYNTHETIC PARAMETERS; MARINE MACROALGAE; QUANTUM YIELD; INDUCTION; STATE; SEA</t>
  </si>
  <si>
    <t>The quantum yield of chlorophyll a fluorescence of an Antarctic macroalga, Iridaea cordata, was measured in situ using logging fluorometers with an automated dark-acclimation capability throughout several diel periods. Application of far-red light and dark acclimation enabled the automated determination of photochemical quenching and non-photochemical quenching parameters that have until recently been restricted to manual measurement in terrestrial and shallow water environments. Our results show that non-photochemical quenching processes in Iridaea thalli that have been exposed to moderately high irradiances during the day, take all night to relax. We also show that, for algae exposed to relatively high light during the day, around 30-40% of total excitation flux is allocated to basal intrinsic non-radiative decay processes, with the remainder allocated to downregulation or photochemistry. The ability to evaluate the allocation of energy to these fundamentally different non-photochemical quenching processes has direct applications in assessing algal responses to both natural and anthropogenic stress. With this technology we open the door to a far more detailed examination of the regulation and kinetics of in situ photosynthesis and associated non-photochemical processes.</t>
  </si>
  <si>
    <t>[Runcie, John W.] Univ Sydney, Sch Biol Sci, Sydney, NSW 2006, Australia; [Runcie, John W.; Riddle, Martin J.] Australian Antarctic Div, Kingston, Tas 7050, Australia; [Runcie, John W.] Aquat Pty Ltd, Umina Beach, NSW 2257, Australia</t>
  </si>
  <si>
    <t>University of Sydney; Australian Antarctic Division</t>
  </si>
  <si>
    <t>Runcie, JW (corresponding author), Univ Sydney, Sch Biol Sci, Sydney, NSW 2006, Australia.</t>
  </si>
  <si>
    <t>john.runcie@sydney.edu.au</t>
  </si>
  <si>
    <t>[2201]; [2256]; [2656]</t>
  </si>
  <si>
    <t>; ;</t>
  </si>
  <si>
    <t>The authors thank divers (Andrew Cawthorne, Norm Bracken and diving expeditioners of ANARE 05/06 and 06/07) and engineers (Martin Buggeln, Peter Kernebone, Steven Whiteside) for their assistance. JWR thanks Alan Millar for helpful discussions regarding taxonomic issues. Two anonymous reviewers are also thanked for their careful evaluation of the manuscript and helpful comments. This study was supported by grants awarded to Australian Antarctic Science projects 2201, 2256 and 2656.</t>
  </si>
  <si>
    <t>1469-4433</t>
  </si>
  <si>
    <t>10.1080/09670262.2011.584635</t>
  </si>
  <si>
    <t>880OT</t>
  </si>
  <si>
    <t>WOS:000299417500001</t>
  </si>
  <si>
    <t>Sorhannus, U</t>
  </si>
  <si>
    <t>Sorhannus, Ulf</t>
  </si>
  <si>
    <t>Evolution of Antifreeze Protein Genes in the Diatom Genus Fragilariopsis: Evidence for Horizontal Gene Transfer, Gene Duplication and Episodic Diversifying Selection</t>
  </si>
  <si>
    <t>EVOLUTIONARY BIOINFORMATICS</t>
  </si>
  <si>
    <t>diatom; antifreeze protein; horizontal gene transfer; episodic evolution; positive selection; sea ice</t>
  </si>
  <si>
    <t>ICE-BINDING PROTEINS; MULTIPLE SEQUENCE ALIGNMENT; PHYLOGENETIC INFERENCE; ANTARCTIC FISH; MAFFT; ACCURACY; GENOME; MODEL</t>
  </si>
  <si>
    <t>Hypotheses about horizontal transfer of antifreeze protein genes to ice-living diatoms were addressed using two different statistical methods available in the program Prunier. The role of diversifying selection in driving the differentiation of a set of antifreeze protein genes in the diatom genus Fragilariopsis was also investigated. Four horizontal gene transfer events were identified. Two of these took place between two major eukaryote lineages, that is from the diatom Chaetoceros neogracile to the copepod Stephos longipes and from a basidiomycete clade to a monophyletic group, consisting of the diatom species Fragilariopsis curta and Fragilariopsis cylindrus. The remaining two events included transfers from an ascomycete lineage to the proteobacterium Stigmatella aurantiaca and from the proteobacterium Polaribacter irgensii to a group composed of 4 proteobacterium species. After the Fragilariopsis lineage acquired the antifreeze protein gene from the basidiomycetes, it duplicated and went through episodic evolution, characterized by strong positive selection acting on short segments of the branches in the tree. This selection pattern suggests that the paralogs differentiated functionally over relatively short time periods. Taken together, the results obtained here indicate that the group of antifreeze protein genes considered here have a complex evolutionary history.</t>
  </si>
  <si>
    <t>Edinboro Univ Penn, Dept Biol &amp; Hlth Serv, Edinboro, PA 16444 USA</t>
  </si>
  <si>
    <t>Pennsylvania State System of Higher Education (PASSHE); Edinboro University</t>
  </si>
  <si>
    <t>Sorhannus, U (corresponding author), Edinboro Univ Penn, Dept Biol &amp; Hlth Serv, Edinboro, PA 16444 USA.</t>
  </si>
  <si>
    <t>usorhannus@edinboro.edu</t>
  </si>
  <si>
    <t>BIOINFORMATICS INST</t>
  </si>
  <si>
    <t>AUCKLAND</t>
  </si>
  <si>
    <t>UNIV AUCKLAND, PRIVATE BAG, AUCKLAND, 00000, NEW ZEALAND</t>
  </si>
  <si>
    <t>1176-9343</t>
  </si>
  <si>
    <t>EVOL BIOINFORM</t>
  </si>
  <si>
    <t>Evol. Bioinform.</t>
  </si>
  <si>
    <t>10.4137/EBO.S8321</t>
  </si>
  <si>
    <t>Evolutionary Biology; Mathematical &amp; Computational Biology</t>
  </si>
  <si>
    <t>884GX</t>
  </si>
  <si>
    <t>WOS:000299694000006</t>
  </si>
  <si>
    <t>Shivaji, S; Pratibha, MS; Sailaja, B; Kishore, KH; Singh, AK; Begum, Z; Anarasi, U; Prabagaran, SR; Reddy, GSN; Srinivas, TNR</t>
  </si>
  <si>
    <t>Shivaji, S.; Pratibha, M. S.; Sailaja, B.; Kishore, K. Hara; Singh, Ashish K.; Begum, Z.; Anarasi, Uttam; Prabagaran, S. R.; Reddy, G. S. N.; Srinivas, T. N. R.</t>
  </si>
  <si>
    <t>Bacterial diversity of soil in the vicinity of Pindari glacier, Himalayan mountain ranges, India, using culturable bacteria and soil 16S rRNA gene clones</t>
  </si>
  <si>
    <t>EXTREMOPHILES</t>
  </si>
  <si>
    <t>Himalayan glacier; Pindari glacier; 16S rRNA gene clone library; Psychrophiles; Psychrophilic enzymes; Cellular fatty acids</t>
  </si>
  <si>
    <t>SP-NOV.; MICROBIAL COMMUNITY; PSYCHROPHILIC BACTERIUM; PHYSIOLOGICAL DIVERSITY; VERTICAL-DISTRIBUTION; SCHIRMACHER OASIS; HAMTA GLACIER; RAPID METHOD; ICE CORE; COLD</t>
  </si>
  <si>
    <t>Three 16S rRNA gene clone libraries (P1L, P4L and P8L) were constructed using three soil samples (P1S, P4S and P8S) collected near Pindari glacier, Himalayas. The three libraries yielded a total of 703 clones. Actinobacteria, Firmicutes and Proteobacteria were common to the three libraries. In addition to the above P1L and P8L shared the phyla Acidobacteria, Bacteroidetes, Gemmatimonadetes and Planctomycetes. Phyla Chlamydiae, Chlorobi, Chloroflexi, Dictyoglomi, Fibrobacteres, Nitrospirae, Verrucomicrobia, candidate division SPAM and candidate TM7s TM7a phylum were present only in P1L. Rarefaction analysis indicated that the bacterial diversity in P4S and P8S soil samples was representative of the sample. Principal component analysis (PCA) revealed that P1S and P8S were different from P4S soil sample. PCA also indicated that arsenic content, pH, Cr and altitude influence the observed differences in the percentage of specific OTUs in the three 16S rRNA gene clone libraries. The observed bacterial diversity was similar to that observed for other Himalayan and non-polar cold habitats. A total of 40 strains of bacteria were isolated from the above three soil samples and based on the morphology 20 bacterial strains were selected for further characterization. The 20 bacteria belonged to 12 different genera. All the isolates were psychro-, halo- and alkalitolerant. Amylase and urease activities were detected in majority of the strains but lipase and protease activities were not detected. Long chain, saturated, unsaturated and branched fatty acids were predominant in the psychrotolerant bacteria.</t>
  </si>
  <si>
    <t>[Shivaji, S.; Pratibha, M. S.; Sailaja, B.; Kishore, K. Hara; Singh, Ashish K.; Begum, Z.; Anarasi, Uttam; Prabagaran, S. R.; Reddy, G. S. N.; Srinivas, T. N. R.] Ctr Cellular &amp; Mol Biol, Hyderabad 500007, Andhra Pradesh, India</t>
  </si>
  <si>
    <t>Council of Scientific &amp; Industrial Research (CSIR) - India; CSIR - Centre for Cellular &amp; Molecular Biology (CCMB)</t>
  </si>
  <si>
    <t>shivas@ccmb.res.in</t>
  </si>
  <si>
    <t>Singh, Ashish/AAK-6513-2020; TANUKU, SRINIVAS N R/F-1029-2013</t>
  </si>
  <si>
    <t>Singh, Ashish/0000-0001-8076-0816; shivaji, sisinthy/0000-0003-0376-4658</t>
  </si>
  <si>
    <t>Department of Biotechnology, Government of India; Council of Scientific and Industrial Research, Government of India</t>
  </si>
  <si>
    <t>Department of Biotechnology, Government of India(Department of Biotechnology (DBT) India); Council of Scientific and Industrial Research, Government of India(Council of Scientific &amp; Industrial Research (CSIR) - India)</t>
  </si>
  <si>
    <t>We would like to thank the Department of Biotechnology and Council of Scientific and Industrial Research, Government of India, for financial support to Dr. S. Shivaji. T.N.R.S. acknowledges the CSIR, Government of India, for the award of Research Associateship. We would like to thank Dr. S. M. Singh, Scientist, from National Centre for Antarctic Ocean Research, Goa, for providing the data on the soil chemical characteristics.</t>
  </si>
  <si>
    <t>SPRINGER JAPAN KK</t>
  </si>
  <si>
    <t>TOKYO</t>
  </si>
  <si>
    <t>SHIROYAMA TRUST TOWER 5F, 4-3-1 TORANOMON, MINATO-KU, TOKYO, 105-6005, JAPAN</t>
  </si>
  <si>
    <t>1431-0651</t>
  </si>
  <si>
    <t>1433-4909</t>
  </si>
  <si>
    <t>Extremophiles</t>
  </si>
  <si>
    <t>10.1007/s00792-010-0333-4</t>
  </si>
  <si>
    <t>703TL</t>
  </si>
  <si>
    <t>WOS:000286004100001</t>
  </si>
  <si>
    <t>Zhang, YJ; Zhao, J; Zeng, RY</t>
  </si>
  <si>
    <t>Zhang, Yingjing; Zhao, Jing; Zeng, Runying</t>
  </si>
  <si>
    <t>Expression and characterization of a novel mesophilic protease from metagenomic library derived from Antarctic coastal sediment</t>
  </si>
  <si>
    <t>Protease; Metagenomic library; Antarctic</t>
  </si>
  <si>
    <t>PYROCOCCUS-FURIOSUS; MICROBIAL ENZYMES; SERINE PROTEASES; ACTIVE LIPASE; CLONING; SUBTILISIN; GENE; MICROORGANISMS; BACTERIA; IDENTIFICATION</t>
  </si>
  <si>
    <t>A metagenomic cosmid library was constructed, in which the insert DNA was derived from the coastal sediment near Antarctic China Zhongshan Station. One clone (ACPRO001) expressing protease activity was isolated from the library using milk agar plates. Sequencing of the clone revealed a novel protease gene. The amino acid sequence comparison and phylogenetic analysis indicated that it could be classified as a subtilisin-like serine protease, though the highly conserved residue Asp was replaced by Ala. The ACPRO001 protease gene was expressed in pET-His and purified for characterization. The optimal temperature and pH for the activity of the ACPRO001 protease were 60A degrees C and pH 9.0, respectively. The enzyme retained about 73% of residual activity after 2 h incubation at 50A degrees C in the presence of Ca2+. The presence of Ca2+ increased the thermostability of ACPRO001 protease obviously. The enzymatic activity was inhibited by 1 mM phenylmethyl sulfonylfluoride (PMSF) and hydrochloride 4-(2-aminoethyl)-benzenesulfonyl fluoride (AEBSF), indicating that it was a serine protease.</t>
  </si>
  <si>
    <t>[Zhang, Yingjing; Zeng, Runying] SOA, Inst Oceanog 3, Key Lab Marine Biogenet Resources, Xiamen 361005, Peoples R China; [Zhao, Jing] Xiamen Univ, Coll Oceanog &amp; Environm Sci, Xiamen 361005, Peoples R China</t>
  </si>
  <si>
    <t>Third Institute of Oceanography, Ministry of Natural Resources; Xiamen University</t>
  </si>
  <si>
    <t>Zeng, RY (corresponding author), SOA, Inst Oceanog 3, Key Lab Marine Biogenet Resources, Daxue Rd 178, Xiamen 361005, Peoples R China.</t>
  </si>
  <si>
    <t>runyingzeng@yahoo.com.cn</t>
  </si>
  <si>
    <t>National High Technology Research and Development Program (863 program) [2007AA091407]; China Ocean Mineral Resources R&amp;D Association (COMRA) [DYXM-115-02-2-04]</t>
  </si>
  <si>
    <t>National High Technology Research and Development Program (863 program)(National High Technology Research and Development Program of China); China Ocean Mineral Resources R&amp;D Association (COMRA)</t>
  </si>
  <si>
    <t>This work was supported by National High Technology Research and Development Program (863 program, 2007AA091407) and China Ocean Mineral Resources R&amp;D Association (COMRA) Program (DYXM-115-02-2-04).</t>
  </si>
  <si>
    <t>CHIYODA FIRST BLDG EAST, 3-8-1 NISHI-KANDA, CHIYODA-KU, TOKYO, 101-0065, JAPAN</t>
  </si>
  <si>
    <t>10.1007/s00792-010-0332-5</t>
  </si>
  <si>
    <t>WOS:000286004100002</t>
  </si>
  <si>
    <t>Patterson, TA; Hartmann, K</t>
  </si>
  <si>
    <t>Patterson, Toby A.; Hartmann, Klaas</t>
  </si>
  <si>
    <t>Designing satellite tagging studies: estimating and optimizing data recovery</t>
  </si>
  <si>
    <t>FISHERIES OCEANOGRAPHY</t>
  </si>
  <si>
    <t>animal movement; behaviour; pop-up tags; satellite tagging; study design</t>
  </si>
  <si>
    <t>TUNA THUNNUS-THYNNUS; SOUTHERN BLUEFIN TUNA; POPULATION-STRUCTURE; HABITAT UTILIZATION; LOCATION ACCURACY; TELEMETRY; TRACKING; BEHAVIOR; MOVEMENTS; ANIMALS</t>
  </si>
  <si>
    <t>Satellite telemetry is used routinely to collect and transmit movement, behaviour and environmental data from free-ranging animals. Satellite tags (hereafter SATs) are essential for collecting in situ data from animals where manual retrieval of a data logger is impossible. The collected data is fundamental for scientific and many management applications. However, the amount of data a SAT can transmit is limited by its battery life, transmission opportunities, bandwidth and satellite coverage. When designing a SAT study, these factors should be taken into account to ensure that limited transmissions are utilized as effectively as possible. In this paper we present a theoretical discussion of the factors that influence the data transmission and present tools for designing effective SAT studies. We calculate the optimal sampling period for the tag given its expected lifetime and regional variation in satellite coverage. Taking these factors into account allows prediction of the expected number of tags required to meet targets for a deployment. These methods are applied to a case study of a highly migratory pelagic fish tagged with popup archival satellite tags (PSATs). Our findings will be useful for SAT study design in general and demonstrate an approach which can reduce the ad hoc nature of SAT deployments.</t>
  </si>
  <si>
    <t>[Patterson, Toby A.] CSIRO Wealth Oceans Res Flagship &amp; Marine &amp; Atmos, Hobart, Tas 7001, Australia; [Hartmann, Klaas] Inst Marine &amp; Antarctic Studies Nubeena Crescent, Taroona, Tas 7053, Australia</t>
  </si>
  <si>
    <t>Commonwealth Scientific &amp; Industrial Research Organisation (CSIRO); University of Tasmania</t>
  </si>
  <si>
    <t>Patterson, TA (corresponding author), CSIRO Wealth Oceans Res Flagship &amp; Marine &amp; Atmos, GPO Box 1538, Hobart, Tas 7001, Australia.</t>
  </si>
  <si>
    <t>Toby.Patterson@csiro.au</t>
  </si>
  <si>
    <t>Patterson, Toby A/B-3836-2011; Hartmann, Klaas/B-3991-2008</t>
  </si>
  <si>
    <t>CSIRO; Australian Fisheries Management Authority; Department of Agriculture Fisheries and Forestry</t>
  </si>
  <si>
    <t>CSIRO(Commonwealth Scientific &amp; Industrial Research Organisation (CSIRO)); Australian Fisheries Management Authority; Department of Agriculture Fisheries and Forestry(Australian GovernmentDepartment of Agriculture and Water Resources)</t>
  </si>
  <si>
    <t>Karen Evans, Thor Carter, Matt Lansdell and John Gunn were instrumental in the deployment of PSATs on SBT. SBT PSAT data was collected with funding from CSIRO, the Australian Fisheries Management Authority and Department of Agriculture Fisheries and Forestry. Two anonymous referees provided extensive and valuable suggestions.</t>
  </si>
  <si>
    <t>1054-6006</t>
  </si>
  <si>
    <t>1365-2419</t>
  </si>
  <si>
    <t>FISH OCEANOGR</t>
  </si>
  <si>
    <t>Fish Oceanogr.</t>
  </si>
  <si>
    <t>10.1111/j.1365-2419.2011.00595.x</t>
  </si>
  <si>
    <t>Fisheries; Oceanography</t>
  </si>
  <si>
    <t>836TE</t>
  </si>
  <si>
    <t>WOS:000296134400001</t>
  </si>
  <si>
    <t>Achberger, AM; Brox, TI; Skidmore, ML; Christner, BC</t>
  </si>
  <si>
    <t>Achberger, Amanda Marie; Brox, Timothy Ian; Skidmore, Mark Leslie; Christner, Brent Craig</t>
  </si>
  <si>
    <t>Expression and partial characterization of an ice-binding protein from a bacterium isolated at a depth of 3,519 m in the Vostok ice core, Antarctica</t>
  </si>
  <si>
    <t>FRONTIERS IN MICROBIOLOGY</t>
  </si>
  <si>
    <t>ice-binding protein; recrystallization inhibition; polycrystalline ice; freeze tolerance</t>
  </si>
  <si>
    <t>ANTIFREEZE PROTEIN; RECRYSTALLIZATION INHIBITION; LAKE VOSTOK; MICROBIAL RESPIRATION; SUBZERO TEMPERATURES; SURVIVAL; WATER; MICROORGANISMS; TERRESTRIAL; DIVERSITY</t>
  </si>
  <si>
    <t>Cryopreservation of microorganisms in ancient glacial ice is possible if lethal levels of macromolecular damage are not incurred and cellular integrity is not compromised via intracellular ice formation or recrystallization. Previously, a bacterium (isolate 3519-10) recovered from a depth of 3,519 m below the surface in the Vostok ice core was shown to secrete an ice-binding protein (IBP) that inhibits the recrystallization of ice. To explore the advantage that I BPs confer to ice-entrapped cells, experiments were designed to examine the expression of 3519-10's I BP gene and protein at different temperatures, assess the effect of the IBP on bacterial viability in ice, and determine how the IBP influences the physical structure of the ice. Total RNA isolated from cultures grown between 4 and 25 degrees C and analyzed by reverse transcription-PCR indicated constitutive expression of the IBP gene. Sodium dodecyl sulfate-polyacrylamide gel electrophoretic analysis of 3519-10's extracellular proteins revealed a polypeptide of the predicted size of the 54-kDa IBP at all temperatures tested. In the presence of 100 mu g mL(-1) of extracellular protein from 3519-10, the survival of Escherichia coli was increased by greater than 100-fold after 5 freeze-thaw cycles. Microscopic analysis of ice formed in the presence of the IBP indicated that per square millimeter field of view, there were similar to 5 times as many crystals as in ice formed in the presence of washed 3519-10 cells and non-IBP producing bacteria, and similar to 10 times as many crystals as in filtered deionized water. Presumably, the effect that the I B P has on bacterial viability and ice crystal structure is due to its activity as an inhibitor of ice recrystallization. A myriad of molecular adaptations are likely to play a role in bacterial persistence under frozen conditions, but the ability of 3519-10's IBP to control ice crystal structure, and thus the liquid vein network within the ice, may provide one explanation for its successful survival deep within the Antarctic ice sheet for thousands of years.</t>
  </si>
  <si>
    <t>[Achberger, Amanda Marie; Christner, Brent Craig] Louisiana State Univ, Dept Biol Sci, Baton Rouge, LA 70803 USA; [Brox, Timothy Ian; Skidmore, Mark Leslie] Montana State Univ, Dept Earth Sci, Bozeman, MT 59717 USA</t>
  </si>
  <si>
    <t>Louisiana State University System; Louisiana State University; Montana State University System; Montana State University Bozeman</t>
  </si>
  <si>
    <t>Christner, BC (corresponding author), Louisiana State Univ, Dept Biol Sci, 282 Life Sci Bldg, Baton Rouge, LA 70803 USA.</t>
  </si>
  <si>
    <t>xner@lsu.edu</t>
  </si>
  <si>
    <t>Achberger, Amanda/0000-0001-5738-2255; Brox, Timothy/0000-0002-5294-0307</t>
  </si>
  <si>
    <t>National Science Foundation [EAR-0525567, ANT-0636828, ANT-0636770]; NSF [ANT-0838941]; Howard Hughes Medical Institute Biomedical Education Program; Montana Space Grant Consortium (MSGC) as part of the Montana NASA EPSCoR Program; Montana State University (MSU) Undergraduate Scholars Program; MSGC; Division Of Polar Programs; Directorate For Geosciences [0838941] Funding Source: National Science Foundation</t>
  </si>
  <si>
    <t>National Science Foundation(National Science Foundation (NSF)); NSF(National Science Foundation (NSF)); Howard Hughes Medical Institute Biomedical Education Program; Montana Space Grant Consortium (MSGC) as part of the Montana NASA EPSCoR Program; Montana State University (MSU) Undergraduate Scholars Program; MSGC; Division Of Polar Programs; Directorate For Geosciences(National Science Foundation (NSF)NSF - Directorate for Geosciences (GEO))</t>
  </si>
  <si>
    <t>This research was partially supported by grants EAR-0525567, ANT-0636828, and ANT-0636770 from the National Science Foundation, Amanda Marie Achberger was also supported by funding from the NSF award ANT-0838941 and the Howard Hughes Medical Institute Biomedical Education Program. Timothy Ian Brox was also supported by scholarships from Montana Space Grant Consortium (MSGC) as part of the Montana NASA EPSCoR Program and the Montana State University (MSU) Undergraduate Scholars Program and an award to Mark Leslie Skidmore from MSGC. Mark Leslie Skidmore and Timothy Ian Brox are grateful for use of the Subzero Science and Engineering Research Facility at MSU.</t>
  </si>
  <si>
    <t>FRONTIERS MEDIA SA</t>
  </si>
  <si>
    <t>LAUSANNE</t>
  </si>
  <si>
    <t>AVENUE DU TRIBUNAL FEDERAL 34, LAUSANNE, CH-1015, SWITZERLAND</t>
  </si>
  <si>
    <t>1664-302X</t>
  </si>
  <si>
    <t>FRONT MICROBIOL</t>
  </si>
  <si>
    <t>Front. Microbiol.</t>
  </si>
  <si>
    <t>10.3389/fmicb.2011.00255</t>
  </si>
  <si>
    <t>V31DE</t>
  </si>
  <si>
    <t>WOS:000208863500263</t>
  </si>
  <si>
    <t>Bertrand, EM; Saito, MA; Lee, PA; Dunbar, RB; Sedwick, PN; DiTullio, GR</t>
  </si>
  <si>
    <t>Bertrand, Erin M.; Saito, Mak A.; Lee, Peter A.; Dunbar, Robert B.; Sedwick, Peter N.; DiTullio, Giacomo R.</t>
  </si>
  <si>
    <t>Iron limitation of a springtime bacterial and phytoplankton community in the Ross Sea: implications for vitamin B12 nutrition</t>
  </si>
  <si>
    <t>iron limitation; vitamin B-12; Ross Sea; colimitation; bacteria; phytoplankton; iron fertilization</t>
  </si>
  <si>
    <t>ANTARCTIC CIRCUMPOLAR CURRENT; SOUTHERN-OCEAN; ORGANIC-MATTER; GROWTH; STRESS; ZINC; B-12; COLIMITATION; ENRICHMENT; IDENTIFICATION</t>
  </si>
  <si>
    <t>The Ross Sea is home to some of the largest phytoplankton blooms in the Southern Ocean. Primary production in this system has previously been shown to be iron limited in the summer and periodically iron and vitamin B-12 colimited. In this study, we examined trace metal limitation of biological activity in the Ross Sea in the austral spring and considered possible implications for vitamin B-12 nutrition. Bottle incubation experiments demonstrated that iron limited phytoplankton growth in the austral spring while B-12, cobalt, and zinc did not. This is the first demonstration of iron limitation in a Phaeocystis antarctica-dominated, early season Ross Sea phytoplankton community. The lack of B-12 limitation in this location is consistent with previous Ross Sea studies in the austral summer, wherein vitamin additions did not stimulate P antarctica growth and B-12 was limiting only when bacterial abundance was low. Bottle incubation experiments and a bacterial regrowth experiment also revealed that iron addition directly enhanced bacterial growth. B-12 uptake measurements in natural water samples and in an iron fertilized bottle incubation demonstrated that bacteria serve not only as a source for vitamin B-12, but also as a significant sink, and that iron additions enhanced B-12 uptake rates in phytoplankton but not bacteria. Additionally, vitamin uptake rates did not become saturated upon the addition of up to 95 pM B-12. A rapid B-12 uptake rate was observed after 13 min, which then decreased to a slower constant uptake rate over the next 52 h. Results from this study highlight the importance of iron availability in limiting early season Ross Sea phytoplankton growth and suggest that rates of vitamin B-12 production and consumption may be impacted by iron availability.</t>
  </si>
  <si>
    <t>[Bertrand, Erin M.] Woods Hole Oceanog Inst, MIT WHOI Joint Program Chem Oceanog, Woods Hole, MA 02543 USA; [Bertrand, Erin M.; Saito, Mak A.] Woods Hole Oceanog Inst, Dept Marine Chem &amp; Geochem, Woods Hole, MA 02543 USA; [Lee, Peter A.; DiTullio, Giacomo R.] Coll Charleston, Hollings Marine Lab, Charleston, SC 29401 USA; [Dunbar, Robert B.] Stanford Univ, Dept Environm Earth Syst Sci, Stanford, CA 94305 USA; [Sedwick, Peter N.] Old Dominion Univ, Dept Ocean Earth &amp; Atmospher Sci, Norfolk, VA USA</t>
  </si>
  <si>
    <t>Woods Hole Oceanographic Institution; Massachusetts Institute of Technology (MIT); Woods Hole Oceanographic Institution; College of Charleston; Stanford University; Old Dominion University</t>
  </si>
  <si>
    <t>Saito, MA (corresponding author), Woods Hole Oceanog Inst, Dept Marine Chem &amp; Geochem, 360 Woods Hole Rd, Woods Hole, MA 02543 USA.</t>
  </si>
  <si>
    <t>msaito@whoi.edu</t>
  </si>
  <si>
    <t>Saito, Mak/ADT-4986-2022</t>
  </si>
  <si>
    <t>Sedwick, Peter/0000-0003-0663-8323; Dunbar, Robert/0000-0002-9728-5609</t>
  </si>
  <si>
    <t>NSF [OCE-0752291, OPP-0440840, OPP-0338097, OPP-0338164, ANT-0732665, OCE-0452883, OCE-1031271]; Center for Microbial Oceanography Research and Education (CMORE); National Science Foundation (NSF) Graduate Research Fellowship [2007037200]; Environmental Protection Agency STAR Fellowship [F6E20324]; EPA [F6E20324, 910564] Funding Source: Federal RePORTER</t>
  </si>
  <si>
    <t>NSF(National Science Foundation (NSF)); Center for Microbial Oceanography Research and Education (CMORE); National Science Foundation (NSF) Graduate Research Fellowship(National Science Foundation (NSF)); Environmental Protection Agency STAR Fellowship(United States Environmental Protection Agency); EPA(United States Environmental Protection Agency)</t>
  </si>
  <si>
    <t>We thank David Hutchins for access to his laboratory van and for helpful discussions. Thanks to Julie Rose for training in phytoplankton identification, bacterial enumeration and helpful discussions, and to Ben Van Mooy for suggestions on bacterial regrowth studies and comments on the manuscript. We are grateful to Daniel Repeta, Phoebe Lam, Dawn Moran and Abigail Noble for comments on the manuscript. Thanks also to Bettina Sohst and Giulio Catalano for nutrient analyses and to Tyler Goepfert for help in incubation setup and sample processing. Special thanks to the Captain, Crew, and Raytheon Marine and Science Technical Staff of the RVIB N. B. Palmer and the CORSACS science parties. This research was supported by NSF grants OCE-0752291, OPP-0440840, OPP-0338097, OPP-0338164, ANT-0732665, OCE-0452883, and OCE-1031271, the Center for Microbial Oceanography Research and Education (CMORE) and a National Science Foundation (NSF) Graduate Research Fellowship (2007037200) and an Environmental Protection Agency STAR Fellowship to EMB (F6E20324).</t>
  </si>
  <si>
    <t>10.3389/fmicb.2011.00160</t>
  </si>
  <si>
    <t>WOS:000208863500169</t>
  </si>
  <si>
    <t>Ferrari, BC; Zhang, CD; Dorst, J</t>
  </si>
  <si>
    <t>Ferrari, Belinda C.; Zhang, Chengdong; Dorst, Josievan</t>
  </si>
  <si>
    <t>Recovering greater fungal diversity from pristine and diesel fuel contaminated sub-Antarctic soil through cultivation using both a high and a low nutrient media approach</t>
  </si>
  <si>
    <t>novel cultivation; fungi; sub-Antarctic; soil; diversity; hydrocarbon degradation</t>
  </si>
  <si>
    <t>Novel cultivation strategies for bacteria are widespread and well described for recovering greater diversity from the hitherto unculturable majority. While similar approaches have not yet been demonstrated for fungi it has been suggested that of the 1.5 million estimated species less than 5% have been recovered into pure culture. Fungi are known to be involved in many degradative processes, including the breakdown of petroleum hydrocarbons, and it has been speculated that in Polar Regions they contribute significantly to bioremediation of contaminated soils. Given the biotechnological potential of fungi there is a need to increase efforts for greater species recovery, particularly from extreme environments such as sub-Antarctic Macquarie Island. In this study, like the yet-to-be cultured bacteria, high concentrations of nutrients selected for predominantly different fungal species to that recovered using a low nutrient media. By combining both media approaches to the cultivation of fungi from contaminated and non-contaminated soils, 91 fungal species were recovered, including 63 unidentified species. A preliminary biodegradation activity assay on a selection of isolates found that a high proportion of novel and described fungal species from a range of soil samples were capable of hydrocarbon degradation and should be characterized further.</t>
  </si>
  <si>
    <t>[Ferrari, Belinda C.; Zhang, Chengdong; Dorst, Josievan] Univ New S Wales, Sch Biotechnol &amp; Biomol Sci, Randwick, NSW 2052, Australia</t>
  </si>
  <si>
    <t>University of New South Wales Sydney</t>
  </si>
  <si>
    <t>Ferrari, BC (corresponding author), Univ New S Wales, Sch Biotechnol &amp; Biomol Sci, Randwick, NSW 2052, Australia.</t>
  </si>
  <si>
    <t>b.ferrari@unsw.edu.au</t>
  </si>
  <si>
    <t>Ferrari, Belinda/AAI-3022-2020</t>
  </si>
  <si>
    <t>Ferrari, Belinda/0000-0001-5043-3726; van Dorst, Josie/0000-0002-9353-8787</t>
  </si>
  <si>
    <t>Australian Antarctic Division (AAD); UNSW</t>
  </si>
  <si>
    <t>The authors would like to thank Professor Ian Snape and the Australian Antarctic Division (AAD) for their invaluable support, involving financial assistance, access to soil samples through expeditions to Macquarie Island, and the analysis of TPH Concentrations in spiked soil samples. We would also like to thank UNSW for financial support from internal grant applications and Lily Zhang for her technical assistance.</t>
  </si>
  <si>
    <t>FRONTIERS RESEARCH FOUNDATION</t>
  </si>
  <si>
    <t>PO BOX 110, LAUSANNE, 1015, SWITZERLAND</t>
  </si>
  <si>
    <t>10.3389/fmicb.2011.00217</t>
  </si>
  <si>
    <t>WOS:000208863500225</t>
  </si>
  <si>
    <t>Vértes, PE; Nicol, RM; Chapman, SC; Watkins, NW; Robertson, DA; Bullmore, ET</t>
  </si>
  <si>
    <t>Vertes, Petra E.; Nicol, Ruth M.; Chapman, Sandra C.; Watkins, Nicholas W.; Robertson, Duncan A.; Bullmore, Edward T.</t>
  </si>
  <si>
    <t>Topological isomorphisms of human brain and financial market networks</t>
  </si>
  <si>
    <t>FRONTIERS IN SYSTEMS NEUROSCIENCE</t>
  </si>
  <si>
    <t>humanbrain; networks; financialmarkets; fMRI; topology</t>
  </si>
  <si>
    <t>COMMUNITY STRUCTURE; CONNECTIVITY; INFORMATION; PORTFOLIO; DYNAMICS; MRI</t>
  </si>
  <si>
    <t>Although metaphorical and conceptual connections between the human brain and the financial markets have often been drawn, rigorous physical or mathematical underpinnings of this analogy remain largely unexplored. Here, we apply a statistical and graph theoretic approach to the study of two datasets the time series of 90 stocks from the New York stock exchange over a 3-year period, and the fMRI-derived time series acquired from 90 brain regions over the course of a 10-min-long functional MRI scan of resting brain function in healthy volunteers. Despite the many obvious substantive differences between these two datasets, graphical analysis demonstrated striking commonalities in terms of global network topological properties. Both the human brain and the market networks were non-random, small-world, modular, hierarchical systems with fat-tailed degree distributions indicating the presence of highly connected hubs. These properties could not be trivially explained by the univariate time series statistics of stock price returns. This degree of topological isomorphism suggests that brains and markets can be regarded broadly as members of the same family of networks. The two systems, however, were not topologically identical. The financial market was more efficient and more modular more highly optimized for information processing than the brain networks; but also less robust to systemic disintegration as a result of hub deletion. We conclude that the conceptual connections between brains and markets are not merely metaphorical; rather these two information processing systems can be rigorously compared in the same mathematical language and turn out often to share important topological properties in common to some degree. There will be interesting scientific arbitrage opportunities in further work at the graph-theoretically mediated interface between systems neuroscience and the statistical physics of financial markets.</t>
  </si>
  <si>
    <t>[Vertes, Petra E.; Bullmore, Edward T.] Univ Cambridge, Behav &amp; Clin Neurosci Inst, Cambridge, England; [Nicol, Ruth M.; Chapman, Sandra C.; Watkins, Nicholas W.; Robertson, Duncan A.] Univ Warwick, Dept Phys, Ctr Fus Space &amp; Astrophys, Coventry, W Midlands, England; [Watkins, Nicholas W.] British Antarctic Survey, Cambridge, England; [Robertson, Duncan A.] Univ East Anglia London, London, England; [Robertson, Duncan A.] Univ Oxford, St Catherines Coll, Oxford, England; [Bullmore, Edward T.] Addenbrookes Hosp, GlaxoSmithKlthe Clin Unit Cambridge, Cambridge, England</t>
  </si>
  <si>
    <t>University of Cambridge; University of Warwick; UK Research &amp; Innovation (UKRI); Natural Environment Research Council (NERC); NERC British Antarctic Survey; University of Oxford; Cambridge University Hospitals NHS Foundation Trust; Addenbrooke's Hospital; University of Cambridge</t>
  </si>
  <si>
    <t>Bullmore, ET (corresponding author), Univ Cambridge, Behav &amp; Clin Neurosci Inst, Dept Psychiat, Herchel Smith Bldg Brain &amp; Mind Sci, Cambridge CB2 0SZ, England.</t>
  </si>
  <si>
    <t>etb23@cam.ac.uk</t>
  </si>
  <si>
    <t>Watkins, Nicholas Wynn/C-5140-2008; Bullmore, Ed/C-1706-2012; Chapman, Sandra/C-2216-2008; Watkins, Nick/GPX-7439-2022</t>
  </si>
  <si>
    <t>Watkins, Nicholas Wynn/0000-0003-4484-6588; Chapman, Sandra/0000-0003-0053-1584; Watkins, Nick/0000-0003-4484-6588; Vertes, Petra E./0000-0002-0992-3210; Bullmore, Edward/0000-0002-8955-8283</t>
  </si>
  <si>
    <t>Engineering and Physical Sciences Research Council; Behavioural and Clinical Neuroscience Institute, University of Cambridge; Medical Research Council; Wellcome Trust; Natural Environment Research Council; EPSRC [EP/D062837/1, EP/H02395X/1] Funding Source: UKRI; NERC [bas0100026] Funding Source: UKRI; STFC [ST/F00205X/1] Funding Source: UKRI</t>
  </si>
  <si>
    <t>Engineering and Physical Sciences Research Council(UK Research &amp; Innovation (UKRI)Engineering &amp; Physical Sciences Research Council (EPSRC)); Behavioural and Clinical Neuroscience Institute, University of Cambridge; Medical Research Council(UK Research &amp; Innovation (UKRI)Medical Research Council UK (MRC)); Wellcome Trust(Wellcome Trust); Natural Environment Research Council(UK Research &amp; Innovation (UKRI)Natural Environment Research Council (NERC)); EPSRC(UK Research &amp; Innovation (UKRI)Engineering &amp; Physical Sciences Research Council (EPSRC)); NERC(UK Research &amp; Innovation (UKRI)Natural Environment Research Council (NERC)); STFC(UK Research &amp; Innovation (UKRI)Science &amp; Technology Facilities Council (STFC))</t>
  </si>
  <si>
    <t>We thank Drs Karen Ersche and Kevin Craig who conducted the fMRI experiments, as well as Prof. Trevor Robbins. We also thank Dr. Mervyn Freeman for useful comments on the manuscript. This work was supported by a gran t from the Engineering and Physical Sciences Research Council and by the Behavioural and Clinical Neuroscience Institute, University of Cambridge, which is funded by the Medical Research Council and the Wellcome Trust. Complexity research at BAS is part o f the Polar Science for Planet Earth Programme, funded by the Natural Environment Research Council.</t>
  </si>
  <si>
    <t>1662-5137</t>
  </si>
  <si>
    <t>FRONT SYST NEUROSCI</t>
  </si>
  <si>
    <t>Front. Syst. Neurosci.</t>
  </si>
  <si>
    <t>10.3389/fnsys.2011.00075</t>
  </si>
  <si>
    <t>Neurosciences</t>
  </si>
  <si>
    <t>Neurosciences &amp; Neurology</t>
  </si>
  <si>
    <t>V19VH</t>
  </si>
  <si>
    <t>gold, Green Accepted, Green Published</t>
  </si>
  <si>
    <t>WOS:000214846000075</t>
  </si>
  <si>
    <t>Medek, DE; Evans, JR; Schortemeyer, M; Ball, MC</t>
  </si>
  <si>
    <t>Medek, Danielle E.; Evans, John R.; Schortemeyer, Marcus; Ball, Marilyn C.</t>
  </si>
  <si>
    <t>Effects of growth temperature on photosynthetic gas exchange characteristics and hydraulic anatomy in leaves of two cold-climate Poa species</t>
  </si>
  <si>
    <t>FUNCTIONAL PLANT BIOLOGY</t>
  </si>
  <si>
    <t>A-C(i) curve; cold tolerance; Macquarie Island</t>
  </si>
  <si>
    <t>STOMATAL CONDUCTANCE; ASSIMILATION RATE; CO2 ASSIMILATION; INDUCED EMBOLISM; XYLEM EMBOLISM; NITROGEN-USE; C-3 PLANTS; WATER-FLOW; ARCHITECTURE; DIAMETER</t>
  </si>
  <si>
    <t>How plastic is hydraulic anatomy with growth temperature, and how does this relate to photosynthesis? These interrelationships were studied in subantarctic Poa foliosa Hook. f. and alpine Poa hothamensis Vickery grown under 7/4 degrees C and 12/9 degrees C day/night temperatures, reflecting summer temperatures in their respective habitats. Conduit radii were smaller in P. foliosa than in P. hothamensis, consistent with greater avoidance of freeze/thaw-induced embolism. Despite its origins in an environment with relatively little temperature variation, P. foliosa exhibited greater plasticity in hydraulic anatomy than P. hothamensis, increasing the size and density of conduits when grown under the warmer temperature regime. Both species had similar anatomical capacities for water transport when grown at 12/9 degrees C, but stomatal conductance was lower in P. foliosa than P. hothamensis, suggesting hydraulic limitations not explained by leaf vascular anatomy. However, greater photosynthetic capacity and foliar nitrogen contents enabled P. foliosa to achieve the same assimilation rate as P. hothamensis under the 12/9 degrees C growth conditions. Our results showed that nitrogen plays a central role in maintaining assimilation rates when constrained either by enzymatic activity at low temperatures or by hydraulic limitations at high temperatures and evaporative demands. Interspecific differences in nitrogen and water use may influence how subantarctic and alpine vegetation responds to climate warming.</t>
  </si>
  <si>
    <t>[Medek, Danielle E.; Evans, John R.; Schortemeyer, Marcus; Ball, Marilyn C.] Australian Natl Univ, Res Sch Biol, Plant Sci Div, Canberra, ACT 0200, Australia</t>
  </si>
  <si>
    <t>Australian National University</t>
  </si>
  <si>
    <t>Medek, DE (corresponding author), Australian Natl Univ, Res Sch Biol, Plant Sci Div, GPO Box 4, Canberra, ACT 0200, Australia.</t>
  </si>
  <si>
    <t>danielle.medek@anu.edu.au</t>
  </si>
  <si>
    <t>Ball, Marilyn/D-1180-2009; Evans, John Richard/C-8424-2009</t>
  </si>
  <si>
    <t>Ball, Marilyn/0000-0001-9170-940X; Evans, John Richard/0000-0003-1379-3532</t>
  </si>
  <si>
    <t>Australian Postgraduate Award; ANU Research School of Biological Sciences; Australian Research Council [DP0452526, DP0881009]; Australian Research Council [DP0881009, DP0452526] Funding Source: Australian Research Council</t>
  </si>
  <si>
    <t>Australian Postgraduate Award(Australian Government); ANU Research School of Biological Sciences; Australian Research Council(Australian Research Council); Australian Research Council(Australian Research Council)</t>
  </si>
  <si>
    <t>The authors would like to thank Sue Lyons and other members of the Plant Culture Facility for tending the study plants. Also, thanks to Jeff Wood and Bob Forrester for valuable statistical advice. Thanks to Owen Atkin and Paul Kriedemann for their insightful comments and assistance. Thanks to Warwick Papst and Liz MacPhee of the Department of Natural Resources and Environment, Victoria, and to Dana Bergstrom of the Australian Antarctic Division for supplying Poa seeds. DM was supported by an Australian Postgraduate Award and an ANU Research School of Biological Sciences scholarship. The research was supported by Australian Research Council Discovery Grants DP0452526 and DP0881009 to MCB.</t>
  </si>
  <si>
    <t>1445-4408</t>
  </si>
  <si>
    <t>FUNCT PLANT BIOL</t>
  </si>
  <si>
    <t>Funct. Plant Biol.</t>
  </si>
  <si>
    <t>10.1071/FP10023</t>
  </si>
  <si>
    <t>695SI</t>
  </si>
  <si>
    <t>WOS:000285392500006</t>
  </si>
  <si>
    <t>Zapol, WM</t>
  </si>
  <si>
    <t>Natl Res Council</t>
  </si>
  <si>
    <t>Zapol, Warren M.</t>
  </si>
  <si>
    <t>Future Directions in Antarctic and Southern Ocean Science</t>
  </si>
  <si>
    <t>FUTURE SCIENCE OPPORTUNITIES IN ANTARCTICA AND THE SOUTHERN OCEAN</t>
  </si>
  <si>
    <t>NATL ACADEMIES PRESS</t>
  </si>
  <si>
    <t>2101 CONSTITUTION AVE, WASHINGTON, DC 20418 USA</t>
  </si>
  <si>
    <t>978-0-309-21469-8</t>
  </si>
  <si>
    <t>BC7HQ</t>
  </si>
  <si>
    <t>WOS:000354886000007</t>
  </si>
  <si>
    <t>Promising Technologies for Antarctic and Southern Ocean Science</t>
  </si>
  <si>
    <t>WOS:000354886000010</t>
  </si>
  <si>
    <t>Components of an Antarctic and Southern Ocean Observing System</t>
  </si>
  <si>
    <t>WOS:000354886000012</t>
  </si>
  <si>
    <t>Avinash, K; Jayappa, KS; Deepika, B</t>
  </si>
  <si>
    <t>Avinash, Kumar; Jayappa, K. S.; Deepika, B.</t>
  </si>
  <si>
    <t>Prioritization of sub-basins based on geomorphology and morphometric analysis using remote sensing and geographic information system (GIS) techniques</t>
  </si>
  <si>
    <t>GEOCARTO INTERNATIONAL</t>
  </si>
  <si>
    <t>morphometric parameters; drainage characteristics; hydrogeomorphology; prioritization; Gurpur river basin; India</t>
  </si>
  <si>
    <t>DRAINAGE SYSTEMS; SUBWATERSHEDS; KARNATAKA; BADLANDS</t>
  </si>
  <si>
    <t>Geomorphology and drainage characteristics of the Gurpur river basin have been studied using satellite images, topographic maps and geographic information system (GIS) techniques. Geomorphology and morphometric parameters have been used to prioritize the sub-basins (SB-I to -VII) and identify the most deficit/surplus zones of groundwater. The study reveals that 8% (SB-VII) to 85% (SB-II) area of the geomorphic units have poor to moderate groundwater prospect. About 16% (SB-V) to 92% (SB-VII) area were estimated as good to excellent zones for groundwater potential. Bifurcation ratio results show that geomorphic control predominates over structural control in the development of drainage network. Computed values of stream frequency of SB-II, SB-III and SB-VI indicate steep ground slopes, with less permeable rocks, while drainage density indicates that the river basin is moderately permeable. Sub-basin-wise prioritization reveals that SB-II is the most deficit zone, while SB-VII is found to be surplus zone of groundwater potential.</t>
  </si>
  <si>
    <t>[Avinash, Kumar] Natl Ctr Antarctic &amp; Ocean Res, EEZ Mapping Grp, Vasco Da Gama 403804, India; [Avinash, Kumar; Jayappa, K. S.; Deepika, B.] Mangalore Univ, Dept Marine Geol, Mangalore 574199, India</t>
  </si>
  <si>
    <t>Ministry of Earth Sciences (MoES) - India; National Centre for Polar and Ocean Research (NCPOR); Mangalore University</t>
  </si>
  <si>
    <t>Avinash, K (corresponding author), Natl Ctr Antarctic &amp; Ocean Res, EEZ Mapping Grp, Vasco Da Gama 403804, India.</t>
  </si>
  <si>
    <t>kumaravinash13@rediffmail.com</t>
  </si>
  <si>
    <t>Jayappa, K. S./0000-0001-7930-0265; Avinash, Kumar/0000-0002-6511-8435</t>
  </si>
  <si>
    <t>Council for Scientific &amp; Industrial Research (CSIR), India</t>
  </si>
  <si>
    <t>Council for Scientific &amp; Industrial Research (CSIR), India(Council of Scientific &amp; Industrial Research (CSIR) - India)</t>
  </si>
  <si>
    <t>The first author thanks the Council for Scientific &amp; Industrial Research (CSIR), India, for Senior Research Fellowship grant, and the Director, NCAOR, for his encouragement and support. The authors thank Mr. A. C. Dinesh, Senior Scientist, Geological Survey of India, Mangalore, for extending his suggestions and Mr. Pattabhi Rama Somayaji, Assistant Professor, University College, Mangalore, for improving the language of the manuscript. Authors acknowledge anonymous reviewers and Dr. Kamlesh P. Lulla, editor, for their insightful comments and suggestions on the previous draft, which improved the quality of the article to a greater extent.</t>
  </si>
  <si>
    <t>1010-6049</t>
  </si>
  <si>
    <t>1752-0762</t>
  </si>
  <si>
    <t>GEOCARTO INT</t>
  </si>
  <si>
    <t>Geocarto Int.</t>
  </si>
  <si>
    <t>10.1080/10106049.2011.606925</t>
  </si>
  <si>
    <t>Environmental Sciences; Geosciences, Multidisciplinary; Remote Sensing; Imaging Science &amp; Photographic Technology</t>
  </si>
  <si>
    <t>Environmental Sciences &amp; Ecology; Geology; Remote Sensing; Imaging Science &amp; Photographic Technology</t>
  </si>
  <si>
    <t>V27SB</t>
  </si>
  <si>
    <t>WOS:000208631800006</t>
  </si>
  <si>
    <t>Liu, XD; Sun, LG; Li, D; Wang, YH</t>
  </si>
  <si>
    <t>Liu, Xiaodong; Sun, Liguang; Li, Dan; Wang, Yuhong</t>
  </si>
  <si>
    <t>Rare earth elements in the ornithogenic sediments from the Maritime Antarctic: A potential new palaeoecology proxy</t>
  </si>
  <si>
    <t>GEOCHEMICAL JOURNAL</t>
  </si>
  <si>
    <t>Antarctica; ornithogenic sediments; rare earth elements; palaeoecology; penguin population</t>
  </si>
  <si>
    <t>ABANDONED PENGUIN COLONIES; KING-GEORGE-ISLAND; EAST ANTARCTICA; LAKE-SEDIMENTS; CLIMATE-CHANGE; LATE-HOLOCENE; PENINSULA; GEOCHEMISTRY; RECORD; ADELIE</t>
  </si>
  <si>
    <t>The ornithogenic sediments in the maritime Antarctic are good archives for studying the changes of historical penguin population. Rare earth elements (REEs) along with biological and lithophile elements in two lacustrine sediment cores (Y2 and Y4) influenced by penguin droppings were analyzed with the aim of evaluating their potential as a new palaeoecological proxy. The relative concentrations of REEs in the two cores show dramatic changes, and the average REE contents are 71.21 +/- 11.56 (n = 37) and 37.18 +/- 10.64 (n = 18) for Y2 and Y4, respectively. The REE light/heavy content ratios (L/H) are 4.48 +/- 0.59 for Y2 and 4.70 +/- 0.62 for Y4, very close to the mean ratio of four pure guano samples. The chondrite-normalized REE patterns in the Y2 and Y4 sediments significantly influenced by penguin droppings are characteristic of more fractionation, obviously negative Ce anomalies and positive Er anomalies, likely imprinting the REE signal of guano input. The total REE concentration has a statistically significant negative correlation with the levels of guano-derived bio- elements and a positive correlation with the levels of Sc and Al mainly originated from weathered soils. The calculated proportion of guano-derived REE based on two-member mixing equation has a change pattern consistent with that of the historical penguin population size, previously reconstructed from bio-element concentrations in the sediments. These results suggest that the non-crustal signature of REE in the ornithogenic sediments may provide a new palaeoecological proxy for studying the palaeoecological processes of Antarctic penguins on a large time scale.</t>
  </si>
  <si>
    <t>[Liu, Xiaodong; Sun, Liguang; Li, Dan] Univ Sci &amp; Technol China, Inst Polar Environm, Hefei 230026, Anhui, Peoples R China; [Wang, Yuhong] NIH, Bethesda, MD 20892 USA</t>
  </si>
  <si>
    <t>Polar Office of National Oceanic Bureau of China; National Natural Science Foundation [0876096, 41076123, 40606003, 40730107]; CAAA [20070202]; SOA Key Laboratory for Polar Science [KP2007002]; CAS</t>
  </si>
  <si>
    <t>Polar Office of National Oceanic Bureau of China; National Natural Science Foundation(National Natural Science Foundation of China (NSFC)); CAAA; SOA Key Laboratory for Polar Science; CAS(Chinese Academy of Sciences)</t>
  </si>
  <si>
    <t>We would like to thank Polar Office of National Oceanic Bureau of China for support and assistance. This study was supported by the National Natural Science Foundation (Grant Nos. 40876096, 41076123, 40606003 and 40730107), the young fund for strategetic research of Chinese polar sciences from CAAA (No. 20070202), open research fund from SOA Key Laboratory for Polar Science (KP2007002) and special fund for excellent Ph.D. Thesis of CAS. We especially appreciate three anonymous reviewers for their critical reviews and careful corrections on this manuscript.</t>
  </si>
  <si>
    <t>GEOCHEMICAL SOC JAPAN</t>
  </si>
  <si>
    <t>358-5 YAMABUKI-CHO, SHINJUKU-KU, TOKYO, 162-0801, JAPAN</t>
  </si>
  <si>
    <t>0016-7002</t>
  </si>
  <si>
    <t>1880-5973</t>
  </si>
  <si>
    <t>GEOCHEM J</t>
  </si>
  <si>
    <t>Geochem. J.</t>
  </si>
  <si>
    <t>728QY</t>
  </si>
  <si>
    <t>WOS:000287890800002</t>
  </si>
  <si>
    <t>Burn-Nunes, LJ; Vallelonga, P; Loss, RD; Burton, GR; Moy, A; Curran, M; Hong, S; Smith, AM; Edwards, R; Morgan, VI; Rosman, KJR</t>
  </si>
  <si>
    <t>Burn-Nunes, Laurie J.; Vallelonga, Paul; Loss, Robert D.; Burton, Graeme R.; Moy, Andrew; Curran, Mark; Hong, Sungmin; Smith, Andrew M.; Edwards, Ross; Morgan, Vin I.; Rosman, Kevin J. R.</t>
  </si>
  <si>
    <t>Seasonal variability in the input of lead, barium and indium to Law Dome, Antarctica</t>
  </si>
  <si>
    <t>ICE-CORE; HEAVY-METALS; EAST ANTARCTICA; GREENLAND ICE; PB ISOTOPES; GRAM CONCENTRATIONS; VICTORIA-LAND; MINERAL DUST; SNOW; RECORD</t>
  </si>
  <si>
    <t>Lead (Pb) isotopic compositions and concentrations, and barium (Ba) and indium (In) concentrations have been determined at monthly resolution in five Law Dome (coastal Eastern Antarctica) ice core sections dated from similar to 1757 AD to similar to 1898 AD. 'Natural' background Pb concentrations in similar to 1757 AD average similar to 0.2 pg g(-1) and can be attributed to mineral dust and volcanic emissions, with Pb-206/Pb-207 ratios reaching up to 1.266 +/- 0.002. From similar to 1887 AD to similar to 1898 AD, Pb concentrations reached similar to 5 pg g(-1) and Pb-206/Pb-207 ratios decreased to 1.058 +/- 0.001 as a result of additional inputs of Pb from anthropogenic sources. Seasonal variability in the late 1880s has been investigated by decoupling volcanic Pb from the total measured Pb concentrations, revealing spring and autumn maxima, and consistent winter minima, in anthropogenic Pb and mineral dust (Ba) concentrations. We link this variability to the annual cycle in the position and strength of the Antarctic Circumpolar Trough and, the Southern Ocean westerly winds to the north of the trough region. During the autumn and spring seasons, these systems increase in strength, transporting more impurity laden air from the Southern Hemisphere continental regions to Eastern Antarctica and Law Dome. As this Pb is isotopically identical to that emitted from south-eastern Australia (Broken Hill, Port Pine) this implies a relatively direct air trajectory pathway from southern Australia to Law Dome (Eastern Antarctica). (C) 2010 Elsevier Ltd. All rights reserved.</t>
  </si>
  <si>
    <t>[Burn-Nunes, Laurie J.; Loss, Robert D.; Burton, Graeme R.; Edwards, Ross; Rosman, Kevin J. R.] Curtin Univ, Dept Imaging &amp; Appl Phys, Perth, WA 6845, Australia; [Vallelonga, Paul] Univ Copenhagen, Niels Bohr Inst, Ctr Ice &amp; Climate, DK-2100 Copenhagen O, Denmark; [Moy, Andrew; Curran, Mark; Morgan, Vin I.] Australian Antarctic Div, Dept Environm Water Heritage &amp; Arts, Kingston, Tas 7050, Australia; [Moy, Andrew; Curran, Mark; Morgan, Vin I.] Antarctic Climate &amp; Ecosyst Cooperat Res Ctr, Hobart, Tas 7001, Australia; [Hong, Sungmin] Inha Univ, Dept Oceanog, Inchon 402751, South Korea; [Smith, Andrew M.] Australian Nucl Sci &amp; Technol Org, Kirrawee Dc, NSW 223, Australia; [Edwards, Ross] Desert Res Inst, Reno, NV 89512 USA</t>
  </si>
  <si>
    <t>Curtin University; University of Copenhagen; Niels Bohr Institute; Australian Antarctic Division; Antarctic Climate &amp; Ecosystems Cooperative Research Centre (ACE CRC); Inha University; Australian Nuclear Science &amp; Technology Organisation; Nevada System of Higher Education (NSHE); Desert Research Institute NSHE</t>
  </si>
  <si>
    <t>Burn-Nunes, LJ (corresponding author), Curtin Univ, Dept Imaging &amp; Appl Phys, GPO Box U 1987, Perth, WA 6845, Australia.</t>
  </si>
  <si>
    <t>L.Burn-Nunes@curtin.edu.au</t>
  </si>
  <si>
    <t>, Andrew/HLX-8550-2023; Vallelonga, Paul/I-9650-2016; Edwards, Ross/B-1433-2013</t>
  </si>
  <si>
    <t>Moy, Andrew/0000-0002-7664-9960; Vallelonga, Paul/0000-0003-1055-7235; Smith, Andrew/0000-0002-9193-2617; Edwards, Ross/0000-0002-9233-8775</t>
  </si>
  <si>
    <t>Australian Research Council [DP0345625]; Antarctic Science Advisory Committee [1092, 2334]; John de Laeter Centre of Mass Spectrometry; Australian Research Council [DP0345625] Funding Source: Australian Research Council</t>
  </si>
  <si>
    <t>Australian Research Council(Australian Research Council); Antarctic Science Advisory Committee; John de Laeter Centre of Mass Spectrometry; Australian Research Council(Australian Research Council)</t>
  </si>
  <si>
    <t>This research is dedicated to the memories of Emeritus Professor Kevin J.R. Rosman, a pioneer in the field of ultra-trace level measurements of heavy metal species in glacial ice, and Emeritus Professor John de Laeter, a great mass spectrometrist and important contributor to the measurement and application of elemental abundances, both of whom made this research possible. Many thanks also go to the staff and students of Curtin's Isotope Science Research Laboratories for proving invaluable discussions on this work. This research was supported by grants provided by the Australian Research Council (DP0345625), Antarctic Science Advisory Committee (#1092, #2334) and John de Laeter Centre of Mass Spectrometry.</t>
  </si>
  <si>
    <t>10.1016/j.gca.2010.09.037</t>
  </si>
  <si>
    <t>692RK</t>
  </si>
  <si>
    <t>WOS:000285172600001</t>
  </si>
  <si>
    <t>Kobzova, VM; Senchyna, AF</t>
  </si>
  <si>
    <t>Kobzova, V. M.; Senchyna, A. F.</t>
  </si>
  <si>
    <t>GEOELECTROMAGNETIC FIELD OF THE ANTARCTIC REGION BY RESULTS OF PHYSICAL MODELING</t>
  </si>
  <si>
    <t>GEODYNAMICS</t>
  </si>
  <si>
    <t>Russian</t>
  </si>
  <si>
    <t>Antarctic region; physical modeling; geoelectromagnetic field; Mt and MV soundings</t>
  </si>
  <si>
    <t>The influence of surface conductive inhomogeneties on MT and MV soundings are analyzed by results of the physical modeling of geoelectromagnetic field of the Antarectic region. The ID and 2D MT inversion results are compared.</t>
  </si>
  <si>
    <t>[Kobzova, V. M.; Senchyna, A. F.] NAS Ukraine, Carpathian Branch, Inst Geophys, Kiev, Ukraine</t>
  </si>
  <si>
    <t>National Academy of Sciences Ukraine; Subbotin Institute of Geophysics, National Academy of Sciences of Ukraine</t>
  </si>
  <si>
    <t>Kobzova, VM (corresponding author), NAS Ukraine, Carpathian Branch, Inst Geophys, Kiev, Ukraine.</t>
  </si>
  <si>
    <t>LVIV POLYTECHNIC NATL UNIV</t>
  </si>
  <si>
    <t>LVIV</t>
  </si>
  <si>
    <t>ST S BANDERA, 12, LVIV, 13, UKRAINE</t>
  </si>
  <si>
    <t>1992-142X</t>
  </si>
  <si>
    <t>2519-2663</t>
  </si>
  <si>
    <t>Geodynamics</t>
  </si>
  <si>
    <t>VF2AI</t>
  </si>
  <si>
    <t>WOS:000442196800038</t>
  </si>
  <si>
    <t>Lyashchuk, AI; Pavlovich, VN</t>
  </si>
  <si>
    <t>Lyashchuk, A. I.; Pavlovich, V. N.</t>
  </si>
  <si>
    <t>On the processing of geophysical data related to earthquakes</t>
  </si>
  <si>
    <t>GEOFIZICHESKIY ZHURNAL-GEOPHYSICAL JOURNAL</t>
  </si>
  <si>
    <t>Ukrainian</t>
  </si>
  <si>
    <t>The results of the conducted works on mathematical processing of geophysical information are presented in the article. A purpose of processing is revealing the dangerous geophysical phenomena in the Antarctic peninsula region and in Vrancha zone. The analysis of possible mechanism of forming the earthquake precursors is performed. It is possible that the cause of anomalous signals are tectonic waves appearing due to preparation of strong earthquakes at the distant centers.</t>
  </si>
  <si>
    <t>[Lyashchuk, A. I.] Natl Space Agcy Ukraine, Main Ctr Special Control, Kiev, Ukraine; [Pavlovich, V. N.] Natl Acad Sci Ukraine, Inst Nucl Res, Kiev, Ukraine</t>
  </si>
  <si>
    <t>State Space Agency of Ukraine; National Academy of Sciences Ukraine; Institute for Nuclear Research of NASU; V. M. Glushkov Institute of Cybernetics, National Academy of Sciences of Ukraine</t>
  </si>
  <si>
    <t>Lyashchuk, AI (corresponding author), Natl Space Agcy Ukraine, Main Ctr Special Control, Kiev, Ukraine.</t>
  </si>
  <si>
    <t>S I SUBBOTIN INST GEOPHYSICS NATL ACAD</t>
  </si>
  <si>
    <t>KIEV</t>
  </si>
  <si>
    <t>PR PALLADINA 32, KIEV, 252142, UKRAINE</t>
  </si>
  <si>
    <t>0203-3100</t>
  </si>
  <si>
    <t>2524-1052</t>
  </si>
  <si>
    <t>GEOFIZ ZHURNAL</t>
  </si>
  <si>
    <t>Geofiz. Zhurnal</t>
  </si>
  <si>
    <t>VE5PE</t>
  </si>
  <si>
    <t>WOS:000439602200008</t>
  </si>
  <si>
    <t>Rusakov, OM</t>
  </si>
  <si>
    <t>Rusakov, O. M.</t>
  </si>
  <si>
    <t>Something is wrong in the complex model of the lithosphere of the continental margins of the Antarctic Peninsula</t>
  </si>
  <si>
    <t>BRANSFIELD STRAIT; SATELLITE; CRUSTAL; SEISMICITY</t>
  </si>
  <si>
    <t>The analysis has been made of joint geophysical and petrological models for the lithosphere structure of the Antarctic Peninsula continental margin.</t>
  </si>
  <si>
    <t>[Rusakov, O. M.] NAS Ukraine, Inst Geophys, Kiev, Ukraine</t>
  </si>
  <si>
    <t>Rusakov, OM (corresponding author), NAS Ukraine, Inst Geophys, Kiev, Ukraine.</t>
  </si>
  <si>
    <t>VE5PK</t>
  </si>
  <si>
    <t>WOS:000439604600011</t>
  </si>
  <si>
    <t>Kozlenko, YV; Kozlenko, MV</t>
  </si>
  <si>
    <t>Kozlenko, Yu. V.; Kozlenko, M. V.</t>
  </si>
  <si>
    <t>Application of density modelling to address the nature of the Bransfield Strait</t>
  </si>
  <si>
    <t>In order to study deep structure of north-western borderland of the Antarctic Peninsula, taking into account two existing contradictory notions as to the reasons of appearance of rifto-genesis in the Bransfield Strait, according to seismic data, multi-variant two-dimensional density simulation has been conducted along the profile involving the structures from the oceanic block of the Drake Strait up to the continent. The results did not confirm the spreading-subduction nature of the West Antarctica. Therefore, the continental margin of the Antarctic Peninsula belongs the most probably to the passive type, and the Bransfield Strait is not a back from arch basin. It has been shown that typically oceanic crust of the Drake Strait is interchanged by two-layered sub-continental crust of the South Shetland islands. In the Bransfield Strait the rootage of the mantle matter into lower and medium part of the basement has been confirmed that together with subsidence of the bottom is typical for rift structures. Suggestion has been made as to existence of one more rifting center in the coastal part of the Bransfield platform. The depth of the mantle surface within the Antarctic Peninsula obtained according to calculations, testifies its continental structure.</t>
  </si>
  <si>
    <t>[Kozlenko, Yu. V.; Kozlenko, M. V.] Natl Acad Sci Ukraine, Inst Geophys, Kiev, Ukraine</t>
  </si>
  <si>
    <t>Kozlenko, YV (corresponding author), Natl Acad Sci Ukraine, Inst Geophys, Kiev, Ukraine.</t>
  </si>
  <si>
    <t>VE5PI</t>
  </si>
  <si>
    <t>WOS:000439603300011</t>
  </si>
  <si>
    <t>Bakhmutov, V; Shpyra, V</t>
  </si>
  <si>
    <t>Bakhmutov, Vladimir; Shpyra, Victor</t>
  </si>
  <si>
    <t>Palaeomagnetism of Late Cretaceous-Paleocene igneous rocks from the western part of the Antarctic Peninsula (Argentine Islands Archipelago)</t>
  </si>
  <si>
    <t>GEOLOGICAL QUARTERLY</t>
  </si>
  <si>
    <t>Cretaceous; Paleocene; Antarctic Peninsula; palaeomagnetism</t>
  </si>
  <si>
    <t>TECTONIC EVOLUTION; LAND; GEOCHRONOLOGY; MARGIN; PLATE; SEA; ARC; AGE</t>
  </si>
  <si>
    <t>A collection of 360 oriented samples of igneous rocks from the western part of the Antarctic Peninsula (Argentine Islands Archipelago, Penola Strait area), has yielded well-defined palaeomagnetic directions. Age determinations by various methods showed a Late Cretaceous-Paleocene time interval for the rocks studied. The characteristic remanent magnetisation (ChRM) was isolated by a stepwise thermal demagnetisation mostly in the temperature interval 450-580 degrees C. It is evidently a primary magnetisation. The rocks along the coastline of the western part of the Antarctic Peninsula (AP) were emplaced during the Cretaceous Normal Superchron while the rocks from the islands with reversed polarity are of Paleocene. New Cretaceous (112-85 Ma) and Paleocene (60 Ma) palaeomagnetic poles for the passive continental margin of the Antarctic Peninsula fit well with a synthetic East Antarctica apparent polar wander path and confirms that the AP did not undergo latitudinal displacement for the last 100 Ma. The palaeomagnetic pole for 60 Ma shows a slight shift from palaeopoles obtained for the South Shetland Islands which implies that the South Shetland block is characterized by own tectonic evolution and probable anticlockwise rotation during the Paleocene.</t>
  </si>
  <si>
    <t>[Bakhmutov, Vladimir; Shpyra, Victor] Natl Acad Sci Ukraine, Inst Geophys, UA-03680 Kiev 142, Ukraine</t>
  </si>
  <si>
    <t>Bakhmutov, V (corresponding author), Natl Acad Sci Ukraine, Inst Geophys, Palladin Av 32, UA-03680 Kiev 142, Ukraine.</t>
  </si>
  <si>
    <t>bakhm@igph.kiev.ua</t>
  </si>
  <si>
    <t>Volodymyr, Bakhmutov/A-8508-2019; Viktor, Shpyra/A-9411-2019</t>
  </si>
  <si>
    <t>Bakhmutov, Vladimir/0000-0003-3804-9953; Shpyra, Viktor/0000-0002-6665-1784</t>
  </si>
  <si>
    <t>Ukrainian Fundamental Research State Fund [F40.6/030]; National Ukrainian Antarctic Center; Ukrainian wintering teams on Akademik Vernadsky base</t>
  </si>
  <si>
    <t>Ukrainian Fundamental Research State Fund(State Fund for Fundamental Research (SFFR)); National Ukrainian Antarctic Center; Ukrainian wintering teams on Akademik Vernadsky base</t>
  </si>
  <si>
    <t>This study was partly supported by a grant of the Ukrainian Fundamental Research State Fund (F40.6/030). We gratefully acknowledge the National Ukrainian Antarctic Center for support of our research in West Antarctica. Special thanks to the Ukrainian wintering teams on Akademik Vernadsky base which provided the logistic support for field work during the season's expeditions. We are grateful to J. Nawrocki and M. Kadzialko-Hofmokl for careful reviews, which helped improve the manuscript, and J. Zalasiewicz for language corrections.</t>
  </si>
  <si>
    <t>POLISH GEOLOGICAL INST</t>
  </si>
  <si>
    <t>RAKOWIECKA 4, BLDG A, ROOM 434, PL-00-975 WARSAW, POLAND</t>
  </si>
  <si>
    <t>1641-7291</t>
  </si>
  <si>
    <t>GEOL Q</t>
  </si>
  <si>
    <t>Geol. Q.</t>
  </si>
  <si>
    <t>879UA</t>
  </si>
  <si>
    <t>WOS:000299356500001</t>
  </si>
  <si>
    <t>Nawrocki, J; Panczyk, M; Williams, IS</t>
  </si>
  <si>
    <t>Nawrocki, Jerzy; Panczyk, Magdalena; Williams, Ian S.</t>
  </si>
  <si>
    <t>Isotopic ages of selected magmatic rocks from King George Island (West Antarctica) controlled by magnetostratigraphy</t>
  </si>
  <si>
    <t>Antarctica; King George Island; magnetostratigraphy; isotopic ages</t>
  </si>
  <si>
    <t>SOUTH SHETLAND ISLANDS; CARBON-DIOXIDE CONCENTRATIONS; GEOCHRONOLOGY; STRATIGRAPHY; OLIGOCENE; HISTORY; FACIES</t>
  </si>
  <si>
    <t>Isotopic and palaeomagnetic studies were carried out in the central part of King George Island. Selected mafic to intermediate igneous rocks were sampled for this purpose. Single-grain U-Pb dating of zircons from basalts to dacites was controlled by a whole rock 40Ar-39Ar data and the magnetostratigraphy. Five magmatic activity phases were distinguished in the SE coast of King George Island. The oldest, late Cretaceous (Campanian) phase represented by basalts of the Uchatka Point Formation are followed by the early to middle Eocene (similar to 53-43 Ma) phase documented by the lava flows whose ages decrease from SW to NE. Next younger magmatic activity phases were recorded by the lava flows or vertical intrusions emplaced in the late Eocene (similar to 37-35 Ma), late Oligocene (similar to 28-25 Ma) and late Pliocene to Holocene. The early to middle Eocene magmatic activity phase was the most extensive, producing the largest volume of magma in the study area. The new age determinations allow a more precise and credible stratigraphic correlation of the interbeds of sedimentary rocks observed in some places within the magmatic succession. The glacial provenance of the Herve Cove diamictite is not obvious. It might represent a mountain river environment. Intense volcanic activity could be additional factor modelling the climate conditions of Antarctica in Paleogene.</t>
  </si>
  <si>
    <t>[Nawrocki, Jerzy; Panczyk, Magdalena] Polish Geol Inst, Natl Res Inst, PL-00975 Warsaw, Poland; [Nawrocki, Jerzy; Panczyk, Magdalena] Polish Acad Sci, Dept Antarctic Biol, PL-02141 Warsaw, Poland; [Williams, Ian S.] Australian Natl Univ, Res Sch Earth Sci, ANU Coll Phys Sci, Canberra, ACT 0200, Australia</t>
  </si>
  <si>
    <t>Polish Geological Institute - National Research Institute; Polish Academy of Sciences; Australian National University</t>
  </si>
  <si>
    <t>Nawrocki, J (corresponding author), Polish Geol Inst, Natl Res Inst, Rakowiecka 4, PL-00975 Warsaw, Poland.</t>
  </si>
  <si>
    <t>jerzy.nawrocki@pgi.gov.pl; magdalena.panczyk@pgi.gov.pl; Ian.Wil-liams@anu.edu.au</t>
  </si>
  <si>
    <t>Williams, Ian S/F-4302-2012</t>
  </si>
  <si>
    <t>Nawrocki, Jerzy/0000-0002-9644-0224; Williams, Ian/0000-0003-4465-6493; Panczyk, Magdalena/0000-0001-9435-8481</t>
  </si>
  <si>
    <t>Polish Ministry of Science and Higher Education [N N307 058434, ACE IPY 54]</t>
  </si>
  <si>
    <t>This study was supported by the grants of the Polish Ministry of Science and Higher Education (No N N307 058434 and ACE IPY 54 grant). The field work was carried out during the 31st and 33rd Polish Antarctic Expedition to the Arctowski Station. We thank A. Tatur, K. Krajewski, K. Chwedorzewska and M. Korczak for support during the field work. We are grateful to E. Krzeminska, L. Giro K. Dymna and G. Zielinski for analytical work. We are grateful for helpful reviews from J. Smellie and K. Birkenmajer. Special thanks go to A. Schersten from Lund University for Ar-Ar analysis.</t>
  </si>
  <si>
    <t>2082-5099</t>
  </si>
  <si>
    <t>WOS:000299356500002</t>
  </si>
  <si>
    <t>Panczyk, M; Nawrocki, J</t>
  </si>
  <si>
    <t>Panczyk, Magdalena; Nawrocki, Jerzy</t>
  </si>
  <si>
    <t>Geochronology of selected andesitic lavas from the King George Bay area (SE King George Island)</t>
  </si>
  <si>
    <t>West Antarctica; King George Island; Eocene; 40Ar-39Ar dating; magnetostratigraphy; volcanic rocks</t>
  </si>
  <si>
    <t>SOUTH SHETLAND ISLANDS; MAGMATIC ROCKS; ISOTOPIC AGES; ANTARCTICA; SUBDUCTION; ARC</t>
  </si>
  <si>
    <t>Volcanic rocks from the Lions Rump area, which are the basement for a sequence of glaciomarine sediments of the Polonez Cove Formation, and lava flows from the Turret Point-Three Sisters Point area were sampled for thermogeochronological and palaeomagnetic investigations. Generally, andesitic lavas from King George Bay area consist mainly of clinopyroxene (Ti-augite) orthopyroxene (hyperstene) and plagioclase phenocrysts. The groundmass comprises mostly plagioclase laths, clinopyroxene, titanomagnetite and rare orthopyroxene crystals. However, the modal content, size, shape and distribution of phenocrysts are variable and specific for each sample. The Ar-Ar plateaus ages calculated for lavas from the Lions Rump area are very homogenous and point to middle Eocene age (Lutetian, similar to 44.5 Ma). The similar and consistent ages for volcanic basement for that area excluded the thesis about separate tectonic evolution of the Warszawa and Krakow blocks at least since the middle Eocene. The lavas from Turret Point and Three Sister Point are younger and were emplaced during the late Eocene (Bartonian/Priabonian: 37.3 +/- 0.4 Ma and Priabonian: 35.35 +/- 0.15 Ma, respectively). The results of isotopic investigations are consistent with magnetic polarities of the rocks indicating that the samples from the Lions Rump area are coeval with the lower part of the C20 polarity chron whereas the sample from Turret Point can be correlated with the upper part of the C17 polarity chron.</t>
  </si>
  <si>
    <t>[Panczyk, Magdalena; Nawrocki, Jerzy] Polish Geol Inst, Natl Res Inst, PL-00975 Warsaw, Poland; [Panczyk, Magdalena; Nawrocki, Jerzy] Polish Acad Sci, Dept Antarctic Biol, PL-02141 Warsaw, Poland</t>
  </si>
  <si>
    <t>Polish Geological Institute - National Research Institute; Polish Academy of Sciences</t>
  </si>
  <si>
    <t>Panczyk, M (corresponding author), Polish Geol Inst, Natl Res Inst, Rakowiecka 4, PL-00975 Warsaw, Poland.</t>
  </si>
  <si>
    <t>magdalena.panczyk@pgi.gov.pl; jerzy.nawrocki@pgi.gov.pl</t>
  </si>
  <si>
    <t>Nawrocki, Jerzy/0000-0002-9644-0224; Panczyk, Magdalena/0000-0001-9435-8481</t>
  </si>
  <si>
    <t>Polish Ministry of Science and Higher Education [N N307 058434]</t>
  </si>
  <si>
    <t>This study was supported by a grant of the Polish Ministry of Science and Higher Education (No N N307 058434). The field work was carried out during the expedition of The Explorers Club (Flag 109) within the framework of the 33rd Polish Antarctic Expedition to the Arctowski Station (King George Island). We thank K. Chwedorzewska, M. Korczak, A. Gasek, P. Angiel and A. Wyraz for support during the field works. We are grateful to G. Zielinski for analytical work. Special thanks go to A. Schersten from Lund University for Ar-Ar analysis.We are grateful for helpful reviews from S. Porebski and A. Lewandowska.</t>
  </si>
  <si>
    <t>WOS:000299356500003</t>
  </si>
  <si>
    <t>Pliocene age of the oldest basaltic rocks of Penguin Island (South Shetland Islands, northern Antarctic Peninsula)</t>
  </si>
  <si>
    <t>Antarctica; Penguin Island; Pliocene; 40Ar-39Ar dating; magnetostratigraphy; basaltic rocks</t>
  </si>
  <si>
    <t>KING-GEORGE-ISLAND; BRANSFIELD STRAIT; WEST ANTARCTICA; LAVA DOME; MAGMATISM; STRATIGRAPHY; VOLCANICS; HISTORY; FACIES; ARC</t>
  </si>
  <si>
    <t>The Penguin Island volcano is located on the southern shelf of King George Island (South Shetland Islands, West Antarctica). Its activity is regarded as connected with the opening of the Bransfield Strait. Penguin Island is dominated by a 180 in high basaltic stratocone (Deacon Peak) with a 350 m wide crater containing a small basaltic plug inside and radial dykes, and it has a second principal vent - the Petrel Crater maar - that was formed during a phreatomagmatic eruption about 100 years ago. A low-potassium, calc-alkaline sequence of basaltic lava flows with intercalations of beach deposits (Marr Point Formation) forms the basement of the stratocone. The Marr Point Formation lava flows have never been dated before. Combined whole rock 40Ar-39Ar isotopic dating and magnetostratigraphy were applied for this purpose. We obtained an isotopic 40Ar-39Ar plateau age of 2.7 +/- 0.2 Ma, and together with the palaeomagnetic data, middle Pliocene age (Piacenzian) is implied for the basaltic plateau of Penguin Island.</t>
  </si>
  <si>
    <t>This study was supported by a grant of the Polish Ministry of Science and Higher Education (No. N N307 058434). The field work was carried out during the expedition of The Explorers Club (Flag 109) within the framework of the 33rd Polish Antarctic Expedition to the Arctowski Station (King George Island). We are grateful to J. L. Smellie for valuable comments and suggestions that help to improve the manuscript. We thank K. Chwedorzewska, M. Korczak, P. Angiel and A. Wyraz for support during the field works. We are grateful to G. Zielinski for analytical work. Special thanks go to A. Schersten from Lund University for Ar-Ar analysis.</t>
  </si>
  <si>
    <t>WOS:000299356500004</t>
  </si>
  <si>
    <t>Tatur, A; Krajewski, KP; del Valle, RA</t>
  </si>
  <si>
    <t>Tatur, Andrzej; Krajewski, Krzysztof P.; del Valle, Rodolfo A.</t>
  </si>
  <si>
    <t>The facies and biota of the oldest exposed strata of the Eocene La Meseta Formation (Seymour Island, Antarctica)</t>
  </si>
  <si>
    <t>Antarctica; Seymour; Eocene; sediments; goethite; thanatocoenosis</t>
  </si>
  <si>
    <t>BASIN; CLIMATE; FOSSILIZATION; EVOLUTION; GOETHITE; BOUNDARY; SHELF</t>
  </si>
  <si>
    <t>La Meseta Formation is made up of estuarine and shallow marine, fossiliferous elastic deposits 720 m thick that provides a unique record of marine and terrestrial biota of Antarctic ecosystems preceding continental glaciation in the Oligocene. The lower limit of this formation has been poorly known, and therefore it has been carefully investigated. The lowest part of the La Meseta Formation, at the southern bank of a palaeodelta, is represented by relics of a prograding sequence of sediments deposited in the wave-dominated part of a deltaic system in the offshore and lower and upper shoreface environments. The sequence is completed landwards by younger tidal plain sediments deposited at 40 m lower altitude in a relatively protected, central estuarine basin, which was dominated by tidal activity and influenced by periodic fluvial inflow. These strata were deposited during a late Paleocene or Ypresian/Lutetian lowstand of sea level, which might reflect a glaciation event or glacioisostatic rebound of land following deglaciation of hypothetic Antarctic inland glaciers. Forced regression of sea level and seaward expansion of a deltaic freshwater environment, led to local extinction of a unique assemblage of marine echinoderms, bryozoans, corals and brachiopods. These marine fossils, representing a thanatocoenosis, are perfectly preserved due to syngenetic goethite permineralisation. This process owed its origin to excess reactive iron coming from sulphide-rich bedrock through weathering processes and acid sulphate drainage of the neighbouring land area.</t>
  </si>
  <si>
    <t>[Tatur, Andrzej] Polish Acad Sci, Dept Antarctic Biol, PL-02141 Warsaw, Poland; [Krajewski, Krzysztof P.] Polish Acad Sci, Inst Geol Sci, PL-00818 Warsaw, Poland; [del Valle, Rodolfo A.] Inst Antart Argentino, Dept Ciencias Tierra Geol, Buenos Aires, DF, Argentina</t>
  </si>
  <si>
    <t>Polish Academy of Sciences; Polish Academy of Sciences; Institute of Geological Sciences of the Polish Academy of Sciences; Instituto Antartico Argentino</t>
  </si>
  <si>
    <t>Tatur, A (corresponding author), Polish Acad Sci, Dept Antarctic Biol, Ustrzycka 10-12, PL-02141 Warsaw, Poland.</t>
  </si>
  <si>
    <t>tatura@interia.pl; kpkraj@twarda.pan.pl; delvalle@dna.gov.ar</t>
  </si>
  <si>
    <t>Instituto Antartico Argentino; Fuerza Aerea Argentina; Argentine-Polish cooperation programme in the Antarctic; ACE IPY 54 [204/N-IPY/2008/0]</t>
  </si>
  <si>
    <t>Instituto Antartico Argentino; Fuerza Aerea Argentina; Argentine-Polish cooperation programme in the Antarctic; ACE IPY 54</t>
  </si>
  <si>
    <t>This paper contributes to the results of an Argentine-Polish cooperation programme in the Earth sciences that started in 1985 and continues to the present. Fieldwork on Seymour Island was carried out during several seasons between 1985 and 1994. Logistical support of the Instituto Antartico Argentino and Fuerza Aerea Argentina is greatly appreciated. We are indebted to C. A. Rinaldi for formal support for the Argentine-Polish cooperation programme in the Antarctic. Financial support from an ACE IPY 54 (international project Nr. 204/N-IPY/2008/0) grant helped to finish this paper. The first author is grateful to Prof. A. Gazdzicki for fruitful field work in a two person team and to the whole Argentine party led by Rudy (R. A. del Valle). Thank you for the fantastic friendly atmosphere and perfect asados under tents in the field. The manuscript benefited greatly from helpful reviews by Prof T. Peryt and a second anonymous reviewer.</t>
  </si>
  <si>
    <t>WOS:000299356500005</t>
  </si>
  <si>
    <t>Calver, CR</t>
  </si>
  <si>
    <t>Arnaud, E; Halverson, GP; ShieldsZhou, G</t>
  </si>
  <si>
    <t>Calver, Clive R.</t>
  </si>
  <si>
    <t>Neoproterozoic glacial deposits of Tasmania</t>
  </si>
  <si>
    <t>GEOLOGICAL RECORD OF NEOPROTEROZOIC GLACIATIONS</t>
  </si>
  <si>
    <t>ISOTOPE STRATIGRAPHY; KING ISLAND; TECTONIC IMPLICATIONS; GRASSY GROUP; BREAK-UP; AUSTRALIA; CONSTRAINTS; EDIACARAN; CARBON</t>
  </si>
  <si>
    <t>In Tasmania, Neoproterozoic glaciogenic deposits were laid down in one or more epicratonic basins, probably situated at the eastern margin of the Australian-Antarctic craton. Rifting and volcanism took place in the late Cryogenian to early Ediacaran. On King Island, north of Tasmania, the Cottons Breccia consists of 50-200 m of diamictite, conglomerate and sandstone. Limestone and dolostone clasts are abundant in the diamictite, although carbonate is unknown in the underlying successions. The Cottons Breccia is overlain by 10 m of laminated dolostone and limestone with a negative, upward-decreasing delta C-13 profile. Rift volcanics and shallow intrusives higher in the sequence are dated at c. 575 Ma. In NW Tasmania, two diamictite units are found in the Togari Group. The Julius River Member, 200 m thick, contains dominantly dolostone clasts and overlies a shallow-marine dolostone unit with vase-shaped micro-fossils and C-isotopes consistent with a mid-Cryogenian age. Some clasts in the Julius River Member contain a stromatolite (Baicalia cf. B. burra) very similar to a form that is abundant in the middle part of the Burra Group, Adelaide rift basin. The Julius River Member is immediately overlain by black shale and impure carbonate dated by Re-Os at 641 +/- 5 Ma. The younger diamictite in the Togari Group is the Croles Hill Diamictite, 70 m thick, with predominantly volcanic clasts, underlain by a shale and mafic-volcaniclastic succession and overlain by thin mudstone followed by thick rift tholeiites. At one locality this diamictite is underlain by a rhyodacite flow dated at 582 +/- 4 Ma. In southern Tasmania, diamictites are found in the Wedge River Beds and in the Cotcase Creek Formation (Fm.) (Weld River Group). Laminated siltstone with dropstones is associated with the diamictites in the Cotcase Creek Fm. The southern Tasmanian deposits are poorly constrained in age. Chronometric and other evidence suggests correlation of the Julius River Member, Cottons Breccia and Croles Hill Diamictite with the Sturt, Elatina and Gaskiers glacial phases, respectively. However, a glacial origin for the Julius River Member and Croles Hill Diamictite remains uncertain.</t>
  </si>
  <si>
    <t>Mineral Resources Tasmania, Rosny Pk, Tas 7018, Australia</t>
  </si>
  <si>
    <t>Calver, CR (corresponding author), Mineral Resources Tasmania, POB 56, Rosny Pk, Tas 7018, Australia.</t>
  </si>
  <si>
    <t>ccalver@mrt.tas.gov.au</t>
  </si>
  <si>
    <t>978-1-86239-334-9</t>
  </si>
  <si>
    <t>10.1144/M36.64</t>
  </si>
  <si>
    <t>BZA05</t>
  </si>
  <si>
    <t>WOS:000300897200064</t>
  </si>
  <si>
    <t>Chase, BM; Quick, LJ; Meadows, ME; Scott, L; Thomas, DSG; Reimer, PJ</t>
  </si>
  <si>
    <t>Chase, Brian M.; Quick, Lynne J.; Meadows, Michael E.; Scott, Louis; Thomas, David S. G.; Reimer, Paula J.</t>
  </si>
  <si>
    <t>Late glacial interhemispheric climate dynamics revealed in South African hyrax middens</t>
  </si>
  <si>
    <t>GEOLOGY</t>
  </si>
  <si>
    <t>ANTARCTIC COLD REVERSAL; SEA-SURFACE TEMPERATURE; ISOTOPIC COMPOSITION; LAST DEGLACIATION; YOUNGER-DRYAS; ATLANTIC; RECORD; VARIABILITY; SEESAW; PLANTS</t>
  </si>
  <si>
    <t>Our ability to identify the timing and extent of past major climate fluctuations is central to understanding changes in the global climate system. Of the events that have occurred in recent geological time, the Younger Dryas (YD, 13-11.5 ka), an abrupt return to near-glacial conditions during the last glacial-interglacial transition (ca. 18-11.5 ka), is one of the most widely reported. While this event is apparent throughout the Northern Hemisphere (Peteet, 1995), evidence for its occurrence in the Southern Hemisphere remains equivocal due to a lack of well-dated terrestrial records. Here we report high-resolution stable carbon and nitrogen isotope records obtained from a rock hyrax midden, revealing the first unequivocal terrestrial manifestation of the YD from the southern African subtropics. These results provide key evidence for the relative influence of the YD, and suggest that a subtropical-temperate transition zone existed along the oceanic Subtropical Front (similar to 41 degrees S) across the Southern Hemisphere, with the Northern Hemisphere exerting a strong influence on all but the higher latitudes of the Southern Hemisphere after the Heinrich Stadial 1 (15 ka).</t>
  </si>
  <si>
    <t>[Chase, Brian M.] Univ Bergen, Dept Archaeol Hist Culture &amp; Relig, N-5020 Bergen, Norway; [Chase, Brian M.; Quick, Lynne J.; Meadows, Michael E.] Univ Cape Town, Dept Geog &amp; Environm Sci, ZA-7701 Rondebosch, South Africa; [Scott, Louis] Univ Orange Free State, Dept Plant Sci, ZA-9300 Bloemfontein, South Africa; [Thomas, David S. G.] Univ Oxford, Sch Geog &amp; Environm, Arid Environm Syst Res Grp, Oxford OX1 3QY, England; [Reimer, Paula J.] Queens Univ Belfast, Sch Geog Archaeol &amp; Palaeoecol, Belfast BT7 1NN, Antrim, North Ireland</t>
  </si>
  <si>
    <t>University of Bergen; University of Cape Town; University of the Free State; University of Oxford; Queens University Belfast</t>
  </si>
  <si>
    <t>Chase, BM (corresponding author), Univ Montpellier 2, Inst Sci Evolut Montpellier, Dept Paleoenvironm &amp; Paleoclimats PAL, UMR 5554, Bat 22,CC061,Pl Eugene Bataillon, F-34095 Montpellier 5, France.</t>
  </si>
  <si>
    <t>Brian.Chase@univ-montp2.fr</t>
  </si>
  <si>
    <t>Scott, Louis/T-5279-2017; Meadows, Michael E/AAH-2461-2020; Chase, Brian/A-1202-2010; Quick, Lynne/A-1511-2018</t>
  </si>
  <si>
    <t>Scott, Louis/0000-0002-4531-0497; Meadows, Michael E/0000-0001-8322-3055; Chase, Brian/0000-0001-6987-1291; Thomas, David/0000-0001-6867-5504; Reimer, Paula/0000-0001-9238-2146; Quick, Lynne/0000-0002-6735-7106</t>
  </si>
  <si>
    <t>Leverhulme Trust</t>
  </si>
  <si>
    <t>Leverhulme Trust(Leverhulme Trust)</t>
  </si>
  <si>
    <t>We thank the Leverhulme Trust for the full funding of this project, Matthew Britton and Ian Newton for assistance in collecting and analyzing the material, and two anonymous reviewers for their constructive comments.</t>
  </si>
  <si>
    <t>0091-7613</t>
  </si>
  <si>
    <t>10.1130/G31129.1</t>
  </si>
  <si>
    <t>699XK</t>
  </si>
  <si>
    <t>WOS:000285696000007</t>
  </si>
  <si>
    <t>White, DA; Fink, D; Gore, DB</t>
  </si>
  <si>
    <t>White, Duanne A.; Fink, David; Gore, Damian B.</t>
  </si>
  <si>
    <t>Cosmogenic nuclide evidence for enhanced sensitivity of an East Antarctic ice stream to change during the last deglaciation</t>
  </si>
  <si>
    <t>PRINCE-CHARLES MOUNTAINS; MARIE-BYRD-LAND; GLACIAL MAXIMUM; AMERY OASIS; RADOK LAKE; SHEET; HISTORY; PLEISTOCENE; THICKNESS; EROSION</t>
  </si>
  <si>
    <t>Glacial sediments from the Prince Charles Mountains, East Antarctica, record late Pleistocene ice thickness variability in the Lambert Glacier-Amery Ice Shelf system, one of the world's largest ice drainages. A former glacial limit, demarcated by minimally weathered deposits, follows a concave longitudinal profile, indicating a zone of strong ice streaming through the northernmost 500 km of the Lambert Graben. In situ Be-10 and Al-26 exposure ages from these relatively unweathered deposits indicate that the most recent phase of ice lowering occurred between ca. 18 and 8 ka, preceding by as many as 6 k.y. the deglaciation of adjacent coastal regions. Earlier onset of deglaciation in an area of strong ice streaming suggests a heightened sensitivity of the East Antarctic Ice Sheet to climate and sea-level changes following the Last Glacial Maximum than previously recognized.</t>
  </si>
  <si>
    <t>[White, Duanne A.; Gore, Damian B.] Macquarie Univ, Sydney, NSW 2109, Australia; [Fink, David] Australian Nucl Sci &amp; Technol Org, Menai, NSW 2234, Australia</t>
  </si>
  <si>
    <t>Macquarie University; Australian Nuclear Science &amp; Technology Organisation</t>
  </si>
  <si>
    <t>White, DA (corresponding author), Macquarie Univ, Sydney, NSW 2109, Australia.</t>
  </si>
  <si>
    <t>White, Duanne A/E-6919-2012; fink, David/A-9518-2012</t>
  </si>
  <si>
    <t>fink, David/0000-0001-7156-4602; White, Duanne/0000-0003-0740-2072; Gore, Damian/0000-0002-0377-8518</t>
  </si>
  <si>
    <t>Australian Antarctic Division [1071, 1215]; Australian Research Council [DP0556728]; Australian Institute of Nuclear Science and Engineering [03-048, 04-062]; Australian Research Council [DP0556728] Funding Source: Australian Research Council</t>
  </si>
  <si>
    <t>Australian Antarctic Division; Australian Research Council(Australian Research Council); Australian Institute of Nuclear Science and Engineering; Australian Research Council(Australian Research Council)</t>
  </si>
  <si>
    <t>We thank the Australian Antarctic Division (grants 1071 and 1215), Australian Research Council (grant DP0556728), and Australian Institute of Nuclear Science and Engineering (grants 03-048 and 04-062) for financial support; A. Cianchi, R. Ferguson, D. Gardner, W.-D. Hermichen, A. Hull, M. Jenkin, and T. Pickard for field assistance; C. Mifsud for assistance at the Australian Nuclear Science and Technology Organisation; and D. Zwartz, B. Wagner, and M. Bentley for comments on the manuscript.</t>
  </si>
  <si>
    <t>10.1130/G31591.1</t>
  </si>
  <si>
    <t>WOS:000285696000008</t>
  </si>
  <si>
    <t>Li, ZX; Evans, DAD</t>
  </si>
  <si>
    <t>Li, Zheng-Xiang; Evans, David A. D.</t>
  </si>
  <si>
    <t>Late Neoproterozoic 40° intraplate rotation within Australia allows for a tighter-fitting and longer-lasting Rodinia</t>
  </si>
  <si>
    <t>WESTERN-AUSTRALIA; SOUTH CHINA; DYKE SWARM; NORTHWESTERN AUSTRALIA; PROTEROZOIC AUSTRALIA; PATERSON OROGEN; POLAR WANDER; BREAK-UP; LAURENTIA; GLACIATION</t>
  </si>
  <si>
    <t>Previous paleomagnetic work has appeared to demand the breakup of southwest United States-East Antarctic (SWEAT) type Rodinia reconstructions before ca. 750 Ma, significantly earlier than the stratigraphic record of rift-drift transition between 715 Ma and 650 Ma. Here we reanalyze Australian paleomagnetic and regional tectonic data to produce a model in which the Precambrian Australian continent had a slightly different configuration before the breakup of Rodinia. A cross-continental megashear zone developed along the Paterson and Petermann orogens at ca. 650-550 Ma, during or after the breakup of Rodinia, manifested as an similar to 40 degrees clockwise rotation of the South and West Australian cratons relative to the North Australian craton around a vertical axis in Central Australia. This model reconciles major paleomagnetic discrepancies within Australia, and allows for a longer lifespan of SWEAT-like reconstructions of Rodinia that are consistent with the Neoproterozoic stratigraphic records of Australia and Laurentia.</t>
  </si>
  <si>
    <t>[Li, Zheng-Xiang] Curtin Univ, Dept Appl Geol, Inst Geosci Res TIGeR, Perth, WA 6845, Australia; [Evans, David A. D.] Yale Univ, Dept Geol &amp; Geophys, New Haven, CT 06520 USA</t>
  </si>
  <si>
    <t>Curtin University; Yale University</t>
  </si>
  <si>
    <t>Li, ZX (corresponding author), Curtin Univ, Dept Appl Geol, Inst Geosci Res TIGeR, GPO Box U1987, Perth, WA 6845, Australia.</t>
  </si>
  <si>
    <t>Evans, David/0000-0001-8952-5273; Li, Zheng-Xiang/0000-0003-4350-5976</t>
  </si>
  <si>
    <t>Nordic Paleomagnetic Working Group; Australian Research Council [DP0770228]; TIGeR (The Institute for Geoscience Research, Curtin University); Australian Research Council [DP0770228] Funding Source: Australian Research Council</t>
  </si>
  <si>
    <t>Nordic Paleomagnetic Working Group; Australian Research Council(Australian Research Council); TIGeR (The Institute for Geoscience Research, Curtin University); Australian Research Council(Australian Research Council)</t>
  </si>
  <si>
    <t>We thank Sten-Ake Elming, Sergei Pisarevsky, and others from the Nordic Paleomagnetic Working Group for financial assistance and discussions during the early stages of our thoughts on this topic, and Alan Collins and an anonymous reviewer for constructive comments. Reconstructions were made using Gplates (http://www.gplates.org). This work was supported by Australian Research Council grant DP0770228; TIGeR (The Institute for Geoscience Research, Curtin University) publication 230.</t>
  </si>
  <si>
    <t>10.1130/G31461.1</t>
  </si>
  <si>
    <t>WOS:000285696000012</t>
  </si>
  <si>
    <t>Sagredo, EA; Moreno, PI; Villa-Martínez, R; Kaplan, MR; Kubik, PW; Stern, CR</t>
  </si>
  <si>
    <t>Sagredo, E. A.; Moreno, P. I.; Villa-Martinez, R.; Kaplan, M. R.; Kubik, P. W.; Stern, C. R.</t>
  </si>
  <si>
    <t>Fluctuations of the Ultima Esperanza ice lobe (52°S), Chilean Patagonia, during the last glacial maximum and termination 1</t>
  </si>
  <si>
    <t>GEOMORPHOLOGY</t>
  </si>
  <si>
    <t>Glacial Fluctuations; Seno Ultima Esperanza; Last Glacial Maximum; Termination 1, Patagonia</t>
  </si>
  <si>
    <t>SOUTHERNMOST SOUTH-AMERICA; COSMOGENIC NUCLIDE PRODUCTION; PRODUCTION-RATE CALIBRATION; ANTARCTIC COLD REVERSAL; PRODUCTION-RATES; CENTRAL STRAIT; BAHIA INUTIL; ABRUPT VEGETATION; POLLEN EVIDENCE; CLIMATE CHANGES</t>
  </si>
  <si>
    <t>We present a new record from the Ultima Esperanza region (51 degrees 25'-52 degrees 25'S), southwestern Patagonia, to unravel the timing and structure of glacial fluctuations during the Last Glacial Termination (T1). This sector of southern South America represents the only windward-facing continental landmass in the Southern Hemisphere that intersects the core of the Southern Westerly Wind belt. Geomorphic, stratigraphic and geochronological evidence indicate the following stages during and since the Last Glacial Maximum (LGM): (i) deposition of prominent moraine complexes during at least two advances dated between similar to 39 and &gt;17.5 ka; (ii) development of an ice-dammed proglacial lake (glacial lake Puerto Consuelo) accompanying ice recession; (iii) active deposition of moraine complexes at intermediate positions followed by recession at &gt;= 15.2 ka; (iv) lake level drop and subsequent stabilization between 15.2-12.8 ka; (v) a glacial readvance in glacial lake Puerto Consuelo between 14.8-12.8 ka; (vi) ice recession, stabilization, and lake level lowering between 12.8-10.3 ka; and (vii) glacial withdrawal and disappearance of glacial lake Puerto Consuelo prior to 103 ka. By comparing our results with the chronologies from neighboring regions we explore whether there was a consistent temporal/geographic pattern of glacial fluctuations during the LGM and T1, and examine their implications at regional, hemispheric, and global scales. The correspondence of these variations with key paleoclimate events recorded in the Southern and the Northern Hemispheres suggest a common forcing that, most likely, propagated through the atmosphere. Regional heterogeneities at millennial timescales probably reflect the influence of processes related to deep ocean circulation, and changes in the position/intensity of the Antarctic Polar Front and Southern Westerly Winds. (C) 2010 Elsevier B.V. All rights reserved.</t>
  </si>
  <si>
    <t>[Sagredo, E. A.] Univ Cincinnati, Dept Geol, Cincinnati, OH 45221 USA; [Sagredo, E. A.; Moreno, P. I.] Univ Chile, Dept Ecol Sci, Inst Ecol &amp; Biodivers, Santiago, Chile; [Villa-Martinez, R.] Ctr Estudios Cuaternario CEQUA, Punta Arenas, Chile; [Kaplan, M. R.] Columbia Univ, Lamont Doherty Earth Observ, Palisades, NY 10964 USA; [Kubik, P. W.] Swiss Fed Inst Technol, Lab Ion Beam Phys, Zurich, Switzerland; [Stern, C. R.] Univ Colorado, Dept Geol Sci, Boulder, CO 80309 USA</t>
  </si>
  <si>
    <t>University System of Ohio; University of Cincinnati; Universidad de Chile; Columbia University; Swiss Federal Institutes of Technology Domain; ETH Zurich; University of Colorado System; University of Colorado Boulder</t>
  </si>
  <si>
    <t>Sagredo, EA (corresponding author), Univ Cincinnati, Dept Geol, Cincinnati, OH 45221 USA.</t>
  </si>
  <si>
    <t>sagredea@mail.uc.edu; pimoreno@uchile.cl; rodrigo.villa@cequa.cl; mkaplan@ldeo.columbia.edu; kubik@phys.ethz.ch; charles.stern@colorado.edu</t>
  </si>
  <si>
    <t>Villa, Rodrigo/F-5737-2014; Kaplan, Michael R/D-4720-2011; SAGREDO, ESTEBAN/B-7280-2016; Moreno, Patricio/D-2317-2012</t>
  </si>
  <si>
    <t>Villa, Rodrigo/0000-0001-6041-4393; SAGREDO, ESTEBAN/0000-0002-4494-5423; Moreno, Patricio/0000-0002-1333-6238</t>
  </si>
  <si>
    <t>Fondecyt [1040204, 1070991]; Iniciativa Cientifica Milenio [P05-002, PFB-23]</t>
  </si>
  <si>
    <t>Fondecyt(Comision Nacional de Investigacion Cientifica y Tecnologica (CONICYT)CONICYT FONDECYT); Iniciativa Cientifica Milenio</t>
  </si>
  <si>
    <t>This research was funded by Fondecyt (1040204, 1070991) and Iniciativa Cientifica Milenio P05-002, contract PFB-23. We thank J. Schaefer and the Cosmogenic Dating Group at L-DEO for laboratory assistance and R. Finkel and the Center for Accelerator Mass Spectrometry, LLNL, for AMS analyses. We also acknowledge C.M. Moy (Stanford U.) for processing the samples for radiocarbon dating and T.V. Lowell (U. of Cincinnati) for valuable discussions and helpful insights during the final field season. We thank Centro de Estudios del Cuaternario (CEQUA), Punta Arenas, for logistic support and two anonymous reviewers for their constructive comments. This is LDEO contribution #7400.</t>
  </si>
  <si>
    <t>0169-555X</t>
  </si>
  <si>
    <t>1872-695X</t>
  </si>
  <si>
    <t>Geomorphology</t>
  </si>
  <si>
    <t>10.1016/j.geomorph.2010.09.007</t>
  </si>
  <si>
    <t>693PD</t>
  </si>
  <si>
    <t>WOS:000285235100009</t>
  </si>
  <si>
    <t>Yegorova, T; Bakhmutov, V; Janik, T; Grad, M</t>
  </si>
  <si>
    <t>Yegorova, Tamara; Bakhmutov, Vladimir; Janik, Tomasz; Grad, Marek</t>
  </si>
  <si>
    <t>Joint geophysical and petrological models for the lithosphere structure of the Antarctic Peninsula continental margin</t>
  </si>
  <si>
    <t>GEOPHYSICAL JOURNAL INTERNATIONAL</t>
  </si>
  <si>
    <t>Gravity anomalies and earth structure; Magnetic anomalies: modelling and interpretation; Composition of the continental crust; Composition of the oceanic crust; Controlled source seismology; Antarctica</t>
  </si>
  <si>
    <t>SOUTH-SHETLAND ISLANDS; DEEP-CRUSTAL STRUCTURE; BRANSFIELD STRAIT; MAGNETIC-ANOMALIES; WEST ANTARCTICA; PACIFIC MARGIN; FRACTURE-ZONE; PALMER-LAND; COMPRESSIONAL WAVES; TECTONIC EVOLUTION</t>
  </si>
  <si>
    <t>The Antarctic Peninsula (AP) is a composite magmatic arc terrane formed at the Pacific margin of Gondwana. Through the late Mesozoic and Cenozoic subduction has stopped progressively from southwest to northeast as a result of a series of ridge trench collisions. Subduction may be active today in the northern part of the AP adjacent to the South Shetland Islands. The subduction system is confined by the Shackleton and Hero fracture zones. The magmatic arc of the AP continental margin is marked by high-amplitude gravity and magnetic anomaly belts reaching highest amplitudes in the region of the South Shetland Islands and trench. The sources for these anomalies are highly magnetic and dense batholiths of mafic bulk composition, which were intruded in the Cretaceous, due to partial melting of upper-mantle and lower-crustal rocks. 2-D gravity and magnetic models provide new insights into crustal and upper-mantle structure of the active and passive margin segments of the northern AP. Our models incorporate seismic refraction constraints and physical property data. This enables us to better constrain both Moho geometry and petrological interpretations in the crust and upper mantle. Model along the DSS-12 profile crosses the AP margin near the Anvers Island and shows typical features of a passive continental margin. The second model along the DSS-17 profile extends from the Drake Passage through the South Shetland Trench/Islands system and Bransfield Strait to the AP and indicates an active continental margin linked to slow subduction and on-going continental rifting in the backarc region. Continental rifting beneath the Bransfield Strait is associated with an upward of hot upper mantle rocks and with extensive magmatic underplating.</t>
  </si>
  <si>
    <t>[Yegorova, Tamara; Bakhmutov, Vladimir] Natl Acad Sci Ukraine, Inst Geophys, UA-03680 Kiev, Ukraine; [Janik, Tomasz; Grad, Marek] Polish Acad Sci, Inst Geophys, PL-01452 Warsaw, Poland; [Grad, Marek] Univ Warsaw, Fac Phys, Inst Geophys, PL-02093 Warsaw, Poland</t>
  </si>
  <si>
    <t>National Academy of Sciences Ukraine; Subbotin Institute of Geophysics, National Academy of Sciences of Ukraine; Polish Academy of Sciences; Institute of Geophysics of the Polish Academy of Sciences; University of Warsaw</t>
  </si>
  <si>
    <t>Yegorova, T (corresponding author), Natl Acad Sci Ukraine, Inst Geophys, Palladin Av 32, UA-03680 Kiev, Ukraine.</t>
  </si>
  <si>
    <t>egorova@igph.kiev.ua</t>
  </si>
  <si>
    <t>Janik, Tomasz/AAZ-8460-2021; Volodymyr, Bakhmutov/A-8508-2019</t>
  </si>
  <si>
    <t>Janik, Tomasz/0000-0002-5915-9740; Bakhmutov, Vladimir/0000-0003-3804-9953</t>
  </si>
  <si>
    <t>OXFORD UNIV PRESS</t>
  </si>
  <si>
    <t>GREAT CLARENDON ST, OXFORD OX2 6DP, ENGLAND</t>
  </si>
  <si>
    <t>0956-540X</t>
  </si>
  <si>
    <t>1365-246X</t>
  </si>
  <si>
    <t>GEOPHYS J INT</t>
  </si>
  <si>
    <t>Geophys. J. Int.</t>
  </si>
  <si>
    <t>10.1111/j.1365-246X.2010.04867.x</t>
  </si>
  <si>
    <t>695FZ</t>
  </si>
  <si>
    <t>WOS:000285357300007</t>
  </si>
  <si>
    <t>Fyke, JG; Weaver, AJ; Pollard, D; Eby, M; Carter, L; Mackintosh, A</t>
  </si>
  <si>
    <t>Fyke, J. G.; Weaver, A. J.; Pollard, D.; Eby, M.; Carter, L.; Mackintosh, A.</t>
  </si>
  <si>
    <t>A new coupled ice sheet/climate model: description and sensitivity to model physics under Eemian, Last Glacial Maximum, late Holocene and modern climate conditions</t>
  </si>
  <si>
    <t>GEOSCIENTIFIC MODEL DEVELOPMENT</t>
  </si>
  <si>
    <t>SURFACE MASS-BALANCE; SEA-LEVEL; SHEET; VARIABILITY; SIMULATIONS; CIRCULATION; INSTABILITY; INCEPTION; THICKNESS</t>
  </si>
  <si>
    <t>The need to better understand long-term climate/ice sheet feedback loops is motivating efforts to couple ice sheet models into Earth System models which are capable of long-timescale simulations. In this paper we describe a coupled model that consists of the University of Victoria Earth System Climate Model (UVic ESCM) and the Pennsylvania State University Ice model (PSUI). The climate model generates a surface mass balance (SMB) field via a sub-gridded surface energy/moisture balance model that resolves narrow ice sheet ablation zones. The ice model returns revised elevation, surface albedo and ice area fields, plus coastal fluxes of heat and moisture. An arbitrary number of ice sheets can be simulated, each on their own high-resolution grid and each capable of synchronous or asynchronous coupling with the overlying climate model. The model is designed to conserve global heat and moisture. In the process of improving model performance we developed a procedure to account for modelled surface air temperature (SAT) biases within the energy/moisture balance surface model and improved the UVic ESCM snow surface scheme through addition of variable albedos and refreezing over the ice sheet. A number of simulations for late Holocene, Last Glacial Maximum (LGM), and Eemian climate boundary conditions were carried out to explore the sensitivity of the coupled model and identify model configurations that best represented these climate states. The modelled SAT bias was found to play a significant role in long-term ice sheet evolution, as was the effect of refreezing meltwater and surface albedo. The bias-corrected model was able to reasonably capture important aspects of the Antarctic and Greenland ice sheets, including modern SMB and ice distribution. The simulated northern Greenland ice sheet was found to be prone to ice margin retreat at radiative forcings corresponding closely to those of the Eemian or the present-day.</t>
  </si>
  <si>
    <t>[Fyke, J. G.; Carter, L.; Mackintosh, A.] Victoria Univ Wellington, Antarctic Res Ctr, Sch Geog Environm &amp; Earth Sci, Wellington, New Zealand; [Weaver, A. J.; Eby, M.] Univ Victoria, Climate Modelling Grp, Sch Earth &amp; Ocean Sci, Victoria, BC, Canada; [Pollard, D.] Penn State Univ, Coll Earth &amp; Mineral Sci, Earth &amp; Environm Syst Inst, State Coll, PA USA</t>
  </si>
  <si>
    <t>Victoria University Wellington; University of Victoria; Pennsylvania Commonwealth System of Higher Education (PCSHE); Pennsylvania State University</t>
  </si>
  <si>
    <t>Fyke, JG (corresponding author), Victoria Univ Wellington, Antarctic Res Ctr, Sch Geog Environm &amp; Earth Sci, Wellington, New Zealand.</t>
  </si>
  <si>
    <t>fykejere@myvuw.ac.nz</t>
  </si>
  <si>
    <t>Weaver, Andrew J/E-7590-2011; Eby, Michael/H-5278-2013</t>
  </si>
  <si>
    <t>Weaver, Andrew J/0000-0001-8919-3598; Mackintosh, Andrew/0000-0002-6430-4711</t>
  </si>
  <si>
    <t>1991-959X</t>
  </si>
  <si>
    <t>1991-9603</t>
  </si>
  <si>
    <t>GEOSCI MODEL DEV</t>
  </si>
  <si>
    <t>Geosci. Model Dev.</t>
  </si>
  <si>
    <t>10.5194/gmd-4-117-2011</t>
  </si>
  <si>
    <t>742AO</t>
  </si>
  <si>
    <t>WOS:000288910700008</t>
  </si>
  <si>
    <t>Phipps, SJ; Rotstayn, LD; Gordon, HB; Roberts, JL; Hirst, AC; Budd, WF</t>
  </si>
  <si>
    <t>Phipps, S. J.; Rotstayn, L. D.; Gordon, H. B.; Roberts, J. L.; Hirst, A. C.; Budd, W. F.</t>
  </si>
  <si>
    <t>The CSIRO Mk3L climate system model version 1.0-Part 1: Description and evaluation</t>
  </si>
  <si>
    <t>GENERAL-CIRCULATION MODEL; ANTARCTIC CIRCUMPOLAR CURRENT; NINO-SOUTHERN-OSCILLATION; PHYSICALLY-BASED SCHEME; LARGE-SCALE MODELS; EL-NINO; STRATIFORM CLOUDS; COUPLED MODEL; SEA-ICE; ATMOSPHERE MODELS</t>
  </si>
  <si>
    <t>The CSIRO Mk3L climate system model is a coupled general circulation model, designed primarily for millennial-scale climate simulations and palaeoclimate research. Mk3L includes components which describe the atmosphere, ocean, sea ice and land surface, and combines computational efficiency with a stable and realistic control climatology. This paper describes the model physics and software, analyses the control climatology, and evaluates the ability of the model to simulate the modern climate. Mk3L incorporates a spectral atmospheric general circulation model, a z-coordinate ocean general circulation model, a dynamic-thermodynamic sea ice model and a land surface scheme with static vegetation. The source code is highly portable, and has no dependence upon proprietary software. The model distribution is freely available to the research community. A 1000-yr climate simulation can be completed in around one-and-a-half months on a typical desktop computer, with greater throughput being possible on high-performance computing facilities. Mk3L produces realistic simulations of the larger-scale features of the modern climate, although with some biases on the regional scale. The model also produces reasonable representations of the leading modes of internal climate variability in both the tropics and extratropics. The control state of the model exhibits a high degree of stability, with only a weak cooling trend on millennial timescales. Ongoing development work aims to improve the model climatology and transform Mk3L into a comprehensive earth system model.</t>
  </si>
  <si>
    <t>[Phipps, S. J.; Budd, W. F.] Univ Tasmania, Inst Antarctic &amp; So Ocean Studies, Hobart, Tas 7001, Australia; [Phipps, S. J.; Roberts, J. L.; Budd, W. F.] Antarctic Climate &amp; Ecosyst CRC, Hobart, Tas, Australia; [Phipps, S. J.; Roberts, J. L.; Budd, W. F.] Tasmanian Partnership Adv Comp, Hobart, Tas, Australia; [Phipps, S. J.] Univ New S Wales, Climate Change Res Ctr, Sydney, NSW 2052, Australia; [Rotstayn, L. D.; Gordon, H. B.; Hirst, A. C.] Ctr Australian Weather &amp; Climate Res, Aspendale, Vic, Australia; [Roberts, J. L.] Australian Antarctic Div, Kingston, Tas, Australia</t>
  </si>
  <si>
    <t>University of Tasmania; University of Tasmania; University of New South Wales Sydney; Commonwealth Scientific &amp; Industrial Research Organisation (CSIRO); Australian Antarctic Division</t>
  </si>
  <si>
    <t>Phipps, SJ (corresponding author), Univ Tasmania, Inst Antarctic &amp; So Ocean Studies, Hobart, Tas 7001, Australia.</t>
  </si>
  <si>
    <t>s.phipps@unsw.edu.au</t>
  </si>
  <si>
    <t>Liu, Yangang/H-6154-2011; Rotstayn, Leon/A-1756-2012; Hirst, Anthony/E-2756-2013; Roberts, Jason L/B-2235-2012; Hirst, Anthony/N-1041-2014; Phipps, Steven/B-3135-2008</t>
  </si>
  <si>
    <t>Rotstayn, Leon/0000-0002-2385-4223; Roberts, Jason L/0000-0002-3477-4069; Phipps, Steven/0000-0001-5657-8782</t>
  </si>
  <si>
    <t>Australian Government; University of Tasmania; Antarctic CRC; Trans-Antarctic Association [TAA/99/12]; Merit Allocation Scheme on the NCI National Facility at the Australian National University; Tasmanian Partnership for Advanced Computing (Hobart, Tasmania); iVEC (Perth, Western Australia); Australian National University</t>
  </si>
  <si>
    <t>Australian Government(Australian Government); University of Tasmania; Antarctic CRC(Australian GovernmentDepartment of Industry, Innovation and ScienceCooperative Research Centres (CRC) Programme); Trans-Antarctic Association; Merit Allocation Scheme on the NCI National Facility at the Australian National University; Tasmanian Partnership for Advanced Computing (Hobart, Tasmania); iVEC (Perth, Western Australia); Australian National University(Australian National University)</t>
  </si>
  <si>
    <t>The lead author's contribution towards this work was performed as part of his PhD project. Financial support was received from the Australian Government (an International Postgraduate Research Scholarship), the University of Tasmania (a Tasmania Research Scholarship), the Antarctic CRC (an Antarctic CRC Top-Up Scholarship) and the Trans-Antarctic Association (grant TAA/99/12). Steven Phipps would like to thank Bill Budd, Nathan Bindoff, Jason Roberts, Scott Power, XingrenWu and Tas van Ommen for their supervision and guidance throughout his candidature.; The development of Mk3L was supported by awards under the Merit Allocation Scheme on the NCI National Facility at the Australian National University. Grants of computer time were also received from the Tasmanian Partnership for Advanced Computing (Hobart, Tasmania) and iVEC (Perth, Western Australia). The authors wish to acknowledge use of the Ferret program for analysis and graphics in this paper (http://ferret.pmel.noaa.gov/Ferret/). The World Ocean Atlas 1998, NCEP-DOE Reanalysis 2 and NOAA Optimum Interpolation Sea Surface Temperature Analysis v2 were provided by the NOAA-ESRL Physical Sciences Division, Boulder, Colorado, USA from their website at http://www.esrl.noaa.gov/psd/. The HadISST1 dataset was obtained from the Met Office Hadley Centre website at http://hadobs.metoffice.com/hadisst/.</t>
  </si>
  <si>
    <t>10.5194/gmd-4-483-2011</t>
  </si>
  <si>
    <t>781NF</t>
  </si>
  <si>
    <t>WOS:000291939100014</t>
  </si>
  <si>
    <t>Lindvall, H; Björck, S; Holmgren, S; Ljung, K; Van der Putten, N; Porter, C</t>
  </si>
  <si>
    <t>Lindvall, Hanna; Bjorck, Svante; Holmgren, Sofia; Ljung, Karl; Van der Putten, Nathalie; Porter, Charles</t>
  </si>
  <si>
    <t>A Holocene peat record in the central South Atlantic: an archive of precipitation changes</t>
  </si>
  <si>
    <t>GFF</t>
  </si>
  <si>
    <t>South Atlantic Ocean; Nightingale Island; Holocene; peat</t>
  </si>
  <si>
    <t>TRISTAN-DA-CUNHA; TIERRA-DEL-FUEGO; CLIMATE; WESTERLIES; VARIABILITY; PATAGONIA; ISLAND; EVENT; CHILE</t>
  </si>
  <si>
    <t>Peat deposits from the littoral part of the wetland 2nd Pond on Nightingale Island in the central South Atlantic have been analysed to investigate the Holocene climate development on the island and to test a hypothesis about regionally persistent humidity variations. A variety of proxies were analysed - total carbon and nitrogen, biogenic silica, diatoms, amount of organic matter, macrofossils and magnetic susceptibility - and together with the lithology they are interpreted as a record reflecting changes in humidity/precipitation. Early Holocene (10,000-8500 cal. BP) was possibly significantly drier than today, probably caused by a southerly displacement of the Southern Hemisphere Westerlies (SHW) during the Antarctic climate optimum. From 8500 cal. BP and onwards, the climate became generally more humid and surface run-off increased due to higher precipitation, possibly as an effect of increased influence from the SHW as it moved north. During this generally humid period, our data disclose a distinct pattern of recurrent centennial- to millennial-long events of increased precipitation and the results corroborate the only other study in the region with a similar humidity record. The events might represent large-scale climate oscillations in the Southern Hemisphere, such as latitudinal shifts of the SHW, but may also be related to changes in sea surface temperatures.</t>
  </si>
  <si>
    <t>[Lindvall, Hanna; Bjorck, Svante; Holmgren, Sofia; Ljung, Karl; Van der Putten, Nathalie] Lund Univ, Dept Earth &amp; Ecosyst Sci, S-22362 Lund, Sweden; [Porter, Charles] Patagonian Res Fdn, Puerto Williams, Chile</t>
  </si>
  <si>
    <t>Lund University</t>
  </si>
  <si>
    <t>Lindvall, H (corresponding author), Lund Univ, Dept Earth &amp; Ecosyst Sci, Solvegatan 12, S-22362 Lund, Sweden.</t>
  </si>
  <si>
    <t>hanna@skposeidon.se; svante.bjorck@geol.lu.se; sofia.holmgren@geol.lu.se; karl.ljung@geol.lu; nathalie.van_der_putten@geol.lu.se; ctpatagon@hotmail.com</t>
  </si>
  <si>
    <t>Van der Putten, Nathalie/0000-0002-0271-9321; Ljung, Karl/0000-0002-4290-7933</t>
  </si>
  <si>
    <t>Swedish Research Council (VR); project 'The Last Termination in the South Atlantic'</t>
  </si>
  <si>
    <t>Swedish Research Council (VR)(Swedish Research Council); project 'The Last Termination in the South Atlantic'</t>
  </si>
  <si>
    <t>This study was financed by the Swedish Research Council (VR) by a grant to SB and the project 'The Last Termination in the South Atlantic'. We also acknowledge the field work assistance by Martin Bjorck (Uppsala), Anders Bjork (Copenhagen), Anders Cronholm (Lund), James Haile (Perth), and Warren Glass and Donny Green (Tristan da Cunha). Two anonymus reviewers are thanked for their good comments on this paper.</t>
  </si>
  <si>
    <t>1103-5897</t>
  </si>
  <si>
    <t>2000-0863</t>
  </si>
  <si>
    <t>10.1080/11035897.2011.633708</t>
  </si>
  <si>
    <t>875MQ</t>
  </si>
  <si>
    <t>WOS:000299035100007</t>
  </si>
  <si>
    <t>Lachish, S; Miller, KJ; Storfer, A; Goldizen, AW; Jones, ME</t>
  </si>
  <si>
    <t>Lachish, S.; Miller, K. J.; Storfer, A.; Goldizen, A. W.; Jones, M. E.</t>
  </si>
  <si>
    <t>Evidence that disease-induced population decline changes genetic structure and alters dispersal patterns in the Tasmanian devil</t>
  </si>
  <si>
    <t>HEREDITY</t>
  </si>
  <si>
    <t>disease; population decline; genetic diversity; genetic structure; dispersal; Tasmanian devil</t>
  </si>
  <si>
    <t>HABITAT FRAGMENTATION; INFECTIOUS-DISEASES; BIASED DISPERSAL; F-STATISTICS; FLOW; VARIABILITY; DIVERSITY; TUMOR; SIZE; BOTTLENECKS</t>
  </si>
  <si>
    <t>Infectious disease has been shown to be a major cause of population declines in wild animals. However, there remains little empirical evidence on the genetic consequences of disease-mediated population declines, or how such perturbations might affect demographic processes such as dispersal. Devil facial tumour disease (DFTD) has resulted in the rapid decline of the Tasmanian devil, Sarcophilus harrisii, and threatens to cause extinction. Using 10 microsatellite DNA markers, we compared genetic diversity and structure before and after DFTD outbreaks in three Tasmanian devil populations to assess the genetic consequences of disease-induced population decline. We also used both genetic and demographic data to investigate dispersal patterns in Tasmanian devils along the east coast of Tasmania. We observed a significant increase in inbreeding (FIS pre/post-disease -0.030/0.012, P&lt;0.05; relatedness pre/post-disease 0.011/0.038, P=0.06) in devil populations after just 2-3 generations of disease arrival, but no detectable change in genetic diversity. Furthermore, although there was no subdivision apparent among pre-disease populations (theta=0.005, 95% confidence interval (CI) -0.003 to 0.017), we found significant genetic differentiation among populations post-disease (theta=0.020, 0.010-0.027), apparently driven by a combination of selection and altered dispersal patterns of females in disease-affected populations. We also show that dispersal is male-biased in devils and that dispersal distances follow a typical leptokurtic distribution. Our results show that disease can result in genetic and demographic changes in host populations over few generations and short time scales. Ongoing management of Tasmanian devils must now attempt to maintain genetic variability in this species through actions designed to reverse the detrimental effects of inbreeding and subdivision in disease-affected populations. Heredity (2011) 106, 172-182; doi:10.1038/hdy.2010.17; published online 10 March 2010</t>
  </si>
  <si>
    <t>[Lachish, S.; Jones, M. E.] Univ Tasmania, Sch Zool, Hobart, Tas 7001, Australia; [Lachish, S.; Goldizen, A. W.] Univ Queensland, Sch Biol Sci, Brisbane, Qld, Australia; [Miller, K. J.] Univ Tasmania, Inst Antarctic &amp; So Ocean Studies, Hobart, Tas 7001, Australia; [Storfer, A.] Washington State Univ, Sch Biol Sci, Pullman, WA 99164 USA</t>
  </si>
  <si>
    <t>University of Tasmania; University of Queensland; University of Tasmania; Washington State University</t>
  </si>
  <si>
    <t>Lachish, S (corresponding author), Univ Tasmania, Sch Zool, Private Bag 5, Hobart, Tas 7001, Australia.</t>
  </si>
  <si>
    <t>s.lachish@uq.edu.au</t>
  </si>
  <si>
    <t>Miller, Karen/V-4098-2019; Miller, Karen/A-7902-2011; Jones, Menna E/J-7975-2012; Goldizen, Anne/G-7366-2012</t>
  </si>
  <si>
    <t>Jones, Menna/0000-0001-7558-9022; Goldizen, Anne/0000-0003-0101-4108</t>
  </si>
  <si>
    <t>Australian Research Council [LP0561120]; Ian Potter Foundation; Australian Academy of Sciences; Tasmanian Wildlife Trust; Australian Research Council [LP0561120] Funding Source: Australian Research Council</t>
  </si>
  <si>
    <t>Australian Research Council(Australian Research Council); Ian Potter Foundation; Australian Academy of Sciences; Tasmanian Wildlife Trust; Australian Research Council(Australian Research Council)</t>
  </si>
  <si>
    <t>We thank the field people from the Save the Tasmanian Devil Program, Tasmanian Department of Primary Industries and Water, especially Chrissy Pukk, Dydee Mann, Clare Hawkins and Jason Wiersma, for assistance in the collection of genetic samples and demographic dispersal data. We also thank Rod Peakall and Hamish McCallum for statistical advice and two anonymous referees whose comments significantly improved this manuscript. Funding was provided by the Australian Research Council (LP0561120), the Ian Potter Foundation, the Australian Academy of Sciences, and the Tasmanian Wildlife Trust (Eric Guiler grant).</t>
  </si>
  <si>
    <t>SPRINGERNATURE</t>
  </si>
  <si>
    <t>0018-067X</t>
  </si>
  <si>
    <t>1365-2540</t>
  </si>
  <si>
    <t>Heredity</t>
  </si>
  <si>
    <t>10.1038/hdy.2010.17</t>
  </si>
  <si>
    <t>Ecology; Evolutionary Biology; Genetics &amp; Heredity</t>
  </si>
  <si>
    <t>Environmental Sciences &amp; Ecology; Evolutionary Biology; Genetics &amp; Heredity</t>
  </si>
  <si>
    <t>694XV</t>
  </si>
  <si>
    <t>WOS:000285336100017</t>
  </si>
  <si>
    <t>Catry, I; Dias, MP; Catry, T; Afanasyev, V; Fox, J; Franco, AMA; Sutherland, WJ</t>
  </si>
  <si>
    <t>Catry, Ines; Dias, Maria P.; Catry, Teresa; Afanasyev, Vsevolod; Fox, James; Franco, Aldina M. A.; Sutherland, William J.</t>
  </si>
  <si>
    <t>Individual variation in migratory movements and winter behaviour of Iberian Lesser Kestrels Falco naumanni revealed by geolocators</t>
  </si>
  <si>
    <t>IBIS</t>
  </si>
  <si>
    <t>geolocators; migration; pre-migratory movements; wintering range</t>
  </si>
  <si>
    <t>AUTUMN MIGRATION; CONSERVATION; DISPERSAL; GROUNDS; AFRICA; ROUTES; AREAS</t>
  </si>
  <si>
    <t>The population decline of the Lesser Kestrel Falco naumanni has been the subject of studies across its Western Palaearctic breeding range, but little is known about its use of pre-migratory areas or African wintering quarters. We used geolocators to describe the temporal and spatial patterns of Portuguese Lesser Kestrel migration and wintering behaviour. Data on the complete migration were obtained from four individuals and another three provided further information. Prior to southward migration, Lesser Kestrels showed two different behaviours: northward-orientated movements to Spain and movements in the proximity of the breeding area. Autumn migration took place mostly in late September; spring departures occurred mainly in the first half of February. Wintering grounds included Senegal, Mauritania and Mali, with individuals overlapping considerably in Senegal. Movements registered within the wintering grounds suggest itinerant behaviour in relation to local flushes of prey. During spring migration, birds crossed the Sahara Desert through Mauritania, Western Sahara and Morocco before passing over the Mediterranean to reach Portugal. Autumn migration lasted 4.8 +/- 1.1 days, and spring migration lasted 4.1 +/- 0.3 days. The mean daily flight range varied between approximately 300 and 850 km for an entire journey of around 2500 km. Effective protection of roosting sites in both pre-migratory and wintering areas and maintaining grasshopper populations in Sahelian wintering quarters appear crucial in preserving this threatened migratory raptor across its African-Eurasian flyway. There was no evidence of any deleterious effects of fitting birds with loggers.</t>
  </si>
  <si>
    <t>[Catry, Ines; Sutherland, William J.] Univ Cambridge, Dept Zool, Conservat Sci Grp, Cambridge CB2 3EJ, England; [Dias, Maria P.] Ecoethol Res Unit ISPA, P-1149041 Lisbon, Portugal; [Catry, Teresa] Univ Lisbon, Museu Nacl Hist Nat, Ctr Estudos Ambiente &amp; Mar CESAM, P-1250102 Lisbon, Portugal; [Afanasyev, Vsevolod; Fox, James] British Antarctic Survey, Nat Environm Res Council, Cambridge CB3 0ET, England; [Franco, Aldina M. A.] Univ E Anglia, Sch Environm Sci, Norwich NR4 7TJ, Norfolk, England</t>
  </si>
  <si>
    <t>University of Cambridge; Instituto Superior Psicologia Aplicada (ISPA); Universidade de Lisboa; UK Research &amp; Innovation (UKRI); Natural Environment Research Council (NERC); NERC British Antarctic Survey; University of East Anglia</t>
  </si>
  <si>
    <t>Catry, I (corresponding author), Univ Cambridge, Dept Zool, Conservat Sci Grp, Downing St, Cambridge CB2 3EJ, England.</t>
  </si>
  <si>
    <t>inescatry@yahoo.com</t>
  </si>
  <si>
    <t>Catry, Ines/A-8073-2012; Sutherland, William/B-1291-2013; Catry, Teresa/A-8082-2012; Dias, Maria P./D-1331-2012; Franco, Aldina/G-2144-2010</t>
  </si>
  <si>
    <t>Catry, Ines/0000-0002-5593-5001; Catry, Teresa/0000-0003-4047-9995; Dias, Maria P./0000-0002-7281-4391; Sutherland, William/0000-0002-6498-0437; Franco, Aldina/0000-0001-6055-7378; Fox, James W./0000-0002-3107-696X</t>
  </si>
  <si>
    <t>Fundacao para a Ciencia e Tecnologia [SFRH/BD/28023/2006, SFRH/BPD/46967/2008, SFRH/BPD/46827/2008]; Arcadia Fund; NERC [bas010013] Funding Source: UKRI; Natural Environment Research Council [bas010013] Funding Source: researchfish; Fundação para a Ciência e a Tecnologia [SFRH/BPD/46827/2008, SFRH/BD/28023/2006, SFRH/BPD/46967/2008] Funding Source: FCT</t>
  </si>
  <si>
    <t>Fundacao para a Ciencia e Tecnologia(Fundacao para a Ciencia e a Tecnologia (FCT)); Arcadia Fund; NERC(UK Research &amp; Innovation (UKRI)Natural Environment Research Council (NERC)); Natural Environment Research Council(UK Research &amp; Innovation (UKRI)Natural Environment Research Council (NERC)); Fundação para a Ciência e a Tecnologia(Fundacao para a Ciencia e a Tecnologia (FCT))</t>
  </si>
  <si>
    <t>We thank the CEMPA Ringing Bird Centre and Vitor Encarnacao for providing information on Lesser Kestrel ring recoveries. We are grateful to Rui Constantino, Carla Verissimo, Miguel Lecoq, Ruben Heleno, Mariza Gomes, Beatriz Estanque and the League for the Protection of Nature (LPN) for helping in the fieldwork. We thank R. Strandberg and one anonymous referee for useful comments on the manuscript. I. C., T. C. and M. P. D. were funded by Portuguese doctoral and post-doctoral grants from Fundacao para a Ciencia e Tecnologia (SFRH/BD/28023/2006, SFRH/BPD/46967/2008 and SFRH/BPD/46827/2008, respectively). W.J.S. was funded by the Arcadia Fund. This research was conducted with the permission of the ICNB, Portugal.</t>
  </si>
  <si>
    <t>0019-1019</t>
  </si>
  <si>
    <t>1474-919X</t>
  </si>
  <si>
    <t>Ibis</t>
  </si>
  <si>
    <t>10.1111/j.1474-919X.2010.01073.x</t>
  </si>
  <si>
    <t>690MH</t>
  </si>
  <si>
    <t>WOS:000285008400016</t>
  </si>
  <si>
    <t>Levy, JS; Head, JW; Marchant, DR</t>
  </si>
  <si>
    <t>Martini, IP; French, HM; Alberti, AP</t>
  </si>
  <si>
    <t>Levy, J. S.; Head, J. W.; Marchant, D. R.</t>
  </si>
  <si>
    <t>Gullies, polygons and mantles in Martian permafrost environments: cold desert landforms and sedimentary processes during recent Martian geological history</t>
  </si>
  <si>
    <t>ICE-MARGINAL AND PERIGLACIAL PROCESSES AND SEDIMENTS</t>
  </si>
  <si>
    <t>Geological Society Special Publication</t>
  </si>
  <si>
    <t>ENERGY NEUTRON DETECTOR; SOUTHERN VICTORIA LAND; MARS ORBITER CAMERA; GROUND-ICE; NEAR-SURFACE; WATER-ICE; SAND WEDGES; DRY VALLEYS; TUKTOYAKTUK COASTLANDS; ANTARCTIC PERMAFROST</t>
  </si>
  <si>
    <t>A range of cold desert landforms are found on the Martian surface that have been interpreted to indicate prevailing frozen and hyper-arid conditions for at least the past several million years. These cold desert conditions are punctuated by brief periods of localized surficial liquid water flow. Sediment transport pathways operate under these conditions of extreme cold and aridity and the processes involved generate permafrost landforms that are recognizable from spacecraft at local, regional and global scales. Thermal-contraction-crack polygons are associated with hemisphere-spanning mantle units that contain excess ice in the immediate subsurface. Sublimation is the dominant phase transition rather than melting under present Martian conditions. Evidence is presented for melting of near-surface snow, frost and/or ground ice in protected gully alcove microclimates during the most recent several million years.</t>
  </si>
  <si>
    <t>[Levy, J. S.] Portland State Univ, Dept Geol, Portland, OR 97201 USA; [Head, J. W.] Brown Univ, Dept Geol Sci, Providence, RI 02912 USA; [Marchant, D. R.] Boston Univ, Dept Earth Sci, Boston, MA 02215 USA</t>
  </si>
  <si>
    <t>Portland State University; Brown University; Boston University</t>
  </si>
  <si>
    <t>Levy, JS (corresponding author), Portland State Univ, Dept Geol, 1721 SW Broadway,Cramer Hall Room 17, Portland, OR 97201 USA.</t>
  </si>
  <si>
    <t>jlevy@pdx.edu</t>
  </si>
  <si>
    <t>Levy, Joseph/0000-0002-6222-139X</t>
  </si>
  <si>
    <t>0305-8719</t>
  </si>
  <si>
    <t>978-1-86239-327-1</t>
  </si>
  <si>
    <t>GEOL SOC SPEC PUBL</t>
  </si>
  <si>
    <t>Geol. Soc. Spec. Publ.</t>
  </si>
  <si>
    <t>10.1144/SP354.10</t>
  </si>
  <si>
    <t>10.1144/SP354.0</t>
  </si>
  <si>
    <t>BFY11</t>
  </si>
  <si>
    <t>WOS:000321868800010</t>
  </si>
  <si>
    <t>Guglielmin, M; Favero-Longo, SE; Cannone, N; Piervittori, R; Strini, A</t>
  </si>
  <si>
    <t>Guglielmin, Mauro; Favero-Longo, Sergio E.; Cannone, Nicoletta; Piervittori, Rosanna; Strini, Andrea</t>
  </si>
  <si>
    <t>Role of lichens in granite weathering in cold and arid environments of continental Antarctica</t>
  </si>
  <si>
    <t>NORTHERN VICTORIA-LAND; TERRA-NOVA BAY; CRYOTIC ENVIRONMENT; KAR PLATEAU; SOUTHERN; ROCKS; VEGETATION; MINERALS; TAFONI; COLONIZATION</t>
  </si>
  <si>
    <t>The mechanical and chemical effects of lichens on the outer and inner surfaces of tafoni features were investigated through a multidisciplinary approach at two locations (Oasi 74 degrees 42'S, 164 degrees 07'E, 40-250 m a.s.l.; Mount Keinath, 74 degrees 32'S; 163 degrees 58'E; 850 m a.s.l.) close to the Italian Antarctic station (Mario Zucchelli). Outer tafoni roof surfaces show low values of effective porosity coupled with pervasive hyphal penetration and an extensive reddish-brown weathering rind. Inner tafoni surfaces show higher values of effective porosity, which correspond with an almost absent weathering rind and low hyphal penetration. Our observations indicate that: (a) iron oxy-hydroxides, particularly concentrated where hyphal patches and bundles contact biotite, consist of hematite; (b) the microcosms of lichen hyphae and their precipitates fill voids to form case hardening on outer surfaces; and (c) on inner surfaces biological action is less active, most likely because of more intense thermal stress and salt action.</t>
  </si>
  <si>
    <t>[Guglielmin, Mauro] Univ Insubria, Dept Struct &amp; Funct Biol, I-21100 Varese, Italy; [Favero-Longo, Sergio E.; Piervittori, Rosanna] Univ Turin, Dept Plant Biol, I-10125 Turin, Italy; [Favero-Longo, Sergio E.; Piervittori, Rosanna] Univ Turin, Ctr Excellence Plant &amp; Microbial Biosensing, I-10125 Turin, Italy; [Cannone, Nicoletta] Univ Ferrara, Dept Biol &amp; Evolut, I-44100 Ferrara, Italy; [Strini, Andrea] Univ Insubria, PNRA, Dept Struct &amp; Funct Biol, I-21100 Varese, Italy</t>
  </si>
  <si>
    <t>University of Insubria; University of Turin; University of Turin; University of Ferrara; University of Insubria</t>
  </si>
  <si>
    <t>Guglielmin, M (corresponding author), Univ Insubria, Dept Struct &amp; Funct Biol, Via Dunant 3, I-21100 Varese, Italy.</t>
  </si>
  <si>
    <t>mauro.guglielmin@uninsubria.it</t>
  </si>
  <si>
    <t>Cannone, Nicoletta/W-8651-2019</t>
  </si>
  <si>
    <t>Cannone, Nicoletta/0000-0002-3390-3965; Favero Longo, Sergio Enrico/0000-0001-7129-5975</t>
  </si>
  <si>
    <t>10.1144/SP354.12</t>
  </si>
  <si>
    <t>WOS:000321868800012</t>
  </si>
  <si>
    <t>Priede, IG; Godbold, JA; Niedzielski, T; Collins, MA; Bailey, DM; Gordon, JDM; Zuur, AF</t>
  </si>
  <si>
    <t>Priede, Imants G.; Godbold, Jasmin A.; Niedzielski, Tomasz; Collins, Martin A.; Bailey, David M.; Gordon, John D. M.; Zuur, Alain F.</t>
  </si>
  <si>
    <t>A review of the spatial extent of fishery effects and species vulnerability of the deep-sea demersal fish assemblage of the Porcupine Seabight, Northeast Atlantic Ocean (ICES Subarea VII)</t>
  </si>
  <si>
    <t>ICES JOURNAL OF MARINE SCIENCE</t>
  </si>
  <si>
    <t>Symposium on Issues Confronting the Deep Oceans - the Economic, Scientific, and Governance Challenges a+C357nd Opportunities of Working in the Deep Sea</t>
  </si>
  <si>
    <t>APR 27-30, 2009</t>
  </si>
  <si>
    <t>Horta, PORTUGAL</t>
  </si>
  <si>
    <t>abundance; continental slope; fisheries; impacts</t>
  </si>
  <si>
    <t>MARINE PROTECTED AREAS; HOPLOSTETHUS-ATLANTICUS; CONTINENTAL-SLOPE; ROCKALL TROUGH; ORANGE ROUGHY; NEW-ZEALAND; ECOSYSTEMS; EXPRESSION; MANAGEMENT; GRENADIER</t>
  </si>
  <si>
    <t>We review information from scientific trawl surveys carried out between 1977 and 2002 in the Porcupine Seabight and Abyssal Plain area of the Northeast Atlantic (240-4865 m water depth). Since the late 1980s, commercial bottom-trawl fisheries targeting mainly roundnose grenadier (Coryphaenoides rupestris), black scabbardfish (Aphanopus carbo), and orange roughy (Hoplostethus atlanticus) have been operating at depths of 500-1500 m, intersecting the depth ranges of 77 demersal fish species that would therefore be vulnerable to fishery effects. Comparisons of trawls pre-1989 and post-1997 indicate a significant decrease in total abundance of demersal fish down to 2500 m. Detailed analyses of the 15 most-abundant species showed that nine species with depth ranges within the commercial fishing depth have decreased in abundance. Other species were either not affected (Bathypterois dubius) or only affected at the shallow end of their range (Coryphaenoides guentheri). Species with a minimum depth of occurrence &gt;1500 m (Coryphaenoides armatus and Coryphaenoides leptolepis) increased in abundance over part of their depth range. Decreases in abundance are probably caused by commercial fishing activities, an effect that is transmitted downslope by removal of fish at the shallow end of their depth range, resulting in declines at the deeper end of the depth range. The estimated fishery area is ca. 52 000 km(2), but the potential impact probably extends to ca. 142 000 km(2) and to many non-target species.</t>
  </si>
  <si>
    <t>[Priede, Imants G.; Godbold, Jasmin A.; Niedzielski, Tomasz; Collins, Martin A.; Bailey, David M.; Zuur, Alain F.] Univ Aberdeen, Oceanlab, Newburgh AB41 6AA, Aberdeen, Scotland; [Niedzielski, Tomasz] Polish Acad Sci, Space Res Ctr, PL-00716 Warsaw, Poland; [Collins, Martin A.] British Antarctic Survey, NERC, Cambridge CB3 0ET, England; [Bailey, David M.] Univ Glasgow, Fac Biomed &amp; Life Sci, Glasgow G12 8QQ, Lanark, Scotland; [Gordon, John D. M.] Scottish Assoc Marine Sci, Dunstaffnage Marine Lab, Oban PA37 1QA, Argyll, Scotland; [Zuur, Alain F.] Highland Stat Ltd, Newburgh AB41 6FN, Scotland</t>
  </si>
  <si>
    <t>University of Aberdeen; Polish Academy of Sciences; Space Research Centre of the Polish Academy of Sciences; Centrum Badan Kosmicznych, Polish Academy of Sciences; UK Research &amp; Innovation (UKRI); Natural Environment Research Council (NERC); NERC British Antarctic Survey; University of Glasgow; UHI Millennium Institute</t>
  </si>
  <si>
    <t>Priede, IG (corresponding author), Univ Aberdeen, Oceanlab, Newburgh AB41 6AA, Aberdeen, Scotland.</t>
  </si>
  <si>
    <t>i.g.priede@abdn.ac.uk</t>
  </si>
  <si>
    <t>Godbold, Jasmin/AAB-2522-2022; , Martin/ABE-6728-2020; Niedzielski, Tomasz/AAI-8985-2020; Godbold, Jasmin A/F-1577-2012; Collins, Martin A/J-8560-2017; Bailey, David/A-6240-2008</t>
  </si>
  <si>
    <t>Godbold, Jasmin/0000-0001-5558-8188; , Martin/0000-0001-7132-8650; Niedzielski, Tomasz/0000-0001-8236-9861; Priede, Imants/0000-0002-5064-9751; Bailey, David/0000-0002-0824-8823</t>
  </si>
  <si>
    <t>NERC [NE/C512961/1]; EU [MAS2-CT920033]; Natural Environment Research Council [NE/C512996/1, NE/C512988/1, bas0100025, NE/C512961/1, NE/C51297X/1, NE/C51300X/1, dml010004] Funding Source: researchfish; NERC [dml010004, NE/C51297X/1, bas0100025, NE/C512988/1, NE/C51300X/1, NE/C512961/1, NE/C512996/1] Funding Source: UKRI</t>
  </si>
  <si>
    <t>NERC(UK Research &amp; Innovation (UKRI)Natural Environment Research Council (NERC)); EU(European Union (EU)); Natural Environment Research Council(UK Research &amp; Innovation (UKRI)Natural Environment Research Council (NERC)); NERC(UK Research &amp; Innovation (UKRI)Natural Environment Research Council (NERC))</t>
  </si>
  <si>
    <t>This work was supported by a series of NERC grants to the principal investigators including NE/C512961/1. The results of the early joint SAMS and IOS surveys were digitized with support from EU MAST Contract MAS2-CT920033 1993-1995, and the analysis was supported by EU FP7 Projects HERMES and HERMIONE. We thank the ships' companies of the RRS Challenger and RRS Discovery.</t>
  </si>
  <si>
    <t>1054-3139</t>
  </si>
  <si>
    <t>1095-9289</t>
  </si>
  <si>
    <t>ICES J MAR SCI</t>
  </si>
  <si>
    <t>ICES J. Mar. Sci.</t>
  </si>
  <si>
    <t>10.1093/icesjms/fsq045</t>
  </si>
  <si>
    <t>692ZI</t>
  </si>
  <si>
    <t>WOS:000285194000004</t>
  </si>
  <si>
    <t>Hospitaleche, CA; Márquez, G; Pérez, LM; Rosato, V; Cione, AL</t>
  </si>
  <si>
    <t>Acosta Hospitaleche, Carolina; Marquez, Gonzalo; Martin Perez, Leandro; Rosato, Vilma; Luis Cione, Alberto</t>
  </si>
  <si>
    <t>Lichen Bioerosion on Fossil Vertebrates from the Cenozoic of Patagonia and Antarctica</t>
  </si>
  <si>
    <t>ICHNOS-AN INTERNATIONAL JOURNAL FOR PLANT AND ANIMAL TRACES</t>
  </si>
  <si>
    <t>Bioerosion; Lichen; Taphonomy; Patagonia; Antarctica</t>
  </si>
  <si>
    <t>MIOCENE; ROCKS</t>
  </si>
  <si>
    <t>Different traces occur on fossil bones and teeth coming from the Early Miocene Gaiman Formation (Patagonia, Argentina). Most traces were attributed to the action of terrestrial and marine predators and scavengers. However, other traces on bones and teeth from this unit and one tooth from the Eocene La Meseta Formation (Antarctica) are attributed to chemical corrosion by lichens in recent times, that is, in a very late diagenetic time. The living lichens and calcium oxalate deposits occurring on the traces and their particular pattern indicates that they were not produced by vegetal roots. The lichens include reproductive structures which allowed a proper determination. A kind of corrosion pattern (Type 1) on bones and teeth from Patagonia is associated to Sarcogyne orbicularis Korber, Verrucaria sp. Schrad, and Buellia aff. punctiformis (Hoff.) Massal. The lichen Aspicilia aff. aquatica produced rounded holes on an Antarctic tooth (Type 2). On the same tooth, the epilithic lichen Caloplaca sp. Th. Fries did not leave any kind of mark on the enameloid.</t>
  </si>
  <si>
    <t>[Acosta Hospitaleche, Carolina; Luis Cione, Alberto] Museo La Plata, Div Paleontol Vertebrados, RA-1900 La Plata, Argentina; [Marquez, Gonzalo] Fac Ciencias Nat &amp; Museo, Catedra Palinol, La Plata, Argentina; [Martin Perez, Leandro] Museo La Plata, Div Paleozool Invertebrados, RA-1900 La Plata, Argentina; [Rosato, Vilma] Fac Ciencias Nat &amp; Museo, Inst Spegazzini, La Plata, Argentina</t>
  </si>
  <si>
    <t>National University of La Plata; Museo La Plata; National University of La Plata; Museo La Plata; National University of La Plata; Museo La Plata; National University of La Plata; Museo La Plata</t>
  </si>
  <si>
    <t>Hospitaleche, CA (corresponding author), Museo La Plata, Div Paleontol Vertebrados, Paseo Bosque S-N, RA-1900 La Plata, Argentina.</t>
  </si>
  <si>
    <t>acostacaro@fcnym.unlp.edu.ar</t>
  </si>
  <si>
    <t>Acosta Hospitaleche, Carolina/E-5740-2017</t>
  </si>
  <si>
    <t>Acosta Hospitaleche, Carolina/0000-0002-2614-1448; Marquez, Gonzalo/0000-0001-7378-836X; Rosato, Vilma Gabriela/0000-0002-5779-6885</t>
  </si>
  <si>
    <t>Agencia Nacional de Promocion Cientifica y Tecnologica; Consejo Nacional de Investigaciones Cientificas y Tecnicas; Universidad Nacional de La Plata</t>
  </si>
  <si>
    <t>Agencia Nacional de Promocion Cientifica y Tecnologica(ANPCyTSpanish Government); Consejo Nacional de Investigaciones Cientificas y Tecnicas(Consejo Nacional de Investigaciones Cientificas y Tecnicas (CONICET)); Universidad Nacional de La Plata(National University of La Plata)</t>
  </si>
  <si>
    <t>We would like to thank the Agencia Nacional de Promocion Cientifica y Tecnologica, Consejo Nacional de Investigaciones Cientificas y Tecnicas, and Universidad Nacional de La Plata for financial support. We would also like to acknowledge the help of Alfredo Carlini, Martin Ciancio, and Marta Morbelli with optical equipment, and. Luciano Prates for the access to bone material from archaeological sites.</t>
  </si>
  <si>
    <t>1042-0940</t>
  </si>
  <si>
    <t>1563-5236</t>
  </si>
  <si>
    <t>ICHNOS</t>
  </si>
  <si>
    <t>Ichnos</t>
  </si>
  <si>
    <t>PII 934769937</t>
  </si>
  <si>
    <t>10.1080/10420940.2011.552577</t>
  </si>
  <si>
    <t>733OY</t>
  </si>
  <si>
    <t>WOS:000288273400001</t>
  </si>
  <si>
    <t>Koch, A; Bruce, MG; Ladefoged, K</t>
  </si>
  <si>
    <t>Petersen, E; Chen, LH; Schlagenhauf, P</t>
  </si>
  <si>
    <t>Koch, Anders; Bruce, Michael G.; Ladefoged, Karin</t>
  </si>
  <si>
    <t>Arctic and Antarctica</t>
  </si>
  <si>
    <t>INFECTIOUS DISEASES: A GEOGRAPHIC GUIDE</t>
  </si>
  <si>
    <t>INVASIVE PNEUMOCOCCAL DISEASE; ALASKA NATIVE CHILDREN; HELICOBACTER-PYLORI; VIRUS-INFECTION; UNITED-STATES; RISK-FACTORS; HEPATITIS-A; TUBERCULOSIS; HOSPITALIZATIONS; POPULATION</t>
  </si>
  <si>
    <t>Arctic parts of Russia (Siberia), Alaska, Canada, and Greenland are characterized by scarce and mostly native populations living wide apart and often under crowded conditions. Caucasians live in Svalbard and the Antarctic. The main infectious diseases that occur in excess numbers in indigenous population in the Arctic compared with Northern European/American populations include invasive disease caused by Streptococcus pneumoniae and Haemophilus influenzae, tuberculosis, chronic otitis media, respiratory tract infections including RSV and influenza, hepatitis B virus infection, sexually transmitted infections, Helicobacter pylori infection, parasitic infections, and bacterial zoonoses. Infectious disease patterns in people living in Svalbard and Antarctica mainly reflect those of their native countries.</t>
  </si>
  <si>
    <t>[Koch, Anders] Statens Serum Inst, Dept Epidemiol Res, DK-2300 Copenhagen, Denmark; [Koch, Anders] Copenhagen Univ Hosp, Dept Infect Dis, Copenhagen, Denmark; [Bruce, Michael G.] CDC, Arctic Invest Program, NCEZID, Anchorage, AK USA; [Ladefoged, Karin] Queen Ingrids Hosp, Dept Internal Med, Nuuk, Greenland</t>
  </si>
  <si>
    <t>Statens Serum Institut; University of Copenhagen; Centers for Disease Control &amp; Prevention - USA</t>
  </si>
  <si>
    <t>Koch, A (corresponding author), Statens Serum Inst, Dept Epidemiol Res, DK-2300 Copenhagen, Denmark.</t>
  </si>
  <si>
    <t>JOHN WILEY &amp; SONS</t>
  </si>
  <si>
    <t>CHICHESTER</t>
  </si>
  <si>
    <t>THE ATRIUM, SOUTHERN GATE, CHICHESTER, W SUSSEX PO 19 8SQ, ENGLAND</t>
  </si>
  <si>
    <t>978-1-119-97161-0; 978-0-470-65529-0</t>
  </si>
  <si>
    <t>10.1002/9781119971641</t>
  </si>
  <si>
    <t>Infectious Diseases</t>
  </si>
  <si>
    <t>BA6JV</t>
  </si>
  <si>
    <t>WOS:000337164800028</t>
  </si>
  <si>
    <t>Coco, I; Amata, E; Marcucci, MF; Ambrosino, D; Shepherd, SG</t>
  </si>
  <si>
    <t>Coco, Igino; Amata, Ermanno; Marcucci, Maria Federica; Ambrosino, Danila; Shepherd, Simon G.</t>
  </si>
  <si>
    <t>Effects of Abrupt Variations of SolarWind Dynamic Pressure on the High-Latitude Ionosphere</t>
  </si>
  <si>
    <t>INTERNATIONAL JOURNAL OF GEOPHYSICS</t>
  </si>
  <si>
    <t>SUDDEN IMPULSES; SUPERDARN; CONVECTION; PATTERNS; MODEL</t>
  </si>
  <si>
    <t>We show the results of a statistical study on the effects in the high-latitude ionosphere of abrupt variations of solar wind dynamic pressure, using Super Dual Auroral Radar Network (SuperDARN) data in both hemispheres. We find that, during periods of quiet ionospheric conditions, the amount of radar backscatter increases when a variation in the dynamic pressure occurs, both positive (increase of the pressure) and negative (decrease of the pressure). We also investigate the behaviour of the Cross- Polar Cap Potential (CPCP) during pressure variations and show preliminary results.</t>
  </si>
  <si>
    <t>[Coco, Igino; Amata, Ermanno; Marcucci, Maria Federica; Ambrosino, Danila] IFSI, INAF, Via Fosso Cavaliere,100, I-00133 Rome, Italy; [Shepherd, Simon G.] Dartmouth Coll, Thayer Sch Engn Dartmouth, Hanover, NH 03755 USA</t>
  </si>
  <si>
    <t>Istituto Nazionale Astrofisica (INAF); Dartmouth College</t>
  </si>
  <si>
    <t>Coco, I (corresponding author), IFSI, INAF, Via Fosso Cavaliere,100, I-00133 Rome, Italy.</t>
  </si>
  <si>
    <t>igino.coco@ifsi-roma.inaf.it</t>
  </si>
  <si>
    <t>Coco, Igino/X-7419-2018; Marcucci, Maria federica/HNJ-5276-2023</t>
  </si>
  <si>
    <t>Coco, Igino/0000-0003-4070-6828; Marcucci, Maria Federica/0000-0002-5002-6060; shepherd, simon/0000-0003-1992-4118</t>
  </si>
  <si>
    <t>Italian National Program for the Antarctic Research (PNRA) [2004/7.1, 2004/7.2]; Scientific Committee for Antarctic Research (SCAR) through SCAR Fellowship Program; ASI Studi di Esplorazione del Sistema Solare [I/015/07/0]</t>
  </si>
  <si>
    <t>Italian National Program for the Antarctic Research (PNRA); Scientific Committee for Antarctic Research (SCAR) through SCAR Fellowship Program; ASI Studi di Esplorazione del Sistema Solare</t>
  </si>
  <si>
    <t>The authors would like to thank N. Ness and D. McComas for the use of ACE Magnetic Field Instrument and Solar Wind Experiment data, respectively; the CDAWeb team; the World Data Center for Geomagnetism, Kyoto, Japan, for providing AE index and equatorial magnetograms; the principal investigators of the SuperDARN radars in the Northern and Southern Hemispheres. This work is supported by the Italian National Program for the Antarctic Research (PNRA) under projects 2004/7.1 and 2004/7.2; I. Coco thanks the Scientific Committee for Antarctic Research (SCAR) for the financial support through the SCAR Fellowship Program 2007-2008. This work was partially supported by ASI under Contract no. I/015/07/0 Studi di Esplorazione del Sistema Solare.</t>
  </si>
  <si>
    <t>1687-885X</t>
  </si>
  <si>
    <t>1687-8868</t>
  </si>
  <si>
    <t>INT J GEOPHYS</t>
  </si>
  <si>
    <t>Int. J. Geophys.</t>
  </si>
  <si>
    <t>10.1155/2011/207514</t>
  </si>
  <si>
    <t>V25XV</t>
  </si>
  <si>
    <t>WOS:000215258200004</t>
  </si>
  <si>
    <t>Churchill, R</t>
  </si>
  <si>
    <t>Churchill, Robin</t>
  </si>
  <si>
    <t>Dispute Settlement under the UN Convention on the Law of the Sea: Survey for 2010</t>
  </si>
  <si>
    <t>INTERNATIONAL JOURNAL OF MARINE AND COASTAL LAW</t>
  </si>
  <si>
    <t>dispute settlement; International Court of Justice (ICJ); International Tribunal for the Law of the Sea (ITLOS); marine protected area; whaling; the Area; state responsibility; provisional measures; Sea-Bed Disputes Chamber; International Seabed Authority; archaeological and historical objects; underwater cultural heritage</t>
  </si>
  <si>
    <t>This is the seventh of a series of annual surveys reviewing dispute settlement in the law of the sea both under the UN Convention on the Law of the Sea and outside the framework of the Convention. The main developments during 2010 were the commencement of four new, and very different, cases-a request for an advisory opinion in the Responsibilities and Obligations of States sponsoring Persons and Entities with respect to Activities in the Area case and three contentious cases, the Whaling in the Antarctic (Australia v. Japan), the M/V Louisa (Saint Vincent and the Grenadines v. Kingdom of Spain) and Dispute concerning the 'Marine Protected Area' related to the Chagos Archipelago (Mauritius v. United Kingdom) cases-and an order by the ITLOS declining to prescribe provisional measures in the M/V Louisa case.</t>
  </si>
  <si>
    <t>Univ Dundee, Sch Law, Dundee DD1 4HN, Scotland</t>
  </si>
  <si>
    <t>University of Dundee</t>
  </si>
  <si>
    <t>Churchill, R (corresponding author), Univ Dundee, Sch Law, Dundee DD1 4HN, Scotland.</t>
  </si>
  <si>
    <t>MARTINUS NIJHOFF PUBL</t>
  </si>
  <si>
    <t>PO BOX 9000, LEIDEN, 2300 PA, NETHERLANDS</t>
  </si>
  <si>
    <t>0927-3522</t>
  </si>
  <si>
    <t>INT J MAR COAST LAW</t>
  </si>
  <si>
    <t>Int. J. Mar. Coast. Law</t>
  </si>
  <si>
    <t>10.1163/157180811X592101</t>
  </si>
  <si>
    <t>Law</t>
  </si>
  <si>
    <t>V27MW</t>
  </si>
  <si>
    <t>WOS:000208618300002</t>
  </si>
  <si>
    <t>Kostadinov, I; Petritoli, A; Giovanelli, G; Premuda, M; Bortoli, D; Masieri, S; Ravegnani, F</t>
  </si>
  <si>
    <t>Kostadinov, I.; Petritoli, A.; Giovanelli, G.; Premuda, M.; Bortoli, D.; Masieri, S.; Ravegnani, F.</t>
  </si>
  <si>
    <t>Stratospheric NO2 trends over the high mountain 'Ottavio Vittori' station, Italy</t>
  </si>
  <si>
    <t>UV-VISIBLE SPECTROMETERS; SOLAR PROTON EVENTS; NITROGEN-DIOXIDE; ATMOSPHERIC OZONE; LAUDER; REGION; LAYER</t>
  </si>
  <si>
    <t>This paper presents an evaluation of the nitrogen dioxide (NO2) trend inferred from UV-visible zenith-sky measurements performed at the 'Ottavio Vittori' ground-based research station (http://www.isac.cnr.it/cimone) at Monte Cimone (44.18 degrees N, 10.7 degrees E, 2165m above sea level (a.s.l.)). Experimental data series are obtained from the measured spectra adopting a retrieval procedure according to differential optical absorption spectroscopy (DOAS) methodology. Data series cover the period from 1993 to 2009, with limited interruptions due to technical maintenance of the instrument or poor meteorological conditions. The NO2 trends are calculated with a linear regression model considering different factors assumed to contribute to NO2 atmospheric content. Before running the model, a procedure for data quality control was applied to reduce or exclude the influence of measurements affected by poor meteorological conditions or the vertical transport of polluted air masses from the lower troposphere. The negative trends obtained for sunrise (a.m.) and sunset (p.m.) NO2 measurements are in good agreement with previous studies accomplished for ground-based stations in the northern hemisphere.</t>
  </si>
  <si>
    <t>[Kostadinov, I.; Petritoli, A.; Giovanelli, G.; Premuda, M.; Bortoli, D.; Masieri, S.; Ravegnani, F.] Inst Atmospher Sci &amp; Climate ISAC CNR, I-40129 Bologna, Italy; [Bortoli, D.] Univ Evora, Evora Geophys Ctr CGE, P-7000 Evora, Portugal</t>
  </si>
  <si>
    <t>Consiglio Nazionale delle Ricerche (CNR); Istituto di Scienze dell'Atmosfera e del Clima (ISAC-CNR); University of Evora</t>
  </si>
  <si>
    <t>Kostadinov, I (corresponding author), Inst Atmospher Sci &amp; Climate ISAC CNR, Via Gobetti 101, I-40129 Bologna, Italy.</t>
  </si>
  <si>
    <t>i.kostadinov@isac.cnr.it</t>
  </si>
  <si>
    <t>Bortoli, Daniele/A-5489-2009; Ravegnani, Fabrizio/AAM-5467-2021; Premuda, Margherita/B-1066-2013; Ravegnani, Fabrizio/A-7800-2009</t>
  </si>
  <si>
    <t>Bortoli, Daniele/0000-0002-2334-4055; Ravegnani, Fabrizio/0000-0003-0735-9297; Premuda, Margherita/0000-0003-4920-2861; Ravegnani, Fabrizio/0000-0003-0735-9297</t>
  </si>
  <si>
    <t>QUITSAT (Qualita dell'aria mediante l'Integrazione di misure da Terra, da Satellite e di modellistica chimica multifase e di Trasporto) [I/035/06/0]; Italian Space Agency; Italian Antarctic Research Program (PNRA); DUP-POLPO [15564/01/I-LG]; EU-QUILT [EVK2-2000-00545]</t>
  </si>
  <si>
    <t>QUITSAT (Qualita dell'aria mediante l'Integrazione di misure da Terra, da Satellite e di modellistica chimica multifase e di Trasporto); Italian Space Agency(Agenzia Spaziale Italiana (ASI)); Italian Antarctic Research Program (PNRA); DUP-POLPO; EU-QUILT</t>
  </si>
  <si>
    <t>This work was funded partially by Pilot Project QUITSAT (Qualita dell'aria mediante l'Integrazione di misure da Terra, da Satellite e di modellistica chimica multifase e di Trasporto, contract I/035/06/0; www.quitsat.it) sponsored and funded by the Italian Space Agency; by the Italian Antarctic Research Program (PNRA); and by the DUP-POLPO (ESA Contract No. 15564/01/I-LG) and EU-QUILT (EVK2-2000-00545) projects. We thank the staff of 'Ottavio Vittori' scientific station for their effective collaboration, and Francescopiero Calzolari, Paolo Bonasoni, Ubaldo Bonafe and Paolo Cristofanelli in particular.</t>
  </si>
  <si>
    <t>PII 934125961</t>
  </si>
  <si>
    <t>10.1080/01431161.2010.517799</t>
  </si>
  <si>
    <t>726QG</t>
  </si>
  <si>
    <t>WOS:000287740600012</t>
  </si>
  <si>
    <t>Haselwimmer, CE; Riley, TR; Liu, JG</t>
  </si>
  <si>
    <t>Haselwimmer, C. E.; Riley, T. R.; Liu, J. G.</t>
  </si>
  <si>
    <t>Lithologic mapping in the Oscar II Coast area, Graham Land, Antarctic Peninsula using ASTER data</t>
  </si>
  <si>
    <t>SPACEBORNE THERMAL EMISSION; REFLECTION RADIOMETER ASTER; MINERALOGY; VOLCANISM; AUSTRALIA; PATAGONIA; DEPOSITS</t>
  </si>
  <si>
    <t>The results of the first attempt to use Advanced Spaceborne Thermal Emission and Reflection Radiometer (ASTER) data for the purposes of lithologic mapping on the Antarctic Peninsula are presented for an area on the Oscar II Coast, eastern Graham Land. This study included undertaking laboratory reflectance spectroscopy of similar to 70 rock samples from the study area and spectral lithologic analysis of two ASTER scenes. Spectra of the granitoids, silicic volcanic/volcaniclastic and terrestrial sedimentary rocks in the study area display a limited range of absorption features associated with muscovite, smectite and chlorite that are generally present as the alteration products of regional metamorphism. ASTER data analysis was undertaken using the reflective bands of the Level 1B registered radiance at-sensor data and the standard thermal infrared (TIR) emissivity product (AST05). For both wavelength regions, standard qualitative image processing methods were employed to define image end-members that were used as reference within Matched Filter (MF) processing procedures. The results were interpreted with reference to existing field observations, and photogeologic analysis of the ASTER visible to near-infrared (VNIR)/shortwave infrared (SWIR) data was used to resolve ambiguities in the spectral mapping results. The results have enabled the discrimination of most of the major lithologic groups within the study area as well as delineation of hydrothermal alteration zones of propylitic, and argillic grades associated with the Mesozoic Mapple Formation volcanics. The results have extended the mapped coverage of the Mapple Formation into un-investigated regions further north and validated previously inferred geological observations concerning other rocks throughout the study area. The outcomes will enable important revisions to be made to the existing geological map of the Oscar II Coast and demonstrate that ASTER data offers potential for improving geological mapping coverage across the Antarctic Peninsula.</t>
  </si>
  <si>
    <t>[Haselwimmer, C. E.; Riley, T. R.] British Antarctic Survey, Cambridge CB3 OET, England; [Haselwimmer, C. E.; Liu, J. G.] Univ London Imperial Coll Sci Technol &amp; Med, Dept Earth Sci &amp; Engn, London SW7 2AZ, England</t>
  </si>
  <si>
    <t>UK Research &amp; Innovation (UKRI); Natural Environment Research Council (NERC); NERC British Antarctic Survey; Imperial College London</t>
  </si>
  <si>
    <t>Haselwimmer, CE (corresponding author), Univ Alaska Fairbanks, Inst Geophys, 903 Koyukuk Dr,POB 757320, Fairbanks, AK 99775 USA.</t>
  </si>
  <si>
    <t>chha@gi.alaska.edu</t>
  </si>
  <si>
    <t>Liu, Jian Guo/0000-0002-3090-0152; Riley, Teal/0000-0002-3333-5021</t>
  </si>
  <si>
    <t>NERC [NER/S/A/2006/14242]; NERC [NE/I016686/1, bas010020, bas0100026] Funding Source: UKRI; Natural Environment Research Council [bas010020, NE/I016686/1, bas0100026] Funding Source: researchfish</t>
  </si>
  <si>
    <t>This research is supported by NERC studentship NER/S/A/2006/14242. The NERC Field Spectroscopy Facility is gratefully acknowledged for loan of the ASD field spectrometer (loan no: 529.0607).</t>
  </si>
  <si>
    <t>10.1080/01431161003645824</t>
  </si>
  <si>
    <t>745DJ</t>
  </si>
  <si>
    <t>WOS:000289145200013</t>
  </si>
  <si>
    <t>Berque, J; Lubin, D; Somerville, RCJ</t>
  </si>
  <si>
    <t>Berque, Joannes; Lubin, Dan; Somerville, Richard C. J.</t>
  </si>
  <si>
    <t>Transect method for Antarctic cloud property retrieval using AVHRR data</t>
  </si>
  <si>
    <t>SOUTH-POLE; RADIATIVE PROPERTIES; SURFACE-TEMPERATURE; SNOW SURFACE; CALIBRATION; ULTRAVIOLET; SCATTERING; PLATEAU; WINTER; ANGLE</t>
  </si>
  <si>
    <t>For studies of Antarctic climate change, the Advanced Very High Resolution Radiometer (AVHRR) offers a time series spanning more than two decades, with numerous overpasses per day from converging polar orbits, and with radiometrically calibrated thermal infrared channels. However, over the Antarctic Plateau, standard multispectral application of AVHRR data for cloud optical property retrieval with individual pixels is problematic due to poor scene contrasts and measurement uncertainties. We present a method that takes advantage of rapid changes in radiances at well-defined cloud boundaries. We examine a transect of AVHRR-measured radiances in the three thermal infrared channels across a boundary between cloudy and cloud-free parts of the image. Using scatter diagrams, made from the data along this transect, of the brightness temperature differences between channels 3 and 4, and channels 4 and 5, it is possible to fit families of radiative transfer solutions to the data to estimate cloud effective temperature, thermodynamic phase, and effective particle radius. The major approximation with this method is that along such a transect, cloud water path has considerable spatial variability, while effective radius, phase, and cloud temperature have much less variability. To illustrate this method, two AVHRR images centred about the South Pole are analysed. The two images are chosen based on their differing contrasts in brightness temperature between clear and cloud-filled pixels, to demonstrate that our method can work with varying cloud top heights. In one image the data are consistent with radiative transfer simulations using ice cloud. In the other, the data are inconsistent with ice cloud and are well simulated with supercooled liquid water cloud at 241.5 K. This method therefore has potential for climatological investigation of the radiatively important phase transition in the extremely cold and pristine Antarctic environment.</t>
  </si>
  <si>
    <t>[Berque, Joannes; Lubin, Dan; Somerville, Richard C. J.] Univ Calif San Diego, Scripps Inst Oceanog, La Jolla, CA 92093 USA</t>
  </si>
  <si>
    <t>Lubin, D (corresponding author), Univ Calif San Diego, Scripps Inst Oceanog, La Jolla, CA 92093 USA.</t>
  </si>
  <si>
    <t>dlubin@ucsd.edu</t>
  </si>
  <si>
    <t>Berque, Joannes/G-1283-2014</t>
  </si>
  <si>
    <t>Berque, Joannes/0000-0002-3611-0813</t>
  </si>
  <si>
    <t>National Science Foundation [ATM-9814151, OPP-0218749]; Office of Science (BER); US Department of Energy [DE-FG02-97ER62338]; NASA [NNX08AF79G]; NASA [NNX08AF79G, 101240] Funding Source: Federal RePORTER</t>
  </si>
  <si>
    <t>National Science Foundation(National Science Foundation (NSF)); Office of Science (BER)(United States Department of Energy (DOE)); US Department of Energy(United States Department of Energy (DOE)); NASA(National Aeronautics &amp; Space Administration (NASA)); NASA(National Aeronautics &amp; Space Administration (NASA))</t>
  </si>
  <si>
    <t>This study was supported by the National Science Foundation under ATM-9814151 and OPP-0218749; by the Office of Science (BER), US Department of Energy, Grant No. DE-FG02-97ER62338 and by NASA under NNX08AF79G.</t>
  </si>
  <si>
    <t>PII 937944100</t>
  </si>
  <si>
    <t>10.1080/01431161003745624</t>
  </si>
  <si>
    <t>769BW</t>
  </si>
  <si>
    <t>WOS:000290985000012</t>
  </si>
  <si>
    <t>Willmes, S; Haas, C; Nicolaus, M</t>
  </si>
  <si>
    <t>Willmes, Sascha; Haas, Christian; Nicolaus, Marcel</t>
  </si>
  <si>
    <t>High radar-backscatter regions on Antarctic sea-ice and their relation to sea-ice and snow properties and meteorological conditions</t>
  </si>
  <si>
    <t>WEDDELL SEA; INTERANNUAL VARIABILITY; PHYSICAL-PROPERTIES; SCATTEROMETER DATA; SEASONAL CYCLE; SUMMER; SIGNATURES; BELLINGSHAUSEN; REANALYSIS; 1ST-YEAR</t>
  </si>
  <si>
    <t>The temporal and spatial variability of sea-ice radar signatures in the Southern Ocean during late winter, spring and early summer from QuikSCAT data is presented. We observe a circumpolar and broad band of sea-ice close to the marginal ice zone that is characterized by very high radar backscatter. This feature is explained through detailed in situ observations of snow and sea-ice properties as well as in relation to meteorological conditions, which were derived from US National Center for Environmental Prediction (NCEP)/National Center for Atmospheric Research (NCAR) reanalysis data. Our results indicate that high backscatter regions are caused by metamorphous snow, which forms through re-freezing after short-term melt events. This process is connected with the episodic passes of low-pressure systems entraining warmer air from the north. South of the Antarctic Circumpolar Trough, sea-ice is not affected by this influence and shows spatially homogenous microwave signatures with low backscatter.</t>
  </si>
  <si>
    <t>[Willmes, Sascha] Univ Trier, Dept Environm Meteorol, Trier, Germany; [Haas, Christian; Nicolaus, Marcel] Alfred Wegener Inst Polar &amp; Marine Res, D-2850 Bremerhaven, Germany; [Haas, Christian] Dept Earth &amp; Atmospher Sci, Edmonton, AB, Canada; [Nicolaus, Marcel] Norwegian Polar Res Inst, Tromso, Norway</t>
  </si>
  <si>
    <t>Universitat Trier; Helmholtz Association; Alfred Wegener Institute, Helmholtz Centre for Polar &amp; Marine Research; Norwegian Polar Institute</t>
  </si>
  <si>
    <t>Willmes, S (corresponding author), Univ Trier, Dept Environm Meteorol, Trier, Germany.</t>
  </si>
  <si>
    <t>willmes@uni-trier.de</t>
  </si>
  <si>
    <t>Haas, Christian/L-5279-2016; Willmes, Sascha/J-5796-2012; Nicolaus, Marcel/A-3658-2013</t>
  </si>
  <si>
    <t>Haas, Christian/0000-0002-7674-3500; Nicolaus, Marcel/0000-0003-0903-1746</t>
  </si>
  <si>
    <t>German Research Foundation (DFG) [BA 2060/2-2, HA 2724/4-2]</t>
  </si>
  <si>
    <t>German Research Foundation (DFG)(German Research Foundation (DFG))</t>
  </si>
  <si>
    <t>The authors are very grateful to two anonymous reviewers for their helpful and constructive comments. Moreover, we would like to thank the members of the ISPOL and WWOS expeditions for encouraging discussions and lending a helping hand during fieldwork, especially Anja Nicolaus, Takenobu Toyota and Zhijun Li. Scatterometer data were provided by the French Research Institute for Exploitation of the Sea, sea-ice concentrations by the US National Snow and Ice Data Center and meteorological reanalysis data by NCEP/NCAR. This study was partly funded by the German Research Foundation (DFG) under contract BA 2060/2-2 and HA 2724/4-2.</t>
  </si>
  <si>
    <t>10.1080/01431161003801344</t>
  </si>
  <si>
    <t>798SL</t>
  </si>
  <si>
    <t>WOS:000293232000008</t>
  </si>
  <si>
    <t>Siingh, D; Gopalakrishnan, V; Gautam, AS; Singh, RP</t>
  </si>
  <si>
    <t>Siingh, Devendraa; Gopalakrishnan, V.; Gautam, A. S.; Singh, R. P.</t>
  </si>
  <si>
    <t>Estimation of aerosol size distribution from ion mobility spectra using the KL model</t>
  </si>
  <si>
    <t>SOLAR ULTRAVIOLET-RADIATION; ATMOSPHERIC CORRECTION; OZONE DYNAMICS; AIR IONS; PARTICLES; IMPACT; GREECE; IRRADIANCE; POLLUTION; ATHENS</t>
  </si>
  <si>
    <t>Atmospheric ion mobility spectra were measured at Maitri, Antarctica, using an indigenously fabricated ion mobility spectrometer in January-February 2005 during the 24th Indian Antarctic Expedition. The ion mobility spectrometer was fabricated and tested at the Indian Institute of Tropical Meteorology, Pune, India. As the ion mobility depends on the diameter of the particles, the aerosol size distribution was derived from the observed ion mobility spectra using the KL model. The model was tested by comparing the derived spectra with the observed spectra using the Scanning Mobility Particle Sizer and the Aerodynamic Particle Sizer. We show that the KL model can reasonably reproduce the observed size distribution except in the accumulation mode. Relevant meteorological parameters are also reported, which aid in the interpretation of the results.</t>
  </si>
  <si>
    <t>[Siingh, Devendraa; Gopalakrishnan, V.; Gautam, A. S.] Indian Inst Trop Meteorol, Pune 411008, Maharashtra, India; [Siingh, Devendraa] Univ Tartu, Inst Phys, EE-50090 Tartu, Estonia; [Singh, R. P.] Banaras Hindu Univ, Dept Phys, Varanasi 211005, Uttar Pradesh, India</t>
  </si>
  <si>
    <t>Ministry of Earth Sciences (MoES) - India; Indian Institute of Tropical Meteorology (IITM); University of Tartu; University of Tartu Institute of Physics; Banaras Hindu University (BHU)</t>
  </si>
  <si>
    <t>Siingh, D (corresponding author), Indian Inst Trop Meteorol, Pune 411008, Maharashtra, India.</t>
  </si>
  <si>
    <t>devendraasiingh@tropmet.res.in</t>
  </si>
  <si>
    <t>Siingh, Dr Devendraa/ABF-2491-2021; Singh, Ravi P/C-6022-2011; GAUTAM, ALOK SAGAR/ACU-6477-2022</t>
  </si>
  <si>
    <t>Siingh, Dr Devendraa/0000-0003-3044-596X; GAUTAM, ALOK SAGAR/0000-0002-6656-7478; V, GOPALAKRISHNAN/0000-0002-0003-1785; Siingh, Devendraa Siingh/0000-0002-1716-3688</t>
  </si>
  <si>
    <t>Institute of Physics, University of Tartu, Estonia [SR/1313BY/A-19/05]; IITM, Pune</t>
  </si>
  <si>
    <t>Institute of Physics, University of Tartu, Estonia; IITM, Pune</t>
  </si>
  <si>
    <t>Devendraa Siingh (D.S.) thanks the National Centre for Antarctic and Ocean Research (NCAOR), Goa, India, for participation in the 24th Indian Scientific Expedition to Antarctica (ISEA) and the India Meteorological Department for providing the meteorological data. Dr A. K. Kamra is thanked for full support during the expedition and fabrication of the instrument. He also thanks V. Pant (RS) for observational support. He thanks the anonymous reviewers for their critical comments, which helped to improve the scientific value of this article. Part of the work for this article was completed when D.!S. was at the Institute of Physics, University of Tartu, Estonia, during his deputation under the BOYSCAST fellowship programme (with reference SR/1313BY/A-19/05), DST, Government of India. D.S. expresses his gratitude to Prof. H. Tammet and Urmas Horrak, Institute of Physics, University of Tartu, Estonia, for the model and valuable discussions. Prof. B. N. Goswami, Director, IITM, Pune, is thanked for his encouragement and support.</t>
  </si>
  <si>
    <t>10.1080/01431161.2010.512945</t>
  </si>
  <si>
    <t>866HI</t>
  </si>
  <si>
    <t>WOS:000298370800047</t>
  </si>
  <si>
    <t>Boelman, NT; Rocha, AV; Shaver, GR</t>
  </si>
  <si>
    <t>Boelman, Natalie T.; Rocha, Adrian V.; Shaver, Gaius R.</t>
  </si>
  <si>
    <t>Understanding burn severity sensing in Arctic tundra: exploring vegetation indices, suboptimal assessment timing and the impact of increasing pixel size</t>
  </si>
  <si>
    <t>THEMATIC MAPPER DATA; FIRE SEVERITY; BOREAL FOREST; SPATIAL-PATTERNS; INTERIOR ALASKA; SIERRA-NEVADA; LANDSAT TM; RATIO DNBR; WET SEDGE; LEAF-AREA</t>
  </si>
  <si>
    <t>Little is known about how satellite imagery can be used to describe burn severity in tundra landscapes. The Anaktuvuk River Fire (ARF) in 2007 burned over 1000 km(2) of tundra on the North Slope of Alaska, creating a mosaic of small (1 m(2)) to large (&gt;100 m(2)) patches that differed in burn severity. The ARF scar provided us with an ideal landscape to determine if a single-date spectral vegetation index can be used once vegetation recovery began and to independently determine how pixel size influences burn severity assessment. We determine and explore the sensitivity of several commonly used vegetation indices to variation in burn severity across the ARF scar and the influence of pixel size on the assessment and classification of tundra burn severity. We conducted field surveys of spectral reflectance at the peak of the first growing season post-fire (extended assessment period) at 18 field sites that ranged from high to low burn severity. In comparing single-date indices, we found that the two-band enhanced vegetation index (EVI2) was highly correlated with normalized burn ratio (NBR) and better distinguished among three burn severity classes than both the NBR and the normalized difference vegetation index (NDVI). We also show clear evidence that shortwave infrared (SWIR) reflectivity does not vary as a function of burn severity. By comparing a Quickbird scene (2.4 m pixels) to simulated 30 and 250 m pixel scenes, we are able to confirm that while the moderate spatial resolution of the Landsat Thematic Mapper (TM) sensor (30 m) is sufficient for mapping tundra burn severity, the coarser resolution of the Moderate Resolution Imaging Spectroradiometer (MODIS) sensor (250 m) is not well matched to the fine scale of spatial heterogeneity in the ARF burn scar.</t>
  </si>
  <si>
    <t>[Boelman, Natalie T.] Columbia Univ, Lamont Doherty Earth Observ, Palisades, NY 10964 USA; [Rocha, Adrian V.; Shaver, Gaius R.] Marine Biol Lab, Ctr Ecosyst, Woods Hole, MA 02543 USA</t>
  </si>
  <si>
    <t>Columbia University; Marine Biological Laboratory - Woods Hole</t>
  </si>
  <si>
    <t>Boelman, NT (corresponding author), Columbia Univ, Lamont Doherty Earth Observ, Palisades, NY 10964 USA.</t>
  </si>
  <si>
    <t>nboelman@ldeo.columbia.edu</t>
  </si>
  <si>
    <t>Rocha, Adrian V./B-6504-2013; boelman, natalie t/K-9789-2015</t>
  </si>
  <si>
    <t>Boelman, Natalie/0000-0003-3716-2372</t>
  </si>
  <si>
    <t>Toolik Lake Field Station; NSF [0632139 (OPP-AON), 0808789 (OPP-ARCSS SGER), 08292285 (DEB-NEON SGER), 0423385 (DEB-LTER)]; Climate Center, Lamont-Doherty Earth Observatory, Columbia University; Division Of Environmental Biology; Direct For Biological Sciences [1026843] Funding Source: National Science Foundation; Office of Polar Programs (OPP); Directorate For Geosciences [0856853, 1107892, 0807639] Funding Source: National Science Foundation; Office of Polar Programs (OPP); Directorate For Geosciences [1107707] Funding Source: National Science Foundation</t>
  </si>
  <si>
    <t>Toolik Lake Field Station; NSF(National Science Foundation (NSF)); Climate Center, Lamont-Doherty Earth Observatory, Columbia University; Division Of Environmental Biology; Direct For Biological Sciences(National Science Foundation (NSF)NSF - Directorate for Biological Sciences (BIO)); Office of Polar Programs (OPP); Directorate For Geosciences(National Science Foundation (NSF)NSF - Directorate for Geosciences (GEO)); Office of Polar Programs (OPP); Directorate For Geosciences(National Science Foundation (NSF)NSF - Directorate for Geosciences (GEO))</t>
  </si>
  <si>
    <t>We thank Toolik Lake Field Station for providing support and logistics; Donnie Bret-Harte, Michelle Mack and Randi Jandt for facilitating access to their CBI survey sites; Benjamin Jones and coauthors, as well as Arctic, Antarctic and Alpine Research, for granting permission to include their burn severity map here; and Christopher Small for providing the spectrometer and for helpful discussions regarding interpretation of reflectance signals. We thank Christopher Noyles at BLM Alaska and Randi Jandt at Alaska Fire Service for providing the Quickbird imagery. We also thank anonymous reviewers for their helpful critiques and comments. This work was funded by NSF grants #0632139 (OPP-AON), #0808789 (OPP-ARCSS SGER), #08292285 (DEB-NEON SGER) and #0423385 (DEB-LTER) to the Marine Biological Laboratory (MBL) and by The Climate Center, Lamont-Doherty Earth Observatory, Columbia University.</t>
  </si>
  <si>
    <t>10.1080/01431161.2011.611187</t>
  </si>
  <si>
    <t>866IA</t>
  </si>
  <si>
    <t>WOS:000298372800007</t>
  </si>
  <si>
    <t>Wang, XW; Cheng, X; Gong, P; Huang, HB; Li, Z; Li, XW</t>
  </si>
  <si>
    <t>Wang, Xianwei; Cheng, Xiao; Gong, Peng; Huang, Huabing; Li, Zhan; Li, Xiaowen</t>
  </si>
  <si>
    <t>Earth science applications of ICESat/GLAS</t>
  </si>
  <si>
    <t>ARCTIC SEA-ICE; AIRBORNE LASER ALTIMETER; RADAR TOPOGRAPHY MISSION; FOREST CANOPY HEIGHT; CLOUD OPTICAL DEPTH; VERTICAL STRUCTURE; ELEVATION CHANGES; SATELLITE RADAR; ENVISAT RADAR; BASAL AREA</t>
  </si>
  <si>
    <t>The Ice, Cloud, and Land Elevation Satellite (ICESat) completed 19 successful campaigns for Earth observation missions following its launch in 2003. The Geoscience Laser Altimeter System (GLAS) on board ICESat provided data of high quality with unprecedented accuracy over the globe. The three laser sensors of GLAS acquired a large volume of data between 2003 and 2009. These data were used widely to detect changes in Greenland and Antarctic ice sheets and to determine forest heights, sea-ice freeboard heights and the distribution of cloud and aerosols. Here, we provide a review of these applications, describe the methodology involved in GLAS data processing and summarize some of the challenges to make better use of GLAS data. Other applications, including ice-sheet slope extraction, distinguishing between water, bare land, urban building and high forest, urban building height extraction, changes in glaciers and ice caps and water levels in lakes are discussed more briefly.</t>
  </si>
  <si>
    <t>[Wang, Xianwei; Gong, Peng; Huang, Huabing; Li, Zhan; Li, Xiaowen] Chinese Acad Sci, State Key Lab Remote Sensing Sci, Inst Remote Sensing Applicat, Beijing 100101, Peoples R China; [Wang, Xianwei; Gong, Peng; Huang, Huabing; Li, Zhan; Li, Xiaowen] Beijing Normal Univ, Beijing 100101, Peoples R China; [Cheng, Xiao] Beijing Normal Univ, Coll Global Change &amp; Earth Syst Sci, Beijing 100860, Peoples R China; [Gong, Peng] Tsinghua Univ, Ctr Earth Syst Sci, Beijing 100084, Peoples R China</t>
  </si>
  <si>
    <t>Chinese Academy of Sciences; Beijing Normal University; Beijing Normal University; Tsinghua University</t>
  </si>
  <si>
    <t>Gong, P (corresponding author), Chinese Acad Sci, State Key Lab Remote Sensing Sci, Inst Remote Sensing Applicat, Da Tun Rd, Beijing 100101, Peoples R China.</t>
  </si>
  <si>
    <t>gong@irsa.ac.cn</t>
  </si>
  <si>
    <t>Gong, Peng/AAM-1516-2021; Li, Zhan/HKM-4393-2023; Huang, huabing/JHT-7278-2023</t>
  </si>
  <si>
    <t>Gong, Peng/0000-0003-1513-3765; Li, Zhan/0000-0001-6307-5200; Huang, huabing/0000-0001-6253-8437</t>
  </si>
  <si>
    <t>National High Technology Research and Development Program of China (863 program) [2008AA09Z117, 2008AA121702]; NSF [NSF DEB 04-21530]; National High Technology Program of China [2009AA12200101]</t>
  </si>
  <si>
    <t>National High Technology Research and Development Program of China (863 program)(National High Technology Research and Development Program of China); NSF(National Science Foundation (NSF)); National High Technology Program of China(National High Technology Research and Development Program of China)</t>
  </si>
  <si>
    <t>We would like to give special thanks to Professor Arthur Cracknell and other reviewers for their constructive suggestion and all their efforts to improve this paper. Also we thank the National Snow and Ice Data Center for distributing ICESat data and providing the data processing software, IDL Visualizer. This research is partially supported by grants from the National High Technology Research and Development Program of China (863 program) (grant no. 2008AA09Z117 and grant no. 2008AA121702), an NSF Biocomplexity Grant (grant no. NSF DEB 04-21530) and the National High Technology Program of China (grant no. 2009AA12200101).</t>
  </si>
  <si>
    <t>10.1080/01431161.2010.547533</t>
  </si>
  <si>
    <t>866IO</t>
  </si>
  <si>
    <t>WOS:000298374200051</t>
  </si>
  <si>
    <t>Balis, DS</t>
  </si>
  <si>
    <t>Balis, Dimitris S.</t>
  </si>
  <si>
    <t>An update on the dynamically induced episodes of extreme low ozone values over the northern middle latitudes</t>
  </si>
  <si>
    <t>STRATOSPHERIC TEMPERATURE; QUANTIFICATION; HEMISPHERE</t>
  </si>
  <si>
    <t>Over the middle latitudes of the Northern Hemisphere (NH), especially during the months of October-December, a number of episodes are observed when the total ozone for more than 2-3 days falls below 220 DU. This value has been introduced as the threshold for the Antarctic ozone hole but also represents ozone deviations of about one-third from the pre-1976 October-November-December monthly mean for the middle latitudes of the NH. Earlier studies have shown that the most common pattern of these events indicates transport of subtropical air from the Atlantic to the northeast frequently reaching Scandinavia and Northern Russia, sometimes combined with upward motions above a tropospheric anticyclone lifting low ozone mixing ratios to higher altitudes. In this study we report on the frequency and spatial extend of such extreme events using the newly available Multi Sensor Reanalysis (MSR) satellite total ozone data set for the period 1978-2008. During the autumn months considered in this study these events result to an ozone mass deficiency (O(3)MD) of 5 tonnes km(-2) and their areal extend on a daily basis often exceeds 1.5 million km(2). More and larger in area events were observed during the 1990s and were possibly influenced by changes in the meridional circulation triggered by the maximum ozone depletion observed then over the middle latitudes of the NH.</t>
  </si>
  <si>
    <t>Aristotle Univ Thessaloniki, Dept Phys, Lab Atmospher Phys, Thessaloniki 54124, Greece</t>
  </si>
  <si>
    <t>Aristotle University of Thessaloniki</t>
  </si>
  <si>
    <t>Balis, DS (corresponding author), Aristotle Univ Thessaloniki, Dept Phys, Lab Atmospher Phys, Thessaloniki 54124, Greece.</t>
  </si>
  <si>
    <t>balis@auth.gr</t>
  </si>
  <si>
    <t>Balis, Dimitris/0000-0003-1161-7746</t>
  </si>
  <si>
    <t>10.1080/01431161.2010.550649</t>
  </si>
  <si>
    <t>866JF</t>
  </si>
  <si>
    <t>WOS:000298376000017</t>
  </si>
  <si>
    <t>Jena, B; Sahu, S; Rao, MV; Sahu, BK</t>
  </si>
  <si>
    <t>Jena, Babula; Sahu, Sanghamitra; Rao, Madala Venkateswara; Sahu, Bijoy Kumar</t>
  </si>
  <si>
    <t>A comparative assessment of IRS-P4 (MSMR)-derived sea surface temperature and sea surface wind speed over the north Indian Ocean</t>
  </si>
  <si>
    <t>SCANNING MICROWAVE RADIOMETER; SATELLITE; VALIDATION; ALGORITHMS; IMAGER; MSMR</t>
  </si>
  <si>
    <t>Indian Remote Sensing Satellite (IRS-P4) multi-frequency scanning microwave radiometer (MSMR) provides geophysical parameters like sea surface temperature (SST), sea surface wind speed (SSWS), integrated water vapour (IWV) and cloud liquid water (CLW). The retrieval procedure of these parameters given by Gohil et al. (2000, Geophysical parameter retrieval over global oceans from IRS-P4 (MSMR). In Preprints, Fifth Pacific Ocean Remote Sensing Conference, 5-8 December 2000, Goa, India (Goa: National Institute of Oceanography), pp. 207-211) was summarized by Sharma et al. (2002, Identification of large scale atmospheric and oceanic features from IRS-P4 multifrequency scanning microwave radiometer: preliminary results. Journal of Atmospheric and Oceanic Technology, 19, pp. 1127-1134) and Jena (2007, Studies on the retrieval, validation and applications of geophysical parameters from IRS-P4 (MSMR) data. PhD thesis, Berhampur University, Orissa). Demonstration of self-consistency of these parameters has primary scientific importance. This article deals with the validation of MSMR geophysical parameters such as SST and SSWS with in situ observations (buoy data) over the north Indian Ocean during 2000. Result shows that the MSMR-derived SST and SSWS can be utilized for several applications because of their reasonable accuracy and coverage even under cloudy condition.</t>
  </si>
  <si>
    <t>[Jena, Babula] Natl Ctr Antarctic &amp; Ocean Res, EEZ Grp, Headland Sada 403804, Goa, India; [Sahu, Sanghamitra; Sahu, Bijoy Kumar] Berhampur Univ, Dept Marine Sci, Berhampur 760007, Orissa, India; [Rao, Madala Venkateswara] Natl Remote Sensing Agcy, Dept Space, Div Oceanog, Hyderabad 500037, Andhra Pradesh, India</t>
  </si>
  <si>
    <t>Ministry of Earth Sciences (MoES) - India; National Centre for Polar and Ocean Research (NCPOR); Berhampur University; Department of Space (DoS), Government of India; Indian Space Research Organisation (ISRO); National Remote Sensing Centre (NRSC)</t>
  </si>
  <si>
    <t>Jena, B (corresponding author), Natl Ctr Antarctic &amp; Ocean Res, EEZ Grp, Headland Sada 403804, Goa, India.</t>
  </si>
  <si>
    <t>bjena@ncaor.org</t>
  </si>
  <si>
    <t>National Centre for Antarctic and Ocean Research (NCAOR); NRSC</t>
  </si>
  <si>
    <t>Support provided by the directors of the National Centre for Antarctic and Ocean Research (NCAOR) and the NRSC are gratefully acknowledged. We also acknowledge two anonymous reviewers and the editorial staff.</t>
  </si>
  <si>
    <t>10.1080/01431161.2011.562932</t>
  </si>
  <si>
    <t>WOS:000298376000055</t>
  </si>
  <si>
    <t>Xu, MS; Xin, YH; Tian, JS; Dong, K; Yu, Y; Zhang, JL; Liu, HC; Zhou, YG</t>
  </si>
  <si>
    <t>Xu, Mingshuang; Xin, Yuhua; Tian, Jiesheng; Dong, Kun; Yu, Yong; Zhang, Jianli; Liu, Hongcan; Zhou, Yuguang</t>
  </si>
  <si>
    <t>Flavobacterium sinopsychrotolerans sp. nov., isolated from a glacier</t>
  </si>
  <si>
    <t>INTERNATIONAL JOURNAL OF SYSTEMATIC AND EVOLUTIONARY MICROBIOLOGY</t>
  </si>
  <si>
    <t>EMENDED DESCRIPTION; ANTARCTIC LAKES; MICROBIAL MATS; SEQUENCES; SEDIMENT; FAMILY; TREES; RATES; SOIL</t>
  </si>
  <si>
    <t>An aerobic, Gram-negative, yellow-pigmented bacterial strain, designated 0533(T), was isolated from frozen soil from the China No. 1 glacier. Phylogenetic analysis of the 16S rRNA gene sequence demonstrated that strain 0533(T) was a member of the genus Flavobacterium and exhibited 97.1-98.7% 16S rRNA sequence similarity with its nearest phylogenetic neighbours. Strain 0533(T) exhibited phenotypic and chemotaxonomic characteristics common to the genus Flavobacterium: menaquinone-6 (MK-6) was the predominant quinone and iso-C-15:0, C-17:1 omega 6(C), anteiso-C-15:0, iso-C-15:0 3-OH, C-15:1 omega 6(C), iso-C-16:0 3-OH, summed feature 3 (comprising C-16:1 omega 7C and/or C-16:1 omega 6(C)), iso-C-15:1 G and iso-C-17:0 3-OH were the major fatty acids (&gt;5%). The DNA G+C content was 32.5 mol%. On the basis of phenotypic and genotypic data, a novel species, Flavobacterium sinopsychrotolerans sp. nov., is proposed. The type strain is 0533(T) (=CGMCC 1.8704(T) =JCM 16398(T)).</t>
  </si>
  <si>
    <t>[Xin, Yuhua; Liu, Hongcan; Zhou, Yuguang] Chinese Acad Sci, Inst Microbiol, China Gen Microbiol Culture Collect Ctr, Beijing 100101, Peoples R China; [Xu, Mingshuang; Tian, Jiesheng; Dong, Kun] China Agr Univ, State Key Lab Agrobiotechnol, Coll Biol Sci, Beijing 100193, Peoples R China; [Yu, Yong] Polar Res Inst China, SOA Key Lab Polar Sci, Shanghai 200136, Peoples R China; [Zhang, Jianli] Beijing Inst Technol, Sch Life Sci &amp; Technol, Beijing 100081, Peoples R China</t>
  </si>
  <si>
    <t>Chinese Academy of Sciences; Institute of Microbiology, CAS; China Agricultural University; Polar Research Institute of China; Beijing Institute of Technology</t>
  </si>
  <si>
    <t>Zhou, YG (corresponding author), Chinese Acad Sci, Inst Microbiol, China Gen Microbiol Culture Collect Ctr, Beijing 100101, Peoples R China.</t>
  </si>
  <si>
    <t>zhouyg@sun.im.ac.cn</t>
  </si>
  <si>
    <t>Tian, Jie-Sheng/N-5953-2018</t>
  </si>
  <si>
    <t>Chinese Academy of Sciences [KSCXZ-YW-Z-0937]</t>
  </si>
  <si>
    <t>Chinese Academy of Sciences(Chinese Academy of Sciences)</t>
  </si>
  <si>
    <t>This work was supported by the Knowledge Innovation Project of Chinese Academy of Sciences (grant no. KSCXZ-YW-Z-0937).</t>
  </si>
  <si>
    <t>MICROBIOLOGY SOC</t>
  </si>
  <si>
    <t>CHARLES DARWIN HOUSE, 12 ROGER ST, LONDON WC1N 2JU, ERKS, ENGLAND</t>
  </si>
  <si>
    <t>1466-5026</t>
  </si>
  <si>
    <t>1466-5034</t>
  </si>
  <si>
    <t>INT J SYST EVOL MICR</t>
  </si>
  <si>
    <t>Int. J. Syst. Evol. Microbiol.</t>
  </si>
  <si>
    <t>10.1099/ijs.0.014126-0</t>
  </si>
  <si>
    <t>716ZE</t>
  </si>
  <si>
    <t>WOS:000287011200004</t>
  </si>
  <si>
    <t>Giebel, HA; Kalhoefer, D; Lemke, A; Thole, S; Gahl-Janssen, R; Simon, M; Brinkhoff, T</t>
  </si>
  <si>
    <t>Giebel, Helge-Ansgar; Kalhoefer, Daniela; Lemke, Andreas; Thole, Sebastian; Gahl-Janssen, Renate; Simon, Meinhard; Brinkhoff, Thorsten</t>
  </si>
  <si>
    <t>Distribution of Roseobacter RCA and SAR11 lineages in the North Sea and characteristics of an abundant RCA isolate</t>
  </si>
  <si>
    <t>marine bacteria; Roseobacter; RCA; SAR11; North Sea; quantitative PCR</t>
  </si>
  <si>
    <t>BACTERIAL COMMUNITIES; PHYTOPLANKTON BLOOM; PELAGIC BACTERIA; MARINE-BACTERIA; CLONE LIBRARIES; GERMAN BIGHT; DIVERSITY; BACTERIOPLANKTON; CLADE; CULTIVATION</t>
  </si>
  <si>
    <t>The Roseobacter group and SAR11 clade constitute high proportions of the marine bacterioplankton, but only scarce information exists on the abundance of distinct populations of either lineage. Therefore, we quantified the abundance of the largest cluster of the Roseobacter group, the RCA (Roseobacter clade affiliated) cluster together with the SAR11 clade by quantitative PCR in the southern and eastern North Sea. The RCA cluster constituted up to 15 and 21% of total bacterial 16S ribosomal RNA (rRNA) genes in September 2005 and May 2006, respectively. At a few stations, the RCA cluster exceeded the SAR11 clade, whereas at most stations, SAR11 constituted higher fractions with maxima of 37%. In most samples, only one RCA ribotype was detected. RCA abundance was positively correlated with phaeopigments, chlorophyll, dissolved and particulate organic carbon (POC), turnover rates of dissolved free amino acids (DFAAs), temperature, and negatively correlated with salinity. The SAR11 clade was only correlated with POC (negatively, May) and with DFAA turnover rates (positively, September). An abundant RCA strain, 'Candidatus Planktomarina temperata', was isolated from the southern North Sea. This strain has an identical 16S rRNA gene sequence to the dominant RCA ribotype. Detection of the pufM gene, coding for a subunit of the reaction center of bacteriochlorophyll a, indicates the potential of the isolate for aerobic anoxygenic photosynthesis. Our study shows that a distinct population of the RCA cluster constitutes an abundant bacterioplankton group in a neritic sea of the temperate zone and indicates that this population has an important role during decaying phytoplankton blooms. The ISME Journal (2011) 5, 8-19; doi:10.1038/ismej.2010.87; published online 1 July 2010</t>
  </si>
  <si>
    <t>[Giebel, Helge-Ansgar; Kalhoefer, Daniela; Lemke, Andreas; Thole, Sebastian; Gahl-Janssen, Renate; Simon, Meinhard; Brinkhoff, Thorsten] Carl von Ossietzky Univ Oldenburg, Inst Chem &amp; Biol Marine Environm ICBM, D-26111 Oldenburg, Germany</t>
  </si>
  <si>
    <t>Carl von Ossietzky Universitat Oldenburg</t>
  </si>
  <si>
    <t>Simon, M (corresponding author), Carl von Ossietzky Univ Oldenburg, Inst Chem &amp; Biol Marine Environm ICBM, D-26111 Oldenburg, Germany.</t>
  </si>
  <si>
    <t>m.simon@icbm.de</t>
  </si>
  <si>
    <t>Giebel, Helge-Ansgar/0000-0002-9452-0810</t>
  </si>
  <si>
    <t>Deutsche Forschungsgemeinschaft (DFG) within the research unit BioGeoChemistry of Tidal Flats [FG-432, TP 5]</t>
  </si>
  <si>
    <t>Deutsche Forschungsgemeinschaft (DFG) within the research unit BioGeoChemistry of Tidal Flats(German Research Foundation (DFG))</t>
  </si>
  <si>
    <t>This work was supported by grants from Deutsche Forschungsgemeinschaft (DFG) within the Special Priority Program on Antarctic Research and within the research unit BioGeoChemistry of Tidal Flats (FG-432, TP 5).</t>
  </si>
  <si>
    <t>10.1038/ismej.2010.87</t>
  </si>
  <si>
    <t>701TB</t>
  </si>
  <si>
    <t>WOS:000285845200002</t>
  </si>
  <si>
    <t>Hebert, D</t>
  </si>
  <si>
    <t>Hebert, Detlef</t>
  </si>
  <si>
    <t>Tritium in precipitation of Vostok (Antarctica): conclusions on the tritium latitude effect (Reprinted from Zfl-Mitteilungen, vol 143, pg 15, 1988)</t>
  </si>
  <si>
    <t>ISOTOPES IN ENVIRONMENTAL AND HEALTH STUDIES</t>
  </si>
  <si>
    <t>Reprint</t>
  </si>
  <si>
    <t>Antarctica; atmospheric precipitation; global aspects; tritium</t>
  </si>
  <si>
    <t>STRATOSPHERIC WATER-VAPOR; FALLOUT; MODEL</t>
  </si>
  <si>
    <t>During the Antarctic summer of 1985 near the Soviet Antarctic station Vostok, firn samples for tritium measurements were obtained down to a depth of 2.40 m. The results of the tritium measurements are presented and discussed. Based on this and other data, conclusions regarding the tritium latitude effect are derived.</t>
  </si>
  <si>
    <t>Min Acad Freiberg, Dept Phys, Freiberg, Germany</t>
  </si>
  <si>
    <t>Hebert, D (corresponding author), Min Acad Freiberg, Dept Phys, Freiberg, Germany.</t>
  </si>
  <si>
    <t>detlef.hebert@web.de</t>
  </si>
  <si>
    <t>1025-6016</t>
  </si>
  <si>
    <t>ISOT ENVIRON HEALT S</t>
  </si>
  <si>
    <t>Isot. Environ. Health Stud.</t>
  </si>
  <si>
    <t>10.1080/10256016.2011.601306</t>
  </si>
  <si>
    <t>Chemistry, Inorganic &amp; Nuclear; Environmental Sciences</t>
  </si>
  <si>
    <t>884QR</t>
  </si>
  <si>
    <t>WOS:000299723800003</t>
  </si>
  <si>
    <t>Hebert, D; Fröhlich, K</t>
  </si>
  <si>
    <t>Hebert, Detlef; Froehlich, Klaus</t>
  </si>
  <si>
    <t>Environmental studies in Antarctica on the basis of tritium and radiocarbon measurements (Reprinted from Zfl-Mitteilungen, vol 51, pg 87, 1982)</t>
  </si>
  <si>
    <t>age estimation; Antarctica; carbon-13; carbon-14; carbon dioxide; deuterium; isotope dating; oxygen-18; plant; tritium</t>
  </si>
  <si>
    <t>In 1975 and 1977, samples from snow, firn, atmospheric CO2, plants, and penguin guano were collected near the Soviet Antarctic research station Molodezhnaya. The results of tritium, deuterium, oxygen-18, C-13, and C-14 measurements are discussed. From the tritium, deuterium, and O-18 measurement results of a firn profile at the Hays glacier, a value of the accumulation rate of 30 g water per cm(2) and year could be evaluated. By means of C-14 dating, the age of penguin breeding places was determined to be 1500 +/- 500 years. C-14 data from atmospheric CO2 and plants are discussed in terms of the age of the plants.</t>
  </si>
  <si>
    <t>[Hebert, Detlef; Froehlich, Klaus] Bergakad Freiberg, Sekt Phys, Freiberg, Germany</t>
  </si>
  <si>
    <t>Technical University Freiberg</t>
  </si>
  <si>
    <t>Hebert, D (corresponding author), Bergakad Freiberg, Sekt Phys, Freiberg, Germany.</t>
  </si>
  <si>
    <t>1477-2639</t>
  </si>
  <si>
    <t>10.1080/10256016.2011.601307</t>
  </si>
  <si>
    <t>WOS:000299723800004</t>
  </si>
  <si>
    <t>Strauch, G; Haendel, D; Maass, I; Mühle, K; Runge, A</t>
  </si>
  <si>
    <t>Strauch, Gerhard; Haendel, Dietmar; Maass, Ingeborg; Muehle, Karl; Runge, Annamarie</t>
  </si>
  <si>
    <t>Isotope variations of hydrogen, carbon and nitrogen in florae from the Schirmacher Oasis, East Antarctica (Reprinted from Zfl-Mitteilungen, vol 51, pg 101, 1982)</t>
  </si>
  <si>
    <t>algae; Antarctica; biology; carbon-13; deuterium; isotope ratio; lichens; nitrogen-15; plants; stable isotopes</t>
  </si>
  <si>
    <t>RATIOS</t>
  </si>
  <si>
    <t>Comparative biochemical and isotope-chemical investigations of cosmopolitical plants open up ways of obtaining parameters from different parts of the Earth which are characterised by variations in the habitat due to different environments. As an Antarctic oasis, the Schirmacher Oasis disposes of adequate favourable ecological conditions for the growth of lower plants. In the present paper, results of isotope studies of lichens, mosses and algae of the Schirmacher Oasis are given and peculiarities of the habitats which influence the isotope contents of the plants are discussed.</t>
  </si>
  <si>
    <t>[Strauch, Gerhard; Haendel, Dietmar; Maass, Ingeborg; Muehle, Karl; Runge, Annamarie] Zentralinst Isotopen &amp; Strahlenforsch ADW DDR, Leipzig, Germany</t>
  </si>
  <si>
    <t>Strauch, G (corresponding author), Zentralinst Isotopen &amp; Strahlenforsch ADW DDR, Leipzig, Germany.</t>
  </si>
  <si>
    <t>gerhard.strauch@ufz.de</t>
  </si>
  <si>
    <t>10.1080/10256016.2011.600455</t>
  </si>
  <si>
    <t>WOS:000299723800005</t>
  </si>
  <si>
    <t>Haendel, D; Hermichen, WD; Höfling, R; Kowski, P</t>
  </si>
  <si>
    <t>Haendel, Dietmar; Hermichen, Wolf-Dieter; Hoefling, Reiner; Kowski, Peter</t>
  </si>
  <si>
    <t>Hydrology of the lakes in Central Wohlthat Massif, East Antarctica: new results (Reprinted from Zfl-Mitteilungen, vol 143, pg 7, 1988)</t>
  </si>
  <si>
    <t>Antarctic regions; glaciers; hydrogen-2; isotope hydrology; lakes; oxygen-18; Pleistocene ice; water cycle</t>
  </si>
  <si>
    <t>In 1983/1984, in the course of the 28th Soviet Antarctic Expedition, waterbody, ice cover, and surrounding glaciers of the lakes Untersee and Obersee were sampled along some depth profiles. The geochemical data of those samples, now available, show the homogeneity of both large lakes in vertical (down to the maximum depth) as well as in lateral directions. The comparison of isotope and chemical composition of lake water and adjoining glacier ice suggests strong differences in the long-term evolution between the lakes Untersee and Obersee. First data from a lakelet, embedded in the large morainic area to the west of Lake Untersee, are of special interest: the delta H-2 values of the lakelet water are lower than those of recent regional glacier ice by 50 parts per thousand SMOW. This fact indicates that the lakelet is fed episodically by Pleistocene dead ice, covered by the morainic material.</t>
  </si>
  <si>
    <t>[Haendel, Dietmar; Hermichen, Wolf-Dieter; Hoefling, Reiner; Kowski, Peter] Akad Wissensch DDR, Zent Inst Isotopen &amp; Strahlenforsch, Leipzig, Germany</t>
  </si>
  <si>
    <t>Hermichen, WD (corresponding author), Akad Wissensch DDR, Zent Inst Isotopen &amp; Strahlenforsch, Leipzig, Germany.</t>
  </si>
  <si>
    <t>wolf-dieter.hermichen@awi.de</t>
  </si>
  <si>
    <t>10.1080/10256016.2011.630464</t>
  </si>
  <si>
    <t>884QT</t>
  </si>
  <si>
    <t>WOS:000299724000002</t>
  </si>
  <si>
    <t>Wand, U; Hermichen, WD; Brüggemann, E; Zierath, R; Klokov, VD</t>
  </si>
  <si>
    <t>Wand, Ulrich; Hermichen, Wolf-Dieter; Brueggemann, Erika; Zierath, Reinhard; Klokov, Valerii Dmitrievich</t>
  </si>
  <si>
    <t>Stable isotope and hydrogeochemical studies of Beaver Lake and Radok Lake, MacRobertson Land, East Antarctica (Reprinted from Zfl-Mitteilungen, vol 143, pg 99, 1988)</t>
  </si>
  <si>
    <t>Antarctica; chemical composition; epishelf lakes; hydrogen-2; isotope hydrology; oxygen-18; water cycle</t>
  </si>
  <si>
    <t>Beaver Lake and Radok Lake, the largest known epishelf lake and the deepest freshwater lake on the Antarctic continent, respectively, were isotopically (delta H-2, delta O-18) and hydrogeochemically studied. Radok Lake is an isothermal and non-stratified, i.e. homogeneous water body, while Beaver Lake is stratified with respect to temperature, salinity, and isotopic composition. The results for the latter attest to freshwater (derived from snow and glacier melt) overlying seawater.</t>
  </si>
  <si>
    <t>[Wand, Ulrich; Hermichen, Wolf-Dieter] Akad Wissensch DDR, Zent Inst Isotopen &amp; Strahlenforsch, Leipzig, Germany; [Zierath, Reinhard] Akad Wissensch DDR, Inst Geog &amp; Geookol, Leipzig, Germany; [Klokov, Valerii Dmitrievich] Arctic &amp; Antarctic Res Inst, St Petersburg 199226, Russia; [Brueggemann, Erika] Akad Wissensch DDR, Forsch Stelle Chem Toxikol, Leipzig, Germany</t>
  </si>
  <si>
    <t>Wand, U (corresponding author), Akad Wissensch DDR, Zent Inst Isotopen &amp; Strahlenforsch, Leipzig, Germany.</t>
  </si>
  <si>
    <t>famwand@gmx.de</t>
  </si>
  <si>
    <t>Arctic and Antarctic Research Institute, Leningrad</t>
  </si>
  <si>
    <t>We wish to thank the Arctic and Antarctic Research Institute, Leningrad, for the generous support of this investigation. We are also indebted to Dr D. Rohmer and his co-workers for the mass-spectrometric measurements. Our thanks are also due to A.V. Ufimcev for sampling and hydrological work.</t>
  </si>
  <si>
    <t>10.1080/10256016.2011.630465</t>
  </si>
  <si>
    <t>WOS:000299724000003</t>
  </si>
  <si>
    <t>Jirkov, IA</t>
  </si>
  <si>
    <t>Jirkov, I. A.</t>
  </si>
  <si>
    <t>Discussion of taxonomic characters and classification of Ampharetidae (Polychaeta)</t>
  </si>
  <si>
    <t>ITALIAN JOURNAL OF ZOOLOGY</t>
  </si>
  <si>
    <t>Ampharetidae; taxonomic characters; identification key</t>
  </si>
  <si>
    <t>SP-N POLYCHAETA; NORTH-WESTERN PACIFIC; GEN; REDESCRIPTION; ANNELIDA; SEA</t>
  </si>
  <si>
    <t>The morphology of about half of the valid ampharetid species (25% including types) was examined. The usefulness of morphological characters, including traditional ones and newly proposed ones, for generic diagnoses are discussed in detail. If possible, intraspecific and interspecific variation in external morphological characters, both traditional and newly proposed were examined. Some of the characters that have traditionally been used for generic identification are considered useful at a specific level. This results in a fundamental change of generic diagnoses and a considerable reduction of the number of genera from 90 described to 24 (some genera have uncertain taxonomical status). New diagnoses for all valid genera, a list of genera, a synopsis of proposed generic synonymies and an identification key for genera are provided.</t>
  </si>
  <si>
    <t>Moscow MV Lomonosov State Univ, Fac Biol, Dept Hydrobiol, Moscow, Russia</t>
  </si>
  <si>
    <t>Lomonosov Moscow State University</t>
  </si>
  <si>
    <t>Jirkov, IA (corresponding author), Moscow MV Lomonosov State Univ, Fac Biol, Dept Hydrobiol, Moscow, Russia.</t>
  </si>
  <si>
    <t>ampharete@yandex.ru</t>
  </si>
  <si>
    <t>Jirkov, Igor/JSL-4347-2023; Jirkov, Igor/B-1302-2018</t>
  </si>
  <si>
    <t>Jirkov, Igor/0000-0003-1110-4027</t>
  </si>
  <si>
    <t>DAAD; Linnaean Society; Thomson Unicomarine Ltd; CeDAMar</t>
  </si>
  <si>
    <t>DAAD(Deutscher Akademischer Austausch Dienst (DAAD)); Linnaean Society; Thomson Unicomarine Ltd; CeDAMar</t>
  </si>
  <si>
    <t>The visit to the Zoologisches Institut und Zoologisches Museum, Universitat Hamburg was possible due to financial support of the DAAD, visiting Natural History Museum, London due to financial supports of the Linnaean Society and the Thomson Unicomarine Ltd, visiting DZMB Wilhelmshaven for the investigation of Antarctic Polychaeta was supported by the grant from the CeDAMar. Special thanks to Emma Delduca (MES Ltd, UK), who corrected my English. Finally I wish to thank an anonymous referee and the editor who spent a lot of time trying to make my paper better.</t>
  </si>
  <si>
    <t>1125-0003</t>
  </si>
  <si>
    <t>1748-5851</t>
  </si>
  <si>
    <t>ITAL J ZOOL</t>
  </si>
  <si>
    <t>Ital. J. Zoolog.</t>
  </si>
  <si>
    <t>10.1080/11250003.2011.617216</t>
  </si>
  <si>
    <t>869FC</t>
  </si>
  <si>
    <t>WOS:000298581400008</t>
  </si>
  <si>
    <t>Parapar, J; Gambi, MC; Rouse, GW</t>
  </si>
  <si>
    <t>Parapar, J.; Gambi, M. C.; Rouse, G. W.</t>
  </si>
  <si>
    <t>A revision of the deep-sea genus Axiokebuita Pocklington and Fournier, 1987 (Annelida: Scalibregmatidae)</t>
  </si>
  <si>
    <t>Polychaeta; Scalibregmatidae Axiokebuita; A. minuta; A. millsi; revision; molecular taxonomy; Antarctica; hydrothermal vents; deep sea</t>
  </si>
  <si>
    <t>DISTRIBUTION PATTERNS; BIODIVERSITY; POLYCHAETA; COMMUNITY; BOTTOM</t>
  </si>
  <si>
    <t>The deep-sea genus Axiokebuita (Annelida, Scalibregmatidae) has hitherto been considered to contain two species, Axiokebuita minuta (Hartman, 1967) and Axiokebuita millsi Pocklington and Fournier, 1987, each rarely recorded in the literature and both supposedly having bipolar distributions. From the study of some types, other museum collection material, plus newly collected specimens from the slope depths of the Bellingshausen Sea and off the Antarctic Peninsula (Antarctica), Iceland and Iberian Peninsula, as well as from hydrothermal vents of the southeastern Pacific Ocean, the taxonomic history of the genus is revisited. Based on the results of this study, the features traditionally used to distinguish between the two species are actually the same in both. Therefore, A. millsi is proposed to be synonymised with A. minuta, which is redescribed and considered the only valid species of the genus, leaving Axiokebuita monotypic. Two previously unnoticed body sensory structures, i.e. a ciliated neck organ and a prostomial depression, were observed under scanning electron microscopy.</t>
  </si>
  <si>
    <t>[Parapar, J.] Univ A Coruna, Fac Ciencias, Dept Biol Anim Biol Vexetal &amp; Ecol, La Coruna 15008, Spain; [Gambi, M. C.] Lab Ecol Funz &amp; Evolut, Stn Zool Anton Dohrn, Naples, Italy; [Rouse, G. W.] Scripps Inst Oceanog, La Jolla, CA 92093 USA</t>
  </si>
  <si>
    <t>Universidade da Coruna; Stazione Zoologica Anton Dohrn di Napoli; University of California System; University of California San Diego; Scripps Institution of Oceanography</t>
  </si>
  <si>
    <t>Parapar, J (corresponding author), Univ A Coruna, Fac Ciencias, Dept Biol Anim Biol Vexetal &amp; Ecol, Rua Fraga 10, La Coruna 15008, Spain.</t>
  </si>
  <si>
    <t>jparapar@udc.es</t>
  </si>
  <si>
    <t>Rouse, Gregory/AAW-1494-2021; Gambi, Maria Cristina/AFO-0958-2022; Rouse, Greg W/F-2611-2010; Gambi, Maria Cristina/L-8246-2014; Parapar, Julio/J-4150-2014</t>
  </si>
  <si>
    <t>Rouse, Gregory/0000-0001-9036-9263; Rouse, Greg W/0000-0001-9036-9263; Gambi, Maria Cristina/0000-0002-0168-776X; Parapar, Julio/0000-0001-7585-6995</t>
  </si>
  <si>
    <t>US National Science Foundation [OCE- 0241613, OCE-0350554]; Spanish Antarctic Programme [GLC2004-01856/ANT]</t>
  </si>
  <si>
    <t>US National Science Foundation(National Science Foundation (NSF)); Spanish Antarctic Programme</t>
  </si>
  <si>
    <t>The authors wish to thank all colleagues involved in the BENTART-06 cruise, especially the chief scientist Ana Ramos Martos (Oceanographic Institute, Vigo), and Carles San Vicente (Generalitat de Catalunya) and Patrick Arnaud (Station Marine d'Endoume, France) and Jean-Claude Sorbe who allowed collection of the Axiokebuita specimens from the suprabenthic sledge samples. Thanks to R. Vrijenhoek, Chief Scientist of the PAR5 Cruise, for inviting GWR on the cruise and to the crews of RV Atlantis, and DSV Alvin, for collecting the specimens. The PAR5 cruise was funded by grants from the US National Science Foundation to R. C. Vrijenhoek (OCE- 0241613) and to C. L. Van Dover (OCE-0350554). We are also grateful to Juan Moreira (UAM-Madrid), Gudmundur V. Helgason (University of Iceland) and Gudmundur Gudmundsson (Icelandic Institute of Natural History) for providing DIVA-Artabria and BIOICE specimens, respectively. David Romero (UDC) prepared the line drawings, and Ada Castro and Belen Lopez (SAIN, UDC) assisted with the use of the SEM. Thanks also to Jose Carvajal who did the DNA extractions and sequencing of the Axiokebuita samples. Our most sincere thanks to Karin Sindemark (Naturhistoriska Riksmuseet, Stockholm), Karin Meissner (Senckenberg Forschungsinstitute und Naturmuseen-SFN, Hamburg), Saskia Brix (DZMB), and Myriam Schuller (Ruhr-Universitat Bochum, Germany) for loaning Norwegian and ANDEEP specimens. Thanks are also given to Linda Ward (USNM, Washington) for making available to us the type material of both species and to Fredrik Pleijel (MET-Goteborgs Universitet, Sweden) for providing information on Norwegian specimens. The BENTART-06 cruise was funded by the Spanish Antarctic Programme GLC2004-01856/ANT.</t>
  </si>
  <si>
    <t>10.1080/11250003.2011.598350</t>
  </si>
  <si>
    <t>Green Accepted, Bronze</t>
  </si>
  <si>
    <t>WOS:000298581400013</t>
  </si>
  <si>
    <t>Grantham, GH; Manhica, ADST; Armstrong, RA; Kruger, FJ; Loubser, M</t>
  </si>
  <si>
    <t>Grantham, G. H.; Manhica, A. D. S. T.; Armstrong, R. A.; Kruger, F. J.; Loubser, M.</t>
  </si>
  <si>
    <t>New SHRIMP, Rb/Sr and Sm/Nd isotope and whole rock chemical data from central Mozambique and western Dronning Maud Land, Antarctica: Implications for the nature of the eastern margin of the Kalahari Craton and the amalgamation of Gondwana</t>
  </si>
  <si>
    <t>JOURNAL OF AFRICAN EARTH SCIENCES</t>
  </si>
  <si>
    <t>Mozambique; Dronning Maud Land; Antarctica; Geochemistry; Isotopes; Gondwana</t>
  </si>
  <si>
    <t>GRENVILLE-AGE METAMORPHISM; A-TYPE GRANITOIDS; TRACE-ELEMENT; TECTONOTHERMAL EVOLUTION; ZIRCON SATURATION; SOUTHERN AFRICA; GEOCHRONOLOGY; ND; BELT; PB</t>
  </si>
  <si>
    <t>Whole rock major and trace element data from granitoids adjacent to the Kalahari Craton-Mozambique-Maud Belt boundary are described The data from similar to 1140 Ma old granodiontic and similar to 1110 Ma old granitic bodies in the Mozambique Belt show that they are typical of calc-alkaline and A-type granitoids respectively Radiogenic Rb/Sr and Sm/Nd isotope data from the two granitoid bodies suggest significant older crustal contributions during their genesis The granodiontic gneisses show T-DM model ages of similar to 2100-3500 Ma whereas megacrystic granitic gneisses have T-DM model ages of similar to 1600-3100 Ma Granite from the Archaean-age Kalahari Craton has T-DM model ages of similar to 3000-3500 Ma The data from Mozambique are compared with whole rock major and trace element chemistry and U/Pb zircon SHRIMP data from the Maud Belt in western Dronning Maud Land These show that similar to 1140 Ma old granodiontic gneisses in Sverdrupfjella and Kirwanveggan have similar ages and chemical compositions to similar rocks in central Mozambique Radiogenic isotope characteristics of the gneisses from central Mozambique and Sverdrupfjella are similar and suggest older crustal contributions in contrast to the Juvenile nature of the gneisses from Kirwanveggan Similarly similar to 1090 Ma old granitic gneisses from central Mozambique Sverdrupfjella and Kirwanveggan have similar ages and A-type chemical compositions In contrast the radiogenic isotope compositions from Kirwanveggan are juvenile whereas those from central Mozambique show a significant older crustal contribution The whole rock radiogenic isotope data can be interpreted to suggest that the Mesoproterozoic Mozambique Belt rocks were generated by partial melting which probably involved mixing of Archaean/Paleoproterozoic crust and younger Mesoproterozoic juvenile magma at similar to 1100 Ma and suggest that the Kalahari Craton probably extends eastwards at depths for more than 30 km from its exposure at surface The data support correlations between the Mozambique Belt and the Maud Belt in Antarctica in general and more specifically show similarities between the Kalahari Craton boundary and the Mozambique-Maud Belt in lithologies immediately adjacent to that boundary Two episodes of anatectic migmatisation are recognized in rocks from the Mozambique Belt in central Mozambique These show an earlier migmatitic vein phase oriented parallel to the planar foliation in the granitic and tonalitic gneisses and a later discordant vein phase which is oriented parallel to localized but intense N-S oriented shearing along the Kalahari Craton/Mozambique Belt boundary zone SHRIMP zircon data from the younger migmatitic vein phase suggests a crystallization age of 997 +/- 4 Ma Small numbers of inherited zircons have ages of similar to 2700 Ma and similar to 1100-1200 Ma Younger discordant analyses suggesting metamorphic disturbance between similar to 400 Ma and 550 Ma are seen The data Imply the high strain along the eastern margin of the Kalahari Craton in the Manica area occurred at similar to 1000 Ma and not at similar to 450 Ma as was previously thought The data suggest the Pan African deformation and metamorphism in the area involved minor reworking The undeformed to weakly deformed Tchinadzandze Granodiorite intruded into the Kalahari Craton has an age of 2617 +/- 16 Ma (C) 2010 Elsevier Ltd All rights reserved</t>
  </si>
  <si>
    <t>[Grantham, G. H.] Council Geosci, Cent Reg Unit, ZA-0001 Pretoria, South Africa; [Manhica, A. D. S. T.] Univ Pretoria, Dept Geol, ZA-0002 Pretoria, South Africa; [Armstrong, R. A.] Australian Natl Univ, RSES, Canberra, ACT, Australia; [Kruger, F. J.] Univ Witwatersrand, Johannesburg, South Africa; [Kruger, F. J.] Moruo Mineral Serv, ZA-1710 Florida, South Africa</t>
  </si>
  <si>
    <t>University of Pretoria; Australian National University; University of Witwatersrand</t>
  </si>
  <si>
    <t>Grantham, GH (corresponding author), Council Geosci, Cent Reg Unit, P Bag X112, ZA-0001 Pretoria, South Africa.</t>
  </si>
  <si>
    <t>Armstrong, Richard/AAT-3953-2020; Grantham, Geoffrey/M-8637-2014</t>
  </si>
  <si>
    <t>Armstrong, Richard/0000-0001-9479-0143; Loubser, Maggi/0000-0001-6737-2317; Grantham, Geoffrey/0000-0001-9862-0547</t>
  </si>
  <si>
    <t>National Research Foundation; Anglo American Corporation; Department of Environmental Affairs</t>
  </si>
  <si>
    <t>The mostly constructive criticisms from anonymous reviewers is acknowledged Funding for the Mozambique component of the research from the National Research Foundation (GHG) and Anglo American Corporation (ADSTM) is gratefully acknowledged Support and funding for the Antarctic research from the SANAP program from the Department of Environmental Affairs is gratefully acknowledged</t>
  </si>
  <si>
    <t>1464-343X</t>
  </si>
  <si>
    <t>1879-1956</t>
  </si>
  <si>
    <t>J AFR EARTH SCI</t>
  </si>
  <si>
    <t>J. Afr. Earth Sci.</t>
  </si>
  <si>
    <t>10.1016/j.jafrearsci.2010.08.005</t>
  </si>
  <si>
    <t>692AF</t>
  </si>
  <si>
    <t>WOS:000285123200005</t>
  </si>
  <si>
    <t>Watanabe, YY; Sato, K; Watanuki, Y; Takahashi, A; Mitani, Y; Amano, M; Aoki, K; Narazaki, T; Iwata, T; Minamikawa, S; Miyazaki, N</t>
  </si>
  <si>
    <t>Watanabe, Yuuki Y.; Sato, Katsufumi; Watanuki, Yutaka; Takahashi, Akinori; Mitani, Yoko; Amano, Masao; Aoki, Kagari; Narazaki, Tomoko; Iwata, Takashi; Minamikawa, Shingo; Miyazaki, Nobuyuki</t>
  </si>
  <si>
    <t>Scaling of swim speed in breath-hold divers</t>
  </si>
  <si>
    <t>JOURNAL OF ANIMAL ECOLOGY</t>
  </si>
  <si>
    <t>biomechanics; cost of transport; data logger; phylogenetically independent contrast</t>
  </si>
  <si>
    <t>WING-PROPELLED DIVERS; ANTARCTIC FUR SEALS; DIVING BEHAVIOR; MARINE MAMMALS; PHYLOGENETIC-RELATIONSHIPS; FORAGING BEHAVIOR; STROKE FREQUENCY; PHOCA-VITULINA; WEDDELL SEALS; BAIKAL SEALS</t>
  </si>
  <si>
    <t>P&gt;1. Breath-hold divers are widely assumed to descend and ascend at the speed that minimizes energy expenditure per distance travelled (the cost of transport (COT)) to maximize foraging duration at depth. However, measuring COT with captive animals is difficult, and empirical support for this hypothesis is sparse. 2. We examined the scaling relationship of swim speed in free-ranging diving birds, mammals and turtles (37 species; mass range, 0 center dot 5-90 000 kg) with phylogenetically informed statistical methods and derived the theoretical prediction for the allometric exponent under the COT hypothesis by constructing a biomechanical model. 3. Swim speed significantly increased with mass, despite considerable variations around the scaling line. The allometric exponent (0 center dot 09) was statistically consistent with the theoretical prediction (0 center dot 05) of the COT hypothesis. 4. Our finding suggests a previously unrecognized advantage of size in divers: larger animals swim faster and thus could travel longer distance, search larger volume of water for prey and exploit a greater range of depths during a given dive duration. 5. Furthermore, as predicted from the model, endotherms (birds and mammals) swam faster than ectotherms (turtles) for their size, suggesting that metabolic power production limits swim speed. Among endotherms, birds swam faster than mammals, which cannot be explained by the model. Reynolds numbers of small birds (&lt; 2 kg) were close to the lower limit of turbulent flow (similar to 3 x 105), and they swam fast possibly to avoid the increased drag associated with flow transition.</t>
  </si>
  <si>
    <t>[Watanabe, Yuuki Y.; Takahashi, Akinori; Iwata, Takashi] Natl Inst Polar Res, Tokyo 1908518, Japan; [Sato, Katsufumi; Aoki, Kagari; Narazaki, Tomoko] Univ Tokyo, Atmosphere &amp; Ocean Res Inst, Int Coastal Res Ctr, Otsuchi, Iwate 0281102, Japan; [Watanuki, Yutaka] Hokkaido Univ, Grad Sch Fisheries Sci, Hakodate, Hokkaido 0418611, Japan; [Mitani, Yoko] Hokkaido Univ, Field Sci Ctr No Biosphere, Hakodate, Hokkaido 0418611, Japan; [Amano, Masao] Nagasaki Univ, Fac Fisheries, Nagasaki 8528521, Japan; [Minamikawa, Shingo] Fisheries Res Agcy, Natl Res Inst Far Seas Fisheries, Kanagawa 2368648, Japan; [Miyazaki, Nobuyuki] Univ Tokyo, Atmosphere &amp; Ocean Res Inst, Chiba 2778564, Japan</t>
  </si>
  <si>
    <t>Research Organization of Information &amp; Systems (ROIS); National Institute of Polar Research (NIPR) - Japan; University of Tokyo; Hokkaido University; Hokkaido University; Nagasaki University; Japan Fisheries Research &amp; Education Agency (FRA); University of Tokyo</t>
  </si>
  <si>
    <t>Watanabe, YY (corresponding author), Natl Inst Polar Res, Tokyo 1908518, Japan.</t>
  </si>
  <si>
    <t>watanabe.yuuki@nipr.ac.jp</t>
  </si>
  <si>
    <t>Amano, Masao/J-9778-2019; Watanabe, Yuuki/D-5079-2012; Iwata, Takashi/U-7234-2018; Mitani, Yoko/D-5779-2012</t>
  </si>
  <si>
    <t>Iwata, Takashi/0000-0001-5492-9411; Amano, Masao/0000-0001-9495-5315; Miyazaki, Nobuyuki/0000-0001-8094-683X; Mitani, Yoko/0000-0002-7420-0596; Watanabe, Yuuki/0000-0001-9731-1769</t>
  </si>
  <si>
    <t>University of Tokyo (UTBLS); Japan Society for the Promotion of Science (JSPS) [21681002, 19255001, 17370007, 20310016, 18570010]; National Science Foundation [02229638]; Tagging of Pacific Predators Program; NOAA; Grants-in-Aid for Scientific Research [17370007, 21681002, 18570010] Funding Source: KAKEN</t>
  </si>
  <si>
    <t>University of Tokyo (UTBLS); Japan Society for the Promotion of Science (JSPS)(Ministry of Education, Culture, Sports, Science and Technology, Japan (MEXT)Japan Society for the Promotion of Science); National Science Foundation(National Science Foundation (NSF)); Tagging of Pacific Predators Program; NOAA(National Oceanic Atmospheric Admin (NOAA) - USA); Grants-in-Aid for Scientific Research(Ministry of Education, Culture, Sports, Science and Technology, Japan (MEXT)Japan Society for the Promotion of ScienceGrants-in-Aid for Scientific Research (KAKENHI))</t>
  </si>
  <si>
    <t>We thank T. Akamatsu, S. Otani and Y. Ropert-Coudert for providing supplemental data of published studies, R. D. Andrews, C. -A. Bost, V. N. Burkanov, J. Calambokidis, D. P. Costa, D. A. Croll, N. J. Gales, J. T. Harvey, P. J. Ponganis, P. D. Shaughnessy and P. N. Trathan for their assistance with the fieldwork and R. W. Davis, J. A. Goldbogen, L. G. Halsey and three anonymous reviewers for comments on the manuscript. This work was funded by the program Bio-logging Science of the University of Tokyo (UTBLS), Grant-in-Aids for Scientific Research from the Japan Society for the Promotion of Science (JSPS) (21681002 to Y. Y. W., 19255001 to K. S., 17370007 to Y. W., 20310016 to A. T., and 18570010 to M. A.), National Science Foundation grant (02229638), Tagging of Pacific Predators Program, a grant from NOAA to the Alaska Sealife Center, the JSPS Postdoctoral Fellowships Research Abroad (to Y. M.), and JSPS Research Fellowships for Young Scientists (to Y. M. and T. N.).</t>
  </si>
  <si>
    <t>0021-8790</t>
  </si>
  <si>
    <t>J ANIM ECOL</t>
  </si>
  <si>
    <t>J. Anim. Ecol.</t>
  </si>
  <si>
    <t>10.1111/j.1365-2656.2010.01760.x</t>
  </si>
  <si>
    <t>691WD</t>
  </si>
  <si>
    <t>WOS:000285110600006</t>
  </si>
  <si>
    <t>Barbraud, C; Rivalan, P; Inchausti, P; Nevoux, M; Rolland, V; Weimerskirch, H</t>
  </si>
  <si>
    <t>Barbraud, Christophe; Rivalan, Philippe; Inchausti, Pablo; Nevoux, Marie; Rolland, Virginie; Weimerskirch, Henri</t>
  </si>
  <si>
    <t>Contrasted demographic responses facing future climate change in Southern Ocean seabirds</t>
  </si>
  <si>
    <t>climate change; demography; IPCC emission scenarios; multi-state capture-recapture; population dynamics; sea ice concentration; sea surface temperature; seabirds; Southern Indian Ocean; stochastic matrix population models</t>
  </si>
  <si>
    <t>BREEDING PERFORMANCE; ANTARCTIC SEABIRD; SEA-ICE; SPECIES DISTRIBUTION; POPULATION-DYNAMICS; INDIAN-OCEAN; FOOD-WEB; ALBATROSS; FISHERIES; VARIABILITY</t>
  </si>
  <si>
    <t>P&gt;1. Recent climate change has affected a wide range of species, but predicting population responses to projected climate change using population dynamics theory and models remains challenging, and very few attempts have been made. The Southern Ocean sea surface temperature and sea ice extent are projected to warm and shrink as concentrations of atmospheric greenhouse gases increase, and several top predator species are affected by fluctuations in these oceanographic variables. 2. We compared and projected the population responses of three seabird species living in sub-tropical, sub-Antarctic and Antarctic biomes to predicted climate change over the next 50 years. Using stochastic population models we combined long-term demographic datasets and projections of sea surface temperature and sea ice extent for three different IPCC emission scenarios (from most to least severe: A1B, A2, B1) from general circulation models of Earth's climate. 3. We found that climate mostly affected the probability to breed successfully, and in one case adult survival. Interestingly, frequent nonlinear relationships in demographic responses to climate were detected. Models forced by future predicted climatic change provided contrasted population responses depending on the species considered. The northernmost distributed species was predicted to be little affected by a future warming of the Southern Ocean, whereas steep declines were projected for the more southerly distributed species due to sea surface temperature warming and decrease in sea ice extent. For the most southerly distributed species, the A1B and B1 emission scenarios were respectively the most and less damaging. For the two other species, population responses were similar for all emission scenarios. 4. This is among the first attempts to study the demographic responses for several populations with contrasted environmental conditions, which illustrates that investigating the effects of climate change on core population dynamics is feasible for different populations using a common methodological framework. Our approach was limited to single populations and have neglected population settlement in new favourable habitats or changes in inter-specific relations as a potential response to future climate change. Predictions may be enhanced by merging demographic population models and climatic envelope models.</t>
  </si>
  <si>
    <t>[Barbraud, Christophe; Rivalan, Philippe; Inchausti, Pablo; Nevoux, Marie; Rolland, Virginie; Weimerskirch, Henri] CNRS, Ctr Etud Biol Chize, F-79360 Villiers En Bois, France; [Inchausti, Pablo] Univ Republica, Montevideo, Uruguay; [Nevoux, Marie] Univ Reading, Sch Agr, Ctr Agri Environm Res, Reading RG6 6AR, Berks, England; [Rolland, Virginie] Univ Florida, Dept Wildlife Ecol &amp; Conservat, Gainesville, FL 32611 USA</t>
  </si>
  <si>
    <t>Centre National de la Recherche Scientifique (CNRS); Universidad de la Republica, Uruguay; University of Reading; State University System of Florida; University of Florida</t>
  </si>
  <si>
    <t>Barbraud, C (corresponding author), CNRS, Ctr Etud Biol Chize, F-79360 Villiers En Bois, France.</t>
  </si>
  <si>
    <t>barbraud@cebc.cnrs.fr</t>
  </si>
  <si>
    <t>Barbraud, Christophe/A-5870-2012; Weimerskirch, Henri/F-5562-2013; Weimerskirch, Henri/K-7306-2019</t>
  </si>
  <si>
    <t>Barbraud, Christophe/0000-0003-0146-212X; Weimerskirch, Henri/0000-0002-0457-586X</t>
  </si>
  <si>
    <t>French Polar Institute (IPEV) [109]; Terres Australes et Antarctiques Francaises; Zone Atelier de Recherches sur l'Environnement Antarctique et Subantarctique (CNRS - INEE); ANR; NSF [DEB-0343820]</t>
  </si>
  <si>
    <t>French Polar Institute (IPEV); Terres Australes et Antarctiques Francaises; Zone Atelier de Recherches sur l'Environnement Antarctique et Subantarctique (CNRS - INEE); ANR(Agence Nationale de la Recherche (ANR)); NSF(National Science Foundation (NSF))</t>
  </si>
  <si>
    <t>We acknowledge all the wintering fieldworkers involved in the long-term monitoring of Amsterdam albatrosses, black-browed albatrosses and snow petrels. We thank Dominique Besson and Karine Delord for capture-mark-recapture and monitoring data management. The present research project IPEV No. 109 has been performed at Amsterdam Island, Kerguelen and Terre Adelie and was supported by the French Polar Institute (IPEV), Terres Australes et Antarctiques Francaises, and Zone Atelier de Recherches sur l'Environnement Antarctique et Subantarctique (CNRS - INEE). It is part of program REMIGE funded by ANR Biodiversity 2005-2009. Methods used for modelling survival in albatrosses were used following those developed by the Woods Hole Oceanographic Institution Albatross Demography Workshops, funded by NSF Grant DEB-0343820. We thank Stephanie Jenouvrier for assistance in modelling, N.H. Saji and S.K. Behera for helpful discussions about the Indian Ocean Dipole, and Remi Choquet for assistance in goodness-of-fit testing and modelling with M-SURGE.</t>
  </si>
  <si>
    <t>1365-2656</t>
  </si>
  <si>
    <t>10.1111/j.1365-2656.2010.01752.x</t>
  </si>
  <si>
    <t>WOS:000285110600009</t>
  </si>
  <si>
    <t>Nicolas, JP; Bromwich, DH</t>
  </si>
  <si>
    <t>Nicolas, Julien P.; Bromwich, David H.</t>
  </si>
  <si>
    <t>Climate of West Antarctica and Influence of Marine Air Intrusions</t>
  </si>
  <si>
    <t>SURFACE MASS-BALANCE; POLAR MM5 SIMULATIONS; GREENLAND ICE-SHEET; SOUTHERN-OCEAN; SEMIANNUAL OSCILLATION; ATMOSPHERIC MOISTURE; ENSO MODULATION; PART I; VARIABILITY; PRECIPITATION</t>
  </si>
  <si>
    <t>High-resolution numerical weather forecasts from the Antarctic Mesoscale Prediction System (AMPS) archive are used to investigate the climate of West Antarctica (WA) during 2006-07. A comparison with observations from West Antarctic automatic weather stations confirms the skill of the model at simulating near-surface variables. AMPS cloud cover is also compared with estimates of monthly cloud fractions over Antarctica derived from spaceborne lidar measurements, revealing close agreement between both datasets. Comparison with 20-yr averages from the Interim ECMWF Re-Analysis (ERA-Interim) dataset demonstrates that the 2006-07 time period as a whole is reflective of the West Antarctic climate from the last two decades. On the 2006-07 annual means computed from AMPS forecasts, the most salient feature is a tongue-shaped pattern of higher cloudiness, accumulation, and 2-m potential temperature stretching over central WA. This feature is caused by repeated intrusions of marine air inland linked to the sustained cyclonic activity in the Ross and western Amundsen Seas. It is further enhanced by the ice sheet's topography and by the mid-low-tropospheric wind flow on either side of the central ice divide. Low pressures centered over the Ross Sea (as opposed to the Bellingshausen Sea) are found to be most effective in conveying heat and moisture into WA. This study offers a perspective on how recent and projected changes in cyclonic activity in the South Pacific sector of the Southern Ocean may affect the climate and surface mass balance of WA.</t>
  </si>
  <si>
    <t>[Nicolas, Julien P.] Ohio State Univ, Byrd Polar Res Ctr, Polar Meteorol Grp, Columbus, OH 43210 USA; Ohio State Univ, Atmospher Sci Program, Dept Geog, Columbus, OH 43210 USA</t>
  </si>
  <si>
    <t>Nicolas, JP (corresponding author), Ohio State Univ, Byrd Polar Res Ctr, Polar Meteorol Grp, 1090 Carmack Rd, Columbus, OH 43210 USA.</t>
  </si>
  <si>
    <t>nicolas.7@buckeyemail.osu.edu</t>
  </si>
  <si>
    <t>Bromwich, David H/C-9225-2016</t>
  </si>
  <si>
    <t>U.S. National Science Foundation, Office of Polar Programs; Office of Polar Programs (OPP); Directorate For Geosciences [1135171] Funding Source: National Science Foundation</t>
  </si>
  <si>
    <t>U.S. National Science Foundation, Office of Polar Programs(National Science Foundation (NSF)); Office of Polar Programs (OPP); Directorate For Geosciences(National Science Foundation (NSF)NSF - Directorate for Geosciences (GEO))</t>
  </si>
  <si>
    <t>This research is supported by an AMPS grant from the U.S. National Science Foundation, Office of Polar Programs. The authors thank J. D. Spinhirne of The University of Arizona and W. D. Hart of NASA Goddard Space Flight Center for providing CALIOP lidar data from October 2006 and October 2007. The authors also thank the AMRC, SSEC, and UW-Madison for providing Antarctic AWS observations. The insightful comments from M. van den Broeke and two anonymous reviewers are greatly appreciated.</t>
  </si>
  <si>
    <t>10.1175/2010JCLI3522.1</t>
  </si>
  <si>
    <t>712II</t>
  </si>
  <si>
    <t>WOS:000286659600003</t>
  </si>
  <si>
    <t>Dehnhard, N; Poisbleau, M; Demongin, L; Chastel, O; van Noordwijk, HJ; Quillfeldt, P</t>
  </si>
  <si>
    <t>Dehnhard, Nina; Poisbleau, Maud; Demongin, Laurent; Chastel, Olivier; van Noordwijk, Hendrika J.; Quillfeldt, Petra</t>
  </si>
  <si>
    <t>Leucocyte profiles and corticosterone in chicks of southern rockhopper penguins</t>
  </si>
  <si>
    <t>JOURNAL OF COMPARATIVE PHYSIOLOGY B-BIOCHEMICAL SYSTEMIC AND ENVIRONMENTAL PHYSIOLOGY</t>
  </si>
  <si>
    <t>Leucocyte counts; G/L ratio; Baseline corticosterone; Immune system; Body condition; Southern rockhopper penguin</t>
  </si>
  <si>
    <t>EUDYPTES-CHRYSOCOME-CHRYSOCOME; TRADE-OFFS; ECOLOGICAL IMMUNOLOGY; PHYSIOLOGICAL STRESS; IMMUNE DEFENSE; BODY CONDITION; LIFE-HISTORY; BROOD SIZE; BIRDS; SEX</t>
  </si>
  <si>
    <t>The immune system is essential for health and survival of vertebrates, yet still little is known about the ontogeny of the immune system in wild birds. The southern rockhopper penguin (Eudyptes chrysocome chrysocome) is a semi-altricial seabird with a long developmental period and reversed hatching asynchrony, favouring the survival of B-chicks. We compared leucocyte counts and baseline corticosterone levels of southern rockhopper penguin chicks under different preconditions such as sex and origin from an A- or B-egg from 4 to 51 days of age. We conducted an experiment to compare leucocyte profiles and baseline corticosterone levels in A- and B-chicks in single-egg clutches as well as in B-chicks from normal two egg-clutches (one A- and one B-egg). None of these treatments influenced leucocyte counts or corticosterone levels, indicating a similar investment in the immune system. Our main finding was an increase of leucocytes/10,000 erythrocytes with age, which was mainly caused by an increase in lymphocyte numbers. This suggests differential investment into acquired immunity at this stage of development. As the granulocyte/lymphocyte (G/L) ratio did not change with age or body condition, G/L ratios seem not to reflect stress caused by poor provisioning of penguin chicks. This was also reinforced by the decrease of plasma corticosterone levels with age. Body condition was negatively correlated with monocyte numbers, suggesting a poorer health status of penguin chicks in poorer body condition. Yet, there was no link between body condition and other leucocyte parameters, indicating that chicks in a good body condition did not additionally invest into their immune system.</t>
  </si>
  <si>
    <t>[Dehnhard, Nina; Poisbleau, Maud; Demongin, Laurent; van Noordwijk, Hendrika J.; Quillfeldt, Petra] Max Planck Inst Ornithol, D-78315 Radolfzell am Bodensee, Germany; [Poisbleau, Maud; Demongin, Laurent] Univ Antwerp VIB, Dept Biology Ethol, B-2610 Antwerp, Belgium; [Chastel, Olivier] CNRS, Ctr Etud Biol Chize, UPR 1934, F-79360 Beauvoir Sur Niort, France</t>
  </si>
  <si>
    <t>Max Planck Society; Flanders Institute for Biotechnology (VIB); University of Antwerp; Centre National de la Recherche Scientifique (CNRS)</t>
  </si>
  <si>
    <t>Dehnhard, N (corresponding author), Max Planck Inst Ornithol, Schlossallee 2, D-78315 Radolfzell am Bodensee, Germany.</t>
  </si>
  <si>
    <t>dehnhard@orn.mpg.de</t>
  </si>
  <si>
    <t>Poisbleau, Maud/B-9968-2014; Dehnhard, Nina/H-6160-2016; Quillfeldt, Petra/A-9549-2009</t>
  </si>
  <si>
    <t>Dehnhard, Nina/0000-0002-4182-2698; Quillfeldt, Petra/0000-0002-4450-8688</t>
  </si>
  <si>
    <t>Deutsche Forschungsgemeinschaft DFG [Qu 148/1-ff]</t>
  </si>
  <si>
    <t>Deutsche Forschungsgemeinschaft DFG(German Research Foundation (DFG))</t>
  </si>
  <si>
    <t>We are grateful to the New Island Conservation Trust for permission to work on the island. We thank Ian, Maria and Georgina Strange, and Dan Birch for their support during the Weld season. Thanks also to Helen Otley, Falkland Islands Government and British Antarctic Survey for their logistic help. We greatly appreciate the skilful assistance in corticosterone assays of Colette Trouve, Stephanie Dano, Adeline Berger and Andre Lacroix. Our study was funded by a grant provided by the Deutsche Forschungsgemeinschaft DFG (Qu 148/1-ff). All work was approved by the Falkland Islands Government (Environmental Planning Office). We would like to thank Jamie Cornelius and three anonymous referees for helpful comments on this manuscript.</t>
  </si>
  <si>
    <t>0174-1578</t>
  </si>
  <si>
    <t>J COMP PHYSIOL B</t>
  </si>
  <si>
    <t>J. Comp. Physiol. B-Biochem. Syst. Environ. Physiol.</t>
  </si>
  <si>
    <t>10.1007/s00360-010-0508-4</t>
  </si>
  <si>
    <t>Physiology; Zoology</t>
  </si>
  <si>
    <t>708DI</t>
  </si>
  <si>
    <t>WOS:000286341400008</t>
  </si>
  <si>
    <t>Kang, H; Xie, ZQ</t>
  </si>
  <si>
    <t>Kang, Hui; Xie, Zhouqing</t>
  </si>
  <si>
    <t>Atmospheric mercury over the marine boundary layer observed during the third China Arctic Research Expedition</t>
  </si>
  <si>
    <t>JOURNAL OF ENVIRONMENTAL SCIENCES</t>
  </si>
  <si>
    <t>total gaseous mercury; atmosphere; marine boundary layer; Japan Sea; North Western Pacific Ocean; Bering Sea</t>
  </si>
  <si>
    <t>GAS-PHASE REACTION; ATLANTIC-OCEAN; INITIATED REACTIONS; ELEMENTAL MERCURY; GASEOUS MERCURY; KINETICS; PRODUCT; SPRINGTIME; DEPOSITION; TRANSPORT</t>
  </si>
  <si>
    <t>TGM measurements on board ships have proved to provide valuable complementary information to measurements by a ground based monitoring network. During the third China Arctic Research Expedition (from July 11 to September 24, 2008), TGM concentrations over the marine boundary layer along the cruise path were in-situ measured using an automatic mercury vapor analyzer. Here we firstly reported the results in Japan Sea, North Western Pacific Ocean and Bering Sea, where there are rare reports. The value ranged between 0.30 and 6.02 ng/m(3) with an average of (1.52 +/- 0.68) ng/m(3), being slightly lower than the background value of Northern Hemisphere (1.7 ng/m(3)). Notably TGM showed considerably spatial and temporal variation. Geographically, the average value of TGM in Bering Sea was higher than those observed in Japan Sea and North Western Pacific Ocean. In the north of Japan Sea TGM levels were found to be lower than 0.5 ng/m(3) during forward cruise and displayed obviously diurnal cycle, indicating potential oxidation of gaseous mercury in the atmosphere. The pronounced episode was recorded as well. Enhanced levels of TGM were observed in the coastal regions of southern Japan Sea during backward cruise due primarily to air masses transported from the adjacent mainland reflecting the contribution from anthropogenic sources. When ship returned back and passed through Kamchatka Peninsula TGM increased by the potential contamination from volcano emissions.</t>
  </si>
  <si>
    <t>[Kang, Hui; Xie, Zhouqing] Univ Sci &amp; Technol China, Inst Polar Environm, Hefei 230026, Peoples R China</t>
  </si>
  <si>
    <t>Xie, ZQ (corresponding author), Univ Sci &amp; Technol China, Inst Polar Environm, Hefei 230026, Peoples R China.</t>
  </si>
  <si>
    <t>zqxie@ustc.edu.cn</t>
  </si>
  <si>
    <t>xie, zhouqing/P-9661-2019</t>
  </si>
  <si>
    <t>National Natural Science Foundation of China [41025020, 40776001]; Chinese Academy of Sciences [KZCX2-YW-QN506]; Fundamental Research Funds for the Central Universities; China Arctic and Antarctic Administration</t>
  </si>
  <si>
    <t>National Natural Science Foundation of China(National Natural Science Foundation of China (NSFC)); Chinese Academy of Sciences(Chinese Academy of Sciences); Fundamental Research Funds for the Central Universities(Fundamental Research Funds for the Central Universities); China Arctic and Antarctic Administration</t>
  </si>
  <si>
    <t>This research was supported by the National Natural Science Foundation of China (No. 41025020, 40776001), the Knowledge Innovation Project of the Chinese Academy of Sciences (No. KZCX2-YW-QN506) and the Fundamental Research Funds for the Central Universities. The authors gratefully acknowledge the NOAA Air Resources Laboratory (ARL) for the provision of the HYSPLIT transport and dispersion model and/or READY website (http://www.arl.noaa.gov/ready.html) used in this publication. Fieldwork was supported by the International Polar Year Project from China Arctic and Antarctic Administration and performed during the third China Arctic Research Expedition.</t>
  </si>
  <si>
    <t>1001-0742</t>
  </si>
  <si>
    <t>1878-7320</t>
  </si>
  <si>
    <t>J ENVIRON SCI</t>
  </si>
  <si>
    <t>J. Environ. Sci.</t>
  </si>
  <si>
    <t>10.1016/S1001-0742(10)60602-X</t>
  </si>
  <si>
    <t>825XL</t>
  </si>
  <si>
    <t>WOS:000295315300003</t>
  </si>
  <si>
    <t>Huang, J; Sun, LG; Wang, XM; Wang, YH; Huang, T</t>
  </si>
  <si>
    <t>Huang, Jing; Sun, Liguang; Wang, Xinming; Wang, Yuhong; Huang, Tao</t>
  </si>
  <si>
    <t>Ecosystem evolution of seal colony and the influencing factors in the 20th century on Fildes Peninsula, West Antarctica</t>
  </si>
  <si>
    <t>fecal sediment; molecular marker; human culture; seal ecosystem; climate</t>
  </si>
  <si>
    <t>KING-GEORGE-ISLAND; SOUTH SHETLAND ISLANDS; CLIMATE-CHANGE; ARCTOCEPHALUS-GAZELLA; PENGUIN POPULATIONS; ELEPHANT SEALS; ICE SHELVES; OCEAN; KRILL; STEROLS</t>
  </si>
  <si>
    <t>As the topmost predator in Antarctica, the seal is a unique indicator of Antarctic environment and climate changes. In this study, we collected a sediment core from the Fildes Peninsula of West Antarctica, and used cholesterol, cholestanol, epicoprostanol, coprostanol, and seal hair numbers as the proxy indicators of seal population size and phytol as of general vegetation, and we reconstructed the 20th century history of variation of the seal population and vegetation abundance on this island. The sealing industry in the early 20th century caused the dramatic decline of seal population, and the ban of seal hunting since the 1960s led to its recovery of seal population. The seal population during the past century was primarily controlled by human activities and krill density. The reconstructed relation between seal population and vegetation abundance may offer new insights into Antarctic environment and ecology.</t>
  </si>
  <si>
    <t>[Huang, Jing; Sun, Liguang; Huang, Tao] Univ Sci &amp; Technol China, Inst Polar Environm, Hefei 230026, Peoples R China; [Huang, Jing; Wang, Xinming] Chinese Acad Sci, Guangzhou Inst Geochem, Guangzhou 510640, Guangdong, Peoples R China; [Wang, Yuhong] Ningbo Univ, Adv Management Res Ctr, Ningbo 315211, Zhejiang, Peoples R China</t>
  </si>
  <si>
    <t>Chinese Academy of Sciences; University of Science &amp; Technology of China, CAS; Chinese Academy of Sciences; Guangzhou Institute of Geochemistry, CAS; Ningbo University</t>
  </si>
  <si>
    <t>jane85@mail.ustc.edu.cn; slg@ustc.edu.cn</t>
  </si>
  <si>
    <t>Huang, Tao/B-5915-2009; Wang, Xinming/A-7388-2014</t>
  </si>
  <si>
    <t>Wang, Xinming/0000-0002-1982-0928</t>
  </si>
  <si>
    <t>National Natural Science Foundation of China [40730107]; National Key Technology R&amp;D Program of China [2006BAB18B07]; National Basic Research Program of China [2009CB42160X]; State Key Laboratory of Organic Geochemistry Foundation [OGL-200606]</t>
  </si>
  <si>
    <t>National Natural Science Foundation of China(National Natural Science Foundation of China (NSFC)); National Key Technology R&amp;D Program of China(National Key Technology R&amp;D Program); National Basic Research Program of China(National Basic Research Program of China); State Key Laboratory of Organic Geochemistry Foundation(Chinese Academy of Sciences)</t>
  </si>
  <si>
    <t>This work was supported by the National Natural Science Foundation of China (No. 40730107), the National Key Technology R&amp;D Program of China (No. 2006BAB18B07), the National Basic Research Program of China (No. 2009CB42160X) and the State Key Laboratory of Organic Geochemistry Foundation (No. OGL-200606). We thank the Chinese Arctic and Antarctic Administration, CHINARE18 team in Changcheng Station and assistance in the field working. We thank Prof. Renbin Zhu for sample collection.</t>
  </si>
  <si>
    <t>J ENVIRON SCI-CHINA</t>
  </si>
  <si>
    <t>10.1016/S1001-0742(10)60601-8</t>
  </si>
  <si>
    <t>WOS:000295315300004</t>
  </si>
  <si>
    <t>Na, GS; Liu, CY; Wang, Z; Ge, LK; Ma, XD; Yao, ZW</t>
  </si>
  <si>
    <t>Na, Guangshui; Liu, Chunyang; Wang, Zhen; Ge, Linke; Ma, Xindong; Yao, Ziwei</t>
  </si>
  <si>
    <t>Distribution and characteristic of PAHs in snow of Fildes Peninsula</t>
  </si>
  <si>
    <t>PAHs; snow; Antarctic; principal component analysis; risk assessment</t>
  </si>
  <si>
    <t>POLYCYCLIC AROMATIC-HYDROCARBONS; PALERMO ITALY AREA; COKE-OVEN WORKERS; GC-MS ANALYSIS; AIR-QUALITY; CHINA; EXTRACTION; SEDIMENTS; URBAN; COMBUSTION</t>
  </si>
  <si>
    <t>Polycyclic aromatic hydrocarbons (PAHs) investigation in different matrices has been reported largely, whereas reports on snow samples were limited. Snow, as the main matrix in the polar region, has an important study meaning. PAHs in snow samples were analyzed to investigate the distribution and contamination status of them in the Antarctic, as well as to provide some references for global migration of PAHs. Snow samples collected in Fildes Peninsula were enriched and separated by solid-phase membrane disks and eluted by methylene dichloride, then quantified by gas chromatography/mass spectrometry. All types of PAHs were detected except for Benzo(a)pyrene. Principal component analysis method was applied to characterize them. Three factors (Naphthalene, Fluorene and Phenanthrene) accounted for 60.57%, 21.61% and 9.80%, respectively. The results showed that the major PAHs sources maybe the atmospheric transportation, and the combustion of fuel in Fildes Peninsula. The comparison of concentration and types of PAHs between accumulated snow and fresh snow showed that the main compound concentrations in accumulated snow samples were higher than those in fresh ones. The risk assessment indicated that the amount of PAHs in the snow samples would not lead to ecological risk.</t>
  </si>
  <si>
    <t>[Na, Guangshui; Liu, Chunyang; Wang, Zhen; Ge, Linke; Ma, Xindong; Yao, Ziwei] Natl Marine Environm Monitoring Ctr, Key Lab Ecol Environm Coastal Areas, Dalian 116023, Peoples R China; [Liu, Chunyang] Dalian Polytech Univ, Sch Biotechnol, Dalian 116034, Peoples R China</t>
  </si>
  <si>
    <t>National Marine Environmental Monitoring Center; Dalian Polytechnic University</t>
  </si>
  <si>
    <t>Na, GS (corresponding author), Natl Marine Environm Monitoring Ctr, Key Lab Ecol Environm Coastal Areas, Dalian 116023, Peoples R China.</t>
  </si>
  <si>
    <t>gsna@nmemc.gov.cn</t>
  </si>
  <si>
    <t>Yao, Ziwei/A-3238-2017</t>
  </si>
  <si>
    <t>wang, zhen/0000-0002-8743-4930; Ma, Xindong/0000-0001-8949-9327</t>
  </si>
  <si>
    <t>State Ocean Administration of China [2009507]; China Marine Public-welfare Program [200805095, 201105013]</t>
  </si>
  <si>
    <t>State Ocean Administration of China; China Marine Public-welfare Program</t>
  </si>
  <si>
    <t>This work was supported by the State Ocean Administration Young Scientists Research Program of China (No. 2009507), and the China Marine Public-welfare Program (No. 200805095, 201105013).</t>
  </si>
  <si>
    <t>10.1016/S1001-0742(10)60605-5</t>
  </si>
  <si>
    <t>WOS:000295315300006</t>
  </si>
  <si>
    <t>Pocock, T; Vetterli, A; Falk, S</t>
  </si>
  <si>
    <t>Pocock, Tessa; Vetterli, Adrien; Falk, Stefan</t>
  </si>
  <si>
    <t>Evidence for phenotypic plasticity in the Antarctic extremophile Chlamydomonas raudensis Ettl. UWO 241</t>
  </si>
  <si>
    <t>JOURNAL OF EXPERIMENTAL BOTANY</t>
  </si>
  <si>
    <t>Acclimation; Antarctica; Chlamydomonas raudensis; climate change; phenotypic plasticity; photostasis; PSII excitation pressure</t>
  </si>
  <si>
    <t>CLIMATE-CHANGE; GREEN-ALGA; CHLOROPHYLL FLUORESCENCE; STATE TRANSITIONS; ACCLIMATION; LIGHT; LAKE; TEMPERATURE; ADAPTATION; BONNEY</t>
  </si>
  <si>
    <t>Life in extreme environments poses unique challenges to photosynthetic organisms. The ability for an extremophilic green alga and its genetic and mesophilic equivalent to acclimate to changes in their environment was examined to determine the extent of their phenotypic plasticities. The Antarctic extremophile Chlamydomonas raudensis Ettl. UWO 241 (UWO) was isolated from an ice-covered lake in Antarctica, whereas its mesophilic counterpart C. raudensis Ettl. SAG 49.72 (SAG) was isolated from a meadow pool in the Czech Republic. The effects of changes in temperature and salinity on growth, morphology, and photochemistry were examined in the two strains. Differential acclimative responses were observed in UWO which include a wider salinity range for growth, and broader temperature- and salt-induced fluctuations in F-v/F-m, relative to SAG. Furthermore, the redox state of the photosynthetic electron transport chain, measured as 1-q(P), was modulated in the extremophile whereas this was not observed in the mesophile. Interestingly, it is shown for the first time that SAG is similar to UWO in that it is unable to undergo state transitions. The different natural histories of these two strains exert different evolutionary pressures and, consequently, different abilities for acclimation, an important component of phenotypic plasticity. In contrast to SAG, UWO relied on a redox sensing and signalling system under the growth conditions used in this study. It is proposed that growth and adaptation of UWO under a stressful and extreme environment poises this extremophile for better success under changing environmental conditions.</t>
  </si>
  <si>
    <t>[Pocock, Tessa; Vetterli, Adrien; Falk, Stefan] Mid Sweden Univ, Dept Nat Sci Engn &amp; Math, S-85170 Sundsvall, Sweden</t>
  </si>
  <si>
    <t>Mid-Sweden University</t>
  </si>
  <si>
    <t>Falk, S (corresponding author), Mid Sweden Univ, Dept Nat Sci Engn &amp; Math, S-85170 Sundsvall, Sweden.</t>
  </si>
  <si>
    <t>stefan.falk@miun.se</t>
  </si>
  <si>
    <t>Marie Curie Intra-European Fellowship [FP6-2002-Mobility-5, 010694]</t>
  </si>
  <si>
    <t>Marie Curie Intra-European Fellowship(European Union (EU))</t>
  </si>
  <si>
    <t>This work was supported by a Marie Curie Intra-European Fellowship, FP6-2002-Mobility-5. Proposal No. 010694. The authors are indebted to Dr Norman P. Huner for his kind donation of Chlamydomonas raudensis UWO 241.</t>
  </si>
  <si>
    <t>0022-0957</t>
  </si>
  <si>
    <t>1460-2431</t>
  </si>
  <si>
    <t>J EXP BOT</t>
  </si>
  <si>
    <t>J. Exp. Bot.</t>
  </si>
  <si>
    <t>10.1093/jxb/erq347</t>
  </si>
  <si>
    <t>709TP</t>
  </si>
  <si>
    <t>hybrid, Green Submitted, Green Published</t>
  </si>
  <si>
    <t>WOS:000286464600026</t>
  </si>
  <si>
    <t>Bucolo, P; Amsler, CD; McClintock, JB; Baker, BJ</t>
  </si>
  <si>
    <t>Bucolo, Philip; Amsler, Charles D.; McClintock, James B.; Baker, Bill J.</t>
  </si>
  <si>
    <t>Palatability of the Antarctic rhodophyte Palmaria decipiens (Reinsch) RW Ricker and its endo/epiphyte Elachista antarctica Skottsberg to sympatric amphipods</t>
  </si>
  <si>
    <t>Amphipod; Elachista antarctica; Endophyte; Epiphyte; Mesograzer; Palmaria decipiens</t>
  </si>
  <si>
    <t>SUBTIDAL MACROALGAE; HOSTS; DEFENSES; BIOMASS</t>
  </si>
  <si>
    <t>Although many macroalgae that occur throughout Western Antarctic Peninsular waters are known to produce defensive secondary metabolites that deter grazing, the rhodophyte, Palmaria decipiens is palatable to several sympatric meso- and macro-grazers. It has been hypothesized that high levels of mesoherbivory by amphipods may account for the conspicuous lack of filamentous epiphytes emerging from the thalli of marcophytes in this region. Nonetheless, Elachista antarctica is a filamentous phaeophyte found growing within, and emerging from the thallus of the rhodophyte P. decipiens. It is surprising that E. antarctica occurs exclusively in association with a palatable species of macroalgae considering the standing biomass of other chemically defended unpalatable species is very high. We tested the hypothesis that E. antarctica grows on P. decipiens due to the host's overwhelming palatability compared to that of the epiphyte. That is, the hypothesis that mesograzers prefer the host over the epiphyte, grazing around emerging filaments. Choice and no choice feeding assays with live tissues of E. antarctica and P. decipiens were conducted in three different trials with four sympatric amphipod species (Prostebbingia gracilis, Gondogeneia antarctica, Oradarea bidentata, and Paraphimedia integricauda) commonly found in association with P. decipiens. G. antarctica consumed both species but ate P. decipiens at a faster rate than the epiphyte in two of three trials. P. gracilis, O. bidentata, and P. integricauda fed on the epiphyte, E. antarctica at faster rates than upon P. decipiens. Aggressive grazing of the epiphyte by this suite of amphipods indicates that differences in palatability and differences in grazing pressure on host and epiphyte do not explain the exclusive epiphytism of E. antarctica on P. decipiens. (C) 2010 Elsevier B.V. All rights reserved.</t>
  </si>
  <si>
    <t>[Bucolo, Philip; Amsler, Charles D.; McClintock, James B.] Univ Alabama Birmingham, Dept Biol, Birmingham, AL 35294 USA; [Baker, Bill J.] Univ S Florida, Dept Chem, Tampa Bay, FL 33620 USA</t>
  </si>
  <si>
    <t>Bucolo, P (corresponding author), Univ Alabama Birmingham, Dept Biol, Birmingham, AL 35294 USA.</t>
  </si>
  <si>
    <t>bucolo@uab.edu; amsler@uab.edu; mcclinto@uab.edu; bjbaker@usf.edu</t>
  </si>
  <si>
    <t>National Science Foundation [OPP-0442769, OPP-0442897]</t>
  </si>
  <si>
    <t>National Science Foundation(National Science Foundation (NSF))</t>
  </si>
  <si>
    <t>We thank Maggie Amsler, Craig Aumack, Alan Maschek, Dr. Jill Zamzow, Gil Koplovitz, and the rest of the 2007 and 2008 Antarctic field team for their field and technical assistance. We would also like to thank Dr. Robert Angus for his assistance with statistical analysis. This research would not have been possible without the outstanding support from Raytheon Polar Services science support staff at Palmer Station, Antarctica. This work was supported by the National Science Foundation awards OPP-0442769 (CDA, JMB) and OPP-0442897 (BJB). [SS]</t>
  </si>
  <si>
    <t>10.1016/j.jembe.2010.10.023</t>
  </si>
  <si>
    <t>710XN</t>
  </si>
  <si>
    <t>WOS:000286550400017</t>
  </si>
  <si>
    <t>Smith, PJ; Steinke, D; McMillan, PJ; Stewart, AL; McVeagh, SM; de Astarloa, JMD; Welsford, D; Ward, RD</t>
  </si>
  <si>
    <t>Smith, P. J.; Steinke, D.; McMillan, P. J.; Stewart, A. L.; McVeagh, S. M.; Diaz de Astarloa, J. M.; Welsford, D.; Ward, R. D.</t>
  </si>
  <si>
    <t>DNA barcoding highlights a cryptic species of grenadier Macrourus in the Southern Ocean</t>
  </si>
  <si>
    <t>JOURNAL OF FISH BIOLOGY</t>
  </si>
  <si>
    <t>Antarctic fisheries; COI; mitochondrial DNA; species identification</t>
  </si>
  <si>
    <t>OXIDASE SUBUNIT-I; MITOCHONDRIAL-DNA; BIOLOGY; REVEALS; IDENTIFICATION; FISHERIES; BATHYRAJA; LIFE; SEA</t>
  </si>
  <si>
    <t>Although three species of the genus Macrourus are recognized in the Southern Ocean, DNA sequencing of the mitochondrial COI gene revealed four well-supported clades. These barcode data suggest the presence of an undescribed species, a conclusion supported by meristic and morphometric examination of specimens. (C) 2010 The Authors</t>
  </si>
  <si>
    <t>[Smith, P. J.; McMillan, P. J.; McVeagh, S. M.] Natl Inst Water &amp; Atmospher Res Ltd, Wellington, New Zealand; [Steinke, D.] Univ Guelph, Canadian Ctr DNA Barcoding, Biodivers Inst Ontario, Guelph, ON N1G 2W1, Canada; [Stewart, A. L.] Museum New Zealand Te Papa Tongarewa, Wellington, New Zealand; [Diaz de Astarloa, J. M.] Univ Nacl Mar Plata, Dept Ciencias Marinas, Mar Del Plata, Buenos Aires, Argentina; [Diaz de Astarloa, J. M.] Consejo Nacl Invest Cient &amp; Tecn, RA-1033 Buenos Aires, DF, Argentina; [Welsford, D.] Australian Antarctic Div, Kingston, Tas 7050, Australia; [Ward, R. D.] CSIRO Marine &amp; Atmospher Res, Hobart, Tas 7001, Australia</t>
  </si>
  <si>
    <t>National Institute of Water &amp; Atmospheric Research (NIWA) - New Zealand; University of Guelph; National University of Mar del Plata; Consejo Nacional de Investigaciones Cientificas y Tecnicas (CONICET); Australian Antarctic Division; Commonwealth Scientific &amp; Industrial Research Organisation (CSIRO)</t>
  </si>
  <si>
    <t>Smith, PJ (corresponding author), Natl Inst Water &amp; Atmospher Res Ltd, Private Bag 14 901, Wellington, New Zealand.</t>
  </si>
  <si>
    <t>p.smith@niwa.co.nz</t>
  </si>
  <si>
    <t>Steinke, Dirk/D-4700-2009; Stewart, Andrew/HGC-0709-2022; Ward, Robert D/A-2319-2012; de Astarloa, Juan Diaz/F-5395-2012</t>
  </si>
  <si>
    <t>de Astarloa, Juan Diaz/0000-0002-9250-1771; Steinke, Dirk/0000-0002-8992-575X; Welsford, Dirk/0000-0001-5379-5052</t>
  </si>
  <si>
    <t>New Zealand Government; Consejo Nacional de Investigaciones Cientificas; Alfred P. Sloan Foundation; Genome Canada, through the Ontario Genomics Institute</t>
  </si>
  <si>
    <t>New Zealand Government; Consejo Nacional de Investigaciones Cientificas; Alfred P. Sloan Foundation(Alfred P. Sloan Foundation); Genome Canada, through the Ontario Genomics Institute(Genome Canada)</t>
  </si>
  <si>
    <t>We are grateful to the New Zealand Ministry of Fisheries and CCAMLR Scientific Observers and to the Australian Fisheries Management Authority observers for the collection of grenadier specimens in the commercial fisheries in the Ross Sea region and the Australian Antarctic Territory. We gratefully acknowledge an anonymous referee for constructive comments on the manuscript. New Zealand authors were supported by research funded by the New Zealand Government under the NZ International Polar Year - Census of Antarctic Marine Life Project. We acknowledge the Ministry of Fisheries Science Team and Ocean Survey 20/20 CAML Advisory Group (Land Information New Zealand, Ministry of Fisheries, Antarctica New Zealand, Ministry of Foreign Affairs and Trade and National Institute of Water and Atmospheric Research Ltd). J.M.D. was supported by Consejo Nacional de Investigaciones Cientificas under an iBOL Argentinean Fund, and D.S. was supported by funding of the Alfred P. Sloan Foundation to MarBOL and by Genome Canada, through the Ontario Genomics Institute. P. Bentzen (Dalhousie University) and E. Kenchington (Department of Fisheries and Oceans, Canada) provided unpublished COI sequences for M. berglax.</t>
  </si>
  <si>
    <t>0022-1112</t>
  </si>
  <si>
    <t>1095-8649</t>
  </si>
  <si>
    <t>J FISH BIOL</t>
  </si>
  <si>
    <t>J. Fish Biol.</t>
  </si>
  <si>
    <t>10.1111/j.1095-8649.2010.02846.x</t>
  </si>
  <si>
    <t>706JH</t>
  </si>
  <si>
    <t>WOS:000286214100025</t>
  </si>
  <si>
    <t>Pawlowski, J; Majewski, W</t>
  </si>
  <si>
    <t>Pawlowski, Jan; Majewski, Wojciech</t>
  </si>
  <si>
    <t>MAGNETITE-BEARING FORAMINIFERA FROM ADMIRALTY BAY, WEST ANTARCTICA, WITH DESCRIPTION OF PSAMMOPHAGA MAGNETICA, SP. NOV.</t>
  </si>
  <si>
    <t>JOURNAL OF FORAMINIFERAL RESEARCH</t>
  </si>
  <si>
    <t>KING-GEORGE-ISLAND; ALLOGROMIID FORAMINIFERA; MONOTHALAMOUS FORAMINIFERA; EXPLORERS COVE; DIVERSITY; GROMIIDS; TREE; SITE</t>
  </si>
  <si>
    <t>During an expedition to King George Island, Antarctic Peninsula, we discovered two species of organic-walled, monothalamous foraminifera bearing mineral particles within their cytoplasm. The particles are predominantly magnetite and titanoferous magnetite. Both species are phylogenetically related and belong to a clade of monothalamous foraminifera having in common the ability to ingest mineral grains. One of the species, described here as Psammophaga magnetica sp. nov., has an elongate organic test and mineral particles located near the aperture. According to the analyses of partial small subunit ribosomal DNA (SSU rDNA), the species may have a panantarctic distribution and is slightly different from a similar Arctic morphotype. The second species is morphologically and genetically similar to Allogromia crystallifera Dahlgren, 1962 from Scandinavian fjords. Because the genus Allogromia is distantly related to Psammophagidae, we have transferred this species to the genus Psammophaga. In several specimens of this species, we found SSU rDNA sequences closely related, but not identical, to Hippocrepinella hirudinea (Heron-Allen and Earland, 1932), another monothalamous foraminifer present at the same sampling site. The origin of these extraneous sequences is unclear and raises the question of authenticity of rRNA gene sequences in some foraminifera.</t>
  </si>
  <si>
    <t>[Pawlowski, Jan] Univ Geneva, Dept Zool &amp; Anim Biol, CH-1211 Geneva 4, Switzerland; [Majewski, Wojciech] Polish Acad Sci, Inst Paleobiol, PL-00818 Warsaw, Poland</t>
  </si>
  <si>
    <t>University of Geneva; Polish Academy of Sciences; Institute of Paleobiology of the Polish Academy of Sciences</t>
  </si>
  <si>
    <t>Pawlowski, J (corresponding author), Univ Geneva, Dept Zool &amp; Anim Biol, Sci 3,30 Quai Ernest Ansermet, CH-1211 Geneva 4, Switzerland.</t>
  </si>
  <si>
    <t>Jan.Pawlowski@unige.ch</t>
  </si>
  <si>
    <t>Pawlowski, Jan/JNS-6857-2023; Majewski, Wojciech/D-9255-2017</t>
  </si>
  <si>
    <t>Majewski, Wojciech/0000-0002-5407-1782</t>
  </si>
  <si>
    <t>Polish Ministry of Science and Higher Education [N N307 115135]; Swiss National Science Foundation [31003A_125372]; Swiss National Science Foundation (SNF) [31003A_125372] Funding Source: Swiss National Science Foundation (SNF)</t>
  </si>
  <si>
    <t>Polish Ministry of Science and Higher Education(Ministry of Science and Higher Education, Poland); Swiss National Science Foundation(Swiss National Science Foundation (SNSF)); Swiss National Science Foundation (SNF)(Swiss National Science Foundation (SNSF))</t>
  </si>
  <si>
    <t>This study was supported by a grant of Polish Ministry of Science and Higher Education N N307 115135, a grant of Swiss National Science Foundation 31003A_125372, and G &amp; L Claraz Donation. We would like to thank Jose Fahrni and Jackie Guiard for technical assistance, and Beatrice Lecroq and Frederic Sinniger for help in collecting material. We are grateful to Aleksandra Skawina for help with the critical point drying procedure and Cyprian Kulicki in EDS analysis. We also thank Andrew Gooday for his valuable comments, discussion of taxonomic issues and improving the English, as well as Martin Langer and Dennis Bazylinski for their valuable reviews.</t>
  </si>
  <si>
    <t>CUSHMAN FOUNDATION FORAMINIFERAL RESEARCH</t>
  </si>
  <si>
    <t>LAWRENCE</t>
  </si>
  <si>
    <t>PO BOX 7065, LAWRENCE, KS 66044-7065 USA</t>
  </si>
  <si>
    <t>0096-1191</t>
  </si>
  <si>
    <t>J FORAMIN RES</t>
  </si>
  <si>
    <t>J. Foraminifer. Res.</t>
  </si>
  <si>
    <t>10.2113/gsjfr.41.1.3</t>
  </si>
  <si>
    <t>710WB</t>
  </si>
  <si>
    <t>WOS:000286546600002</t>
  </si>
  <si>
    <t>Horwath, M; Lemoine, JM; Biancale, R; Bourgogne, S</t>
  </si>
  <si>
    <t>Horwath, Martin; Lemoine, Jean-Michel; Biancale, Richard; Bourgogne, Stephane</t>
  </si>
  <si>
    <t>Improved GRACE science results after adjustment of geometric biases in the Level-1B K-band ranging data</t>
  </si>
  <si>
    <t>JOURNAL OF GEODESY</t>
  </si>
  <si>
    <t>GRACE satellite gravimetry; Satellite attitude; Antenna phase center; Ocean bottom pressure; Antarctica</t>
  </si>
  <si>
    <t>CLIMATE EXPERIMENT GRACE; GRAVITY RECOVERY; MASS-BALANCE; ERROR</t>
  </si>
  <si>
    <t>The GRACE (Gravity Recovery and Climate Experiment) satellite mission relies on the inter-satellite K-band microwave ranging (KBR) observations. We investigate systematic errors that are present in the Level-1B KBR data, namely in the geometric correction. This correction converts the original ranging observation (between the two KBR antennas phase centers) into an observation between the two satellites' centers of mass. It is computed from data on the precise alignment between both satellites, that is, between the lines joining the center of mass and the antenna phase center of either satellite. The Level-1B data used to determine this alignment exhibit constant biases as large as 1-2 mrad in terms of pitch and yaw alignment angles. These biases induce non-constant errors in the Level-1B geometric correction. While the precise origin of the biases remains to be identified, we are able to estimate and reduce them in a re-calibration approach. This significantly improves time-variable gravity field solutions based on the CNES/GRGS processing strategy. Empirical assessments indicate that the systematic KBR data errors have previously induced gravity field errors on the level of 6-11 times the so-called GRACE baseline error level. The zonal coefficients (from degree 14) are particularly affected. The re-calibration reduces their rms errors by about 50%. As examples for geophysical inferences, the improvement enhances agreement between mass variations observed by GRACE and in-situ ocean bottom pressure observations. The improvement also importantly affects estimates of inter-annual mass variations of the Antarctic ice sheet.</t>
  </si>
  <si>
    <t>[Horwath, Martin] LEGOS, F-31401 Toulouse 9, France; [Horwath, Martin; Lemoine, Jean-Michel; Biancale, Richard] CNES GRGS, F-31401 Toulouse 9, France; [Bourgogne, Stephane] Noveltis, F-31520 Ramonville St Agne, France</t>
  </si>
  <si>
    <t>Universite de Toulouse; Universite Toulouse III - Paul Sabatier; Centre National de la Recherche Scientifique (CNRS); Institut de Recherche pour le Developpement (IRD); Laboratoire d'Etudes en Geophysique et oceanographie spatiales</t>
  </si>
  <si>
    <t>Horwath, M (corresponding author), Tech Univ Munich, Inst Astron &amp; Phys Geodasie, Arcisstr 21, D-80333 Munich, Germany.</t>
  </si>
  <si>
    <t>martin.horwath@bv.tum.de; jean-michel.lemoine@cnes.fr; richard.biancale@cnes.fr; stephane.bourgogne@noveltis.fr</t>
  </si>
  <si>
    <t>Horwath, Martin/F-9239-2011; Horwath, Martin/ABH-4320-2020</t>
  </si>
  <si>
    <t>Horwath, Martin/0000-0001-5797-244X;</t>
  </si>
  <si>
    <t>Deutsche Forschungsgemeinschaft (DFG) [Ho 4232/1-1]</t>
  </si>
  <si>
    <t>Deutsche Forschungsgemeinschaft (DFG)(German Research Foundation (DFG))</t>
  </si>
  <si>
    <t>M. Horwath was supported by a research fellowship of the Deutsche Forschungsgemeinschaft (DFG), grant number Ho 4232/1-1. The authors thank the ISDC (Information System and Data Center) for the GRACE data distribution. P. Gegout (DTP, Toulouse) provided the grids used in the atmospheric background mass model. H. Bock (University of Bern) provided the GPS clock corrections. A. Macrander provided data from the AWI database on in situ OBP data. We thank him and the contributors to the data base, namely Agnieszka Beszczynska-Moller (AWI, Framstrait), Olaf Boebel (AWI, ACC), Johannes Karstensen (IFM-GEOMAR, MOVE), Uwe Send (SIO, MOVE), James Morison (North Pole, APL), and Randy Watts (URI, KESS). We thank the editor P. Ditmar and three anonymous reviewers for their insightful comments that lead to important improvements of the manuscript.</t>
  </si>
  <si>
    <t>0949-7714</t>
  </si>
  <si>
    <t>1432-1394</t>
  </si>
  <si>
    <t>J GEODESY</t>
  </si>
  <si>
    <t>J. Geodesy</t>
  </si>
  <si>
    <t>10.1007/s00190-010-0414-2</t>
  </si>
  <si>
    <t>Geochemistry &amp; Geophysics; Remote Sensing</t>
  </si>
  <si>
    <t>711QU</t>
  </si>
  <si>
    <t>WOS:000286607300003</t>
  </si>
  <si>
    <t>Tao, X; Thorne, RM; Horne, RB; Ni, B; Menietti, JD; Shprits, YY; Gurnett, DA</t>
  </si>
  <si>
    <t>Tao, X.; Thorne, R. M.; Horne, R. B.; Ni, B.; Menietti, J. D.; Shprits, Y. Y.; Gurnett, D. A.</t>
  </si>
  <si>
    <t>Importance of plasma injection events for energization of relativistic electrons in the Jovian magnetosphere</t>
  </si>
  <si>
    <t>Effects of density decrease in plasma injection regions and a latitude-dependent wave normal angle distribution on the energization of electrons by whistler mode waves at Jupiter are investigated. Previous work showed that whistler mode waves could enhance the fluxes of a few MeV electrons by an order of magnitude on a time scale of 30 days. However, density decrease in plasma injection regions and latitude dependence of the wave normal angle distribution of waves were not considered. Because this information is difficult to obtain from available observations, we perform a sensitivity study to demonstrate that the effect of density decrease on energization of electrons becomes important when the density inside injection regions is reduced to 25% of that outside. We also investigate the effect of a latitude-dependent wave normal angle distribution on energization of electrons using a ray tracing program and demonstrate that a realistic latitude-dependent wave normal angle distribution increases the rate of pitch angle diffusion near the loss cone, and thus enhances the loss rate, of 1-3 MeV electrons. However, the flux of 10 MeV electrons is not significantly affected. Results of the work are useful for understanding energization of MeV electrons at Jupiter, especially when combined with observations from future missions.</t>
  </si>
  <si>
    <t>[Tao, X.; Thorne, R. M.; Ni, B.; Shprits, Y. Y.] Univ Calif Los Angeles, Dept Atmospher &amp; Ocean Sci, Los Angeles, CA 90095 USA; [Horne, R. B.] British Antarctic Survey, Nat Environm Res Council, Cambridge CB3 0ET, England; [Menietti, J. D.; Gurnett, D. A.] Univ Iowa, Dept Phys &amp; Astron, Iowa City, IA 52242 USA; [Shprits, Y. Y.] Univ Calif Los Angeles, Inst Geophys &amp; Planetary Phys, Los Angeles, CA 90095 USA</t>
  </si>
  <si>
    <t>University of California System; University of California Los Angeles; UK Research &amp; Innovation (UKRI); Natural Environment Research Council (NERC); NERC British Antarctic Survey; University of Iowa; University of California System; University of California Los Angeles</t>
  </si>
  <si>
    <t>Tao, X (corresponding author), Univ Calif Los Angeles, Dept Atmospher &amp; Ocean Sci, Los Angeles, CA 90095 USA.</t>
  </si>
  <si>
    <t>xtao@atmos.ucla.edu; rmt@atmos.ucla.edu</t>
  </si>
  <si>
    <t>Shprits, Yuri Y/I-2174-2014; Ni, Binbin/I-5244-2013; Horne, Richard B/U-3764-2019</t>
  </si>
  <si>
    <t>Horne, Richard B/0000-0002-0412-6407; Shprits, Yuri/0000-0002-9625-0834</t>
  </si>
  <si>
    <t>NASA [NNX07AL27G]; NASA GI grant [08-H6I08-0117]; Lab Research Fee grant [09-LR-04116720-SHPY]; NERC [bas0100023] Funding Source: UKRI; Natural Environment Research Council [bas0100023] Funding Source: researchfish</t>
  </si>
  <si>
    <t>NASA(National Aeronautics &amp; Space Administration (NASA)); NASA GI grant; Lab Research Fee grant; NERC(UK Research &amp; Innovation (UKRI)Natural Environment Research Council (NERC)); Natural Environment Research Council(UK Research &amp; Innovation (UKRI)Natural Environment Research Council (NERC))</t>
  </si>
  <si>
    <t>This research was supported by NASA grant NNX07AL27G and also in part by NASA GI grant 08-H6I08-0117 and Lab Research Fee grant 09-LR-04116720-SHPY.</t>
  </si>
  <si>
    <t>A1</t>
  </si>
  <si>
    <t>A01206</t>
  </si>
  <si>
    <t>10.1029/2010JA016108</t>
  </si>
  <si>
    <t>VI1UU</t>
  </si>
  <si>
    <t>WOS:000461814000001</t>
  </si>
  <si>
    <t>Van der Wel, LG; Gkinis, V; Pohjola, VA; Meijer, HAJ</t>
  </si>
  <si>
    <t>Van der Wel, L. G.; Gkinis, V.; Pohjola, V. A.; Meijer, H. A. J.</t>
  </si>
  <si>
    <t>Snow isotope diffusion rates measured in a laboratory experiment</t>
  </si>
  <si>
    <t>CENTRAL GREENLAND; STABLE-ISOTOPES; ICE CORES; WATER; FIRN; SUBLIMATION; EXCHANGE; VAPOR</t>
  </si>
  <si>
    <t>The diffusion of stable water isotopes in snow was measured in two controlled laboratory experiments. Two batches of snow of different isotopic composition were stacked alternately with varying layer thicknesses. The stack was stored in a freezer room at constant temperature for several months, and sampled at regular intervals to analyse the diffusion. Measured isotope profiles were fitted to a theoretical model with diffusion length as the fit parameter. In the first experiment, we observed a difference in diffusion rates between layers of different thicknesses, which is likely caused by layers of snow not being in proper contact with each other. In the second experiment we found very good agreement between measurements and model results. The measured diffusivity is compared with theory, in which we mainly focus on the temperature dependence of the ice-vapour fractionation factors. This temperature dependence is slightly different for the different isotopes of water, which leads to a difference in diffusion rates. We illustrate how our set-up can be used to measure the ratio between ice-vapour fractionation factors of oxygen-18 and deuterium, which determine the relation between the difference in diffusion and the firn temperature.</t>
  </si>
  <si>
    <t>[Van der Wel, L. G.; Gkinis, V.; Meijer, H. A. J.] Univ Groningen, Ctr Isotope Res, NL-9747 AG Groningen, Netherlands; [Pohjola, V. A.] Uppsala Univ, Dept Earth Sci, SE-75236 Uppsala, Sweden</t>
  </si>
  <si>
    <t>University of Groningen; Uppsala University</t>
  </si>
  <si>
    <t>Van der Wel, LG (corresponding author), Univ Bern, CH-3012 Bern, Switzerland.</t>
  </si>
  <si>
    <t>vanderwel@climate.unibe.ch</t>
  </si>
  <si>
    <t>Meijer, Harro A J/A-5787-2012; Gkinis, Vasileios/E-8185-2011</t>
  </si>
  <si>
    <t>Gkinis, Vasileios/0000-0002-5910-1549; Meijer, Harro A.J./0000-0001-8744-5632; pohjola, veijo/0000-0001-6851-1673</t>
  </si>
  <si>
    <t>Netherlands Organisation for Scientific Research (NWO); European Research Council</t>
  </si>
  <si>
    <t>Netherlands Organisation for Scientific Research (NWO)(Netherlands Organization for Scientific Research (NWO)); European Research Council(European Research Council (ERC))</t>
  </si>
  <si>
    <t>This project was mainly funded by the Netherlands Organisation for Scientific Research (NWO) through a grant of the Netherlands Antarctic Programme. In the final stage of the work, L.G. van der Wel was funded by the European Research Council project, MATRICs.</t>
  </si>
  <si>
    <t>10.3189/002214311795306727</t>
  </si>
  <si>
    <t>736WT</t>
  </si>
  <si>
    <t>WOS:000288526400003</t>
  </si>
  <si>
    <t>Rippin, DM; Vaughan, DG; Corr, HFJ</t>
  </si>
  <si>
    <t>Rippin, D. M.; Vaughan, D. G.; Corr, H. F. J.</t>
  </si>
  <si>
    <t>The basal roughness of Pine Island Glacier, West Antarctica</t>
  </si>
  <si>
    <t>ICE-SHEET DYNAMICS; EAST ANTARCTICA; SPECTRAL ROUGHNESS; SUBGLACIAL WATER; BED ROUGHNESS; STREAMS; FLOW; ACCELERATION; PRESSURE; COLLAPSE</t>
  </si>
  <si>
    <t>We assess basal roughness beneath Pine Island Glacier (PIG), West Antarctica, based on a recent airborne radio-echo sounding dataset. We identify a clear relationship between faster ice flow and decreased basal roughness in significant parts of PIG. The central portion and two of its tributaries are particularly smooth, but the majority of the tributaries feeding the main trunk are rougher. We interpret the presence of a smooth bed as being a consequence of the deposition of marine sediments following disappearance of the West Antarctic ice sheet in the Pliocene or Pleistocene, and, conversely, a lack of marine sedimentation where the bed is rough. Importantly, we also identify a patchy distribution of marine sediments, and thus a bed over which the controls on flow vary. While there is a notable correspondence between ice velocity and bed roughness, we do not assume a direct causal relationship, but find that an indirect one is likely. Where low basal roughness results in low basal resistance to flow, a lower driving stress is required to produce the flux required to achieve mass balance. This, in turn, means that the surface in that area will be lower than surrounding areas with a rougher bed, and this will tend to draw flow into the area with low bed roughness. Since our studies shows that bed roughness beneath the tributaries of the trunk varies substantially, there is a strong likelihood that these tributaries will differ in the rate at which they transmit current velocity changes on the main trunk into the interior of the glacier basin.</t>
  </si>
  <si>
    <t>[Rippin, D. M.] Univ York, Dept Environm, York YO10 5DD, N Yorkshire, England; [Vaughan, D. G.; Corr, H. F. J.] British Antarctic Survey, Nat Environm Res Council, Cambridge CB3 0ET, England</t>
  </si>
  <si>
    <t>University of York - UK; UK Research &amp; Innovation (UKRI); Natural Environment Research Council (NERC); NERC British Antarctic Survey</t>
  </si>
  <si>
    <t>Rippin, DM (corresponding author), Univ York, Dept Environm, York YO10 5DD, N Yorkshire, England.</t>
  </si>
  <si>
    <t>david.rippin@york.ac.uk</t>
  </si>
  <si>
    <t>Rippin, David Manish/AAW-5063-2021; Corr, Hugh/C-5398-2011; Vaughan, David/C-8348-2011</t>
  </si>
  <si>
    <t>Rippin, David Manish/0000-0001-7757-9880; Vaughan, David/0000-0002-9065-0570</t>
  </si>
  <si>
    <t>10.3189/002214311795306574</t>
  </si>
  <si>
    <t>WOS:000288526400007</t>
  </si>
  <si>
    <t>Miyamoto, A; Weikusat, I; Hondoh, T</t>
  </si>
  <si>
    <t>Miyamoto, Atsushi; Weikusat, Ilka; Hondoh, Takeo</t>
  </si>
  <si>
    <t>Complete determination of ice crystal orientation using Laue X-ray diffraction method</t>
  </si>
  <si>
    <t>C-AXIS FABRICS; MICROSTRUCTURAL FEATURES; SUBGRAIN BOUNDARIES; EVOLUTION; GRAIN</t>
  </si>
  <si>
    <t>Ice crystal orientation fabric data from ice cores contain important information concerning the internal structure and the flow behaviour of ice sheets. When ice cores are recovered from the Antarctic and Greenland ice sheets, crystal orientation measurements are performed immediately to obtain fundamental physical property information. In the past, we have measured the c-axis orientation of ice crystals by a manual optical method using a universal stage. This method is very time-consuming, involving tedious work in a cold laboratory. Recently, automated systems have been developed that enable measurement of c-axis orientation, grain size and other microstructures. However, in order to detect the full crystal orientation of an ice crystal, we also need information on its a-axis orientation. A variety of other crystal orientation measurement methods have previously been discussed, but some shortcomings for ice-core studies cannot be neglected. We have developed a crystal-orientation analysing device using the Laue X-ray diffraction method. As this device can measure the orientations of all crystal axes with high accuracy, it is possible to obtain new microstructure information on natural ice crystals. For the first time, we are able to quantify very low subgrain misorientation angles in polar icecore samples, allowing us to investigate micro-deformation features of individual crystals. Here we discuss the analysis process, which is customized to measure standard ice thin sections, and show preliminary results.</t>
  </si>
  <si>
    <t>[Miyamoto, Atsushi; Hondoh, Takeo] Hokkaido Univ, Inst Low Temp Sci, Sapporo, Hokkaido 0600819, Japan; [Weikusat, Ilka] Alfred Wegener Inst Polar &amp; Marine Res, D-27568 Bremerhaven, Germany</t>
  </si>
  <si>
    <t>Hokkaido University; Helmholtz Association; Alfred Wegener Institute, Helmholtz Centre for Polar &amp; Marine Research</t>
  </si>
  <si>
    <t>Miyamoto, A (corresponding author), Hokkaido Univ, Inst Low Temp Sci, Sapporo, Hokkaido 0600819, Japan.</t>
  </si>
  <si>
    <t>miyamoto@lowtem.hokudai.ac.jp</t>
  </si>
  <si>
    <t>HONDOH, Takeo/E-7551-2011; Weikusat, Ilka/E-8826-2015</t>
  </si>
  <si>
    <t>HONDOH, Takeo/0000-0003-4129-022X; Weikusat, Ilka/0000-0002-3023-6036</t>
  </si>
  <si>
    <t>Japanese Ministry of Education, Science, Sports and Culture [14GS0202]; Japan Society for the Promotion of Science [22540426]; German Science Foundation (DGF) [HA 5675/1-1]; Grants-in-Aid for Scientific Research [14GS0202, 22540426] Funding Source: KAKEN</t>
  </si>
  <si>
    <t>Japanese Ministry of Education, Science, Sports and Culture(Ministry of Education, Culture, Sports, Science and Technology, Japan (MEXT)); Japan Society for the Promotion of Science(Ministry of Education, Culture, Sports, Science and Technology, Japan (MEXT)Japan Society for the Promotion of Science); German Science Foundation (DGF)(German Research Foundation (DFG)); Grants-in-Aid for Scientific Research(Ministry of Education, Culture, Sports, Science and Technology, Japan (MEXT)Japan Society for the Promotion of ScienceGrants-in-Aid for Scientific Research (KAKENHI))</t>
  </si>
  <si>
    <t>This work was supported by Creative Scientific Research (No. 14GS0202) from the Japanese Ministry of Education, Science, Sports and Culture, by Grant-in-Aid for Scientific Research (C) (No. 22540426) from Japan Society for the Promotion of Science and by the German Science Foundation (DGF HA 5675/1-1). We thank S. Nakatsubo and M. Ohi for technical advice and assistance, including the design of the X-ray device and the shutter control instrument. We thank S. Horikawa for support on the Laue image-grabbing program and A. Hori for support on X-ray diffraction measurement. We express appreciation to all members of the GRIP (Greenland) and Dome Fuji ice-core drilling projects. We thank the scientific editor, T. H. Jacka, and three anonymous reviewers for valuable comments and suggestions which improved the manuscript.</t>
  </si>
  <si>
    <t>10.3189/002214311795306754</t>
  </si>
  <si>
    <t>Green Submitted, Bronze, Green Published</t>
  </si>
  <si>
    <t>WOS:000288526400010</t>
  </si>
  <si>
    <t>Weikusat, I; Miyamoto, A; Faria, SH; Kipfstuhl, S; Azuma, N; Hondoh, T</t>
  </si>
  <si>
    <t>Weikusat, Ilka; Miyamoto, Atsushi; Faria, Sergio H.; Kipfstuhl, Sepp; Azuma, Nobuhiko; Hondoh, Takeo</t>
  </si>
  <si>
    <t>Subgrain boundaries in Antarctic ice quantified by X-ray Laue diffraction</t>
  </si>
  <si>
    <t>MICROSTRUCTURAL FEATURES; CREEP; DISLOCATIONS; ORIENTATION; EVOLUTION; CRYSTALS; FABRICS; CORE</t>
  </si>
  <si>
    <t>Ice in polar ice sheets undergoes deformation during its flow towards the coast. Deformation and recrystallization microstructures such as subgrain boundaries can be observed and recorded using high-resolution light microscopy of sublimation-edged sample surfaces (microstructure mapping). Subgrain boundaries observed by microstructure mapping reveal characteristic shapes and arrangements. As these arrangements are related to the basal plane orientation, full crystallographic orientation measurements are needed for further characterization and interpretation of the subgrain boundary types. X-ray Laue diffraction measurements validate the sensitivity of different boundary types with sublimation used by microstructure mapping for the classification. X-ray Laue diffraction provides misorientation values of all four crystal axes. Line scans across a subgrain boundary pre-located by microstructure mapping can determine the rotation axis and angle. Together with the orientation of the subgrain boundary this yields information on the dislocation types. Tilt and twist boundaries composed of dislocations lying in the basal plane, and tilt boundaries composed of nonbasal dislocations were found. A statistical analysis shows that nonbasal dislocations play a significant role in the formation of all subgrain boundaries.</t>
  </si>
  <si>
    <t>[Weikusat, Ilka; Kipfstuhl, Sepp] Alfred Wegener Inst Polar &amp; Marine Res, D-27568 Bremerhaven, Germany; [Miyamoto, Atsushi; Hondoh, Takeo] Hokkaido Univ, Inst Low Temp Sci, Sapporo, Hokkaido 0600819, Japan; [Faria, Sergio H.] Univ Gottingen, Sect Crystallog, GZG, D-37077 Gottingen, Germany; [Azuma, Nobuhiko] Nagaoka Univ Technol, Dept Mech Engn, Nagaoka, Niigata 9402188, Japan</t>
  </si>
  <si>
    <t>Helmholtz Association; Alfred Wegener Institute, Helmholtz Centre for Polar &amp; Marine Research; Hokkaido University; University of Gottingen; Nagaoka University of Technology</t>
  </si>
  <si>
    <t>Weikusat, I (corresponding author), Alfred Wegener Inst Polar &amp; Marine Res, Columbusstr, D-27568 Bremerhaven, Germany.</t>
  </si>
  <si>
    <t>ilka.weikusat@awi.de</t>
  </si>
  <si>
    <t>HONDOH, Takeo/E-7551-2011; Faria, Sergio Henrique/K-9454-2013; Weikusat, Ilka/E-8826-2015</t>
  </si>
  <si>
    <t>HONDOH, Takeo/0000-0003-4129-022X; Faria, Sergio Henrique/0000-0002-8825-7518; Weikusat, Ilka/0000-0002-3023-6036</t>
  </si>
  <si>
    <t>German Science Foundation (DFG) [HA 5675/1-1, WE 4695/1-2]; Japanese Society for the Promotion of Science; EU; Grants-in-Aid for Scientific Research [22540426] Funding Source: KAKEN</t>
  </si>
  <si>
    <t>German Science Foundation (DFG)(German Research Foundation (DFG)); Japanese Society for the Promotion of Science(Ministry of Education, Culture, Sports, Science and Technology, Japan (MEXT)Japan Society for the Promotion of Science); EU(European Union (EU)); Grants-in-Aid for Scientific Research(Ministry of Education, Culture, Sports, Science and Technology, Japan (MEXT)Japan Society for the Promotion of ScienceGrants-in-Aid for Scientific Research (KAKENHI))</t>
  </si>
  <si>
    <t>This project was funded by the German Science Foundation (DFG HA 5675/1-1 and WE 4695/1-2) and supported by travel grants in the framework of a cooperation agreement between the German Science Foundation (DFG) and the Japanese Society for the Promotion of Science. 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United Kingdom. The main logistic support was provided by Institut Polaire Francais-Emile Victor (IPEV) and Programma Nazionale di Ricerche in Artartide (PNRA) (at Dome C) and the Alfred Wegner Institute (at Dronning Maud Land). This is EPICA publication No. 273. We thank P. Duval and D. Samyn for helpful comments and discussion.</t>
  </si>
  <si>
    <t>10.3189/002214311795306628</t>
  </si>
  <si>
    <t>Green Published, Bronze, Green Submitted</t>
  </si>
  <si>
    <t>WOS:000288526400011</t>
  </si>
  <si>
    <t>Brucker, L; Picard, G; Arnaud, L; Barnola, JM; Schneebeli, M; Brunjail, H; Lefebvre, E; Fily, M</t>
  </si>
  <si>
    <t>Brucker, Ludovic; Picard, Ghislain; Arnaud, Laurent; Barnola, Jean-Marc; Schneebeli, Martin; Brunjail, Helene; Lefebvre, Eric; Fily, Michel</t>
  </si>
  <si>
    <t>Modeling time series of microwave brightness temperature at Dome C, Antarctica, using vertically resolved snow temperature and microstructure measurements</t>
  </si>
  <si>
    <t>RADIATIVE-TRANSFER THEORY; QUASI-CRYSTALLINE APPROXIMATION; SURFACE-AREA; EMISSION MODEL; DRY SNOW; INFRARED REFLECTANCE; CORRELATION LENGTH; GRAIN-SIZE; 77 K; SCATTERING</t>
  </si>
  <si>
    <t>Time series of observed microwave brightness temperatures at Dome C, East Antarctic plateau, were modeled over 27 months with a multilayer microwave emission model based on dense-medium radiative transfer theory. The modeled time series of brightness temperature at 18.7 and 36.5 GHz were compared with Advanced Microwave Scanning Radiometer-EOS observations. The model uses in situ high-resolution vertical profiles of temperature, snow density and grain size. The snow grain-size profile was derived from near-infrared (NIR) reflectance photography of a snow pit wall in the range 850-1100 nm. To establish the snow grain-size profile, from the NIR reflectance and the specific surface area of snow, two empirical relationships and a theoretical relationship were considered. In all cases, the modeled brightness temperatures were overestimated, and the grain-size profile had to be scaled to increase the scattering by snow grains. Using a scaling factor and a constant snow grain size below 3 m depth (i.e. below the image-derived snow pit grain-size profile), brightness temperatures were explained with a root-mean-square error close to 1 K. Most of this error is due to an overestimation of the predicted brightness temperature in summer at 36.5 GHz.</t>
  </si>
  <si>
    <t>[Brucker, Ludovic; Picard, Ghislain; Arnaud, Laurent; Barnola, Jean-Marc; Brunjail, Helene; Lefebvre, Eric; Fily, Michel] Univ Grenoble 1, CNRS, Lab Glaciol &amp; Geophys Environm, F-38402 St Martin Dheres, France; [Schneebeli, Martin] WSL Inst Snow &amp; Avalanche Res SLF, CH-7260 Davos, Switzerland</t>
  </si>
  <si>
    <t>Communaute Universite Grenoble Alpes; Universite Grenoble Alpes (UGA); Centre National de la Recherche Scientifique (CNRS); Swiss Federal Institutes of Technology Domain; Swiss Federal Institute for Forest, Snow &amp; Landscape Research</t>
  </si>
  <si>
    <t>Brucker, L (corresponding author), Univ Grenoble 1, CNRS, Lab Glaciol &amp; Geophys Environm, 54 Rue Moliere,BP 96, F-38402 St Martin Dheres, France.</t>
  </si>
  <si>
    <t>lbrucker@lgge.obs.ujf-grenoble.fr</t>
  </si>
  <si>
    <t>Brucker, Ludovic/L-5412-2019; Brucker, Ludovic/A-8029-2010; Schneebeli, Martin/B-1063-2008; Brucker, Ludovic/ACJ-3763-2022; Picard, Ghislain/D-4246-2013</t>
  </si>
  <si>
    <t>Brucker, Ludovic/0000-0001-7102-8084; Schneebeli, Martin/0000-0003-2872-4409; Picard, Ghislain/0000-0003-1475-5853; arnaud, laurent/0000-0002-4432-4205</t>
  </si>
  <si>
    <t>French remote-sensing program (Programme National de Teledetection Spatiale); programs INSU-CNRS; Agence Nationale de la Recherche [ANR-07-VULN-013 VANISH]; Centre National d'Etudes Spatiales (CNES); French polar institute; SATW 'Germaine de Stael'</t>
  </si>
  <si>
    <t>French remote-sensing program (Programme National de Teledetection Spatiale); programs INSU-CNRS; Agence Nationale de la Recherche(Agence Nationale de la Recherche (ANR)); Centre National d'Etudes Spatiales (CNES)(Centre National D'etudes Spatiales); French polar institute; SATW 'Germaine de Stael'</t>
  </si>
  <si>
    <t>This work was supported by the French remote-sensing program (Programme National de Teledetection Spatiale), the programs INSU-CNRS (LEFE NIEVE and Meso equipement Glacio Concordia) and the project of the Agence Nationale de la Recherche (ANR-07-VULN-013 VANISH). We thank Centre National d'Etudes Spatiales (CNES) for funding for the program API-THORPEX-CONCORDIASI and the French polar institute, IPEV, for logistical support. M.S. was supported by a grant from SATW 'Germaine de Stael'.</t>
  </si>
  <si>
    <t>10.3189/002214311795306736</t>
  </si>
  <si>
    <t>Green Submitted, Green Accepted, Bronze</t>
  </si>
  <si>
    <t>WOS:000288526400016</t>
  </si>
  <si>
    <t>Herman, F; Anderson, B; Leprince, S</t>
  </si>
  <si>
    <t>Herman, Frederic; Anderson, Brian; Leprince, Sebastien</t>
  </si>
  <si>
    <t>Mountain glacier velocity variation during a retreat/advance cycle quantified using sub-pixel analysis of ASTER images</t>
  </si>
  <si>
    <t>TASMAN GLACIER; CLIMATE-CHANGE; NEW-ZEALAND; SUBGLACIAL WATER; SURFACE VELOCITY; SAINT-SORLIN; FLOW; DEFORMATION; DYNAMICS; TERRAIN</t>
  </si>
  <si>
    <t>Coverage of ice velocities in the central part of the Southern Alps, New Zealand, is obtained from feature tracking using repeat optical imagery in 2002 and 2006. Precise orthorectification, co-registration and correlation is carried out using the freely available software COSI-Corr. This analysis, combined with short times between image acquisitions, has enabled velocities to be captured even in the accumulation areas, where velocities are lowest and surface features ephemeral. The results indicate large velocities for mountain glaciers (i.e. up to similar to 5 m d(-1)) as well as dynamic changes in some glaciers that have occurred between 2002 and 2006. For the steep and more responsive Fox and Franz Josef Glaciers the speed increased at the glacier snout during the advance period, while the low-angled and debris-covered Tasman Glacier showed no measurable velocity change. Velocity increases on the steeper glaciers are the result of an observed thickening and steepening of the glacier tongues as they moved from a retreat phase in 2002 to an advance phase in 2006. This contrasting behaviour is consistent with historic terminus position changes. The steeper glaciers have undergone several advance/retreat cycles during the observation period (1894 to present), while the low-angled glacier showed little terminus response until retreat resulting from the accelerating growth of a proglacial lake commenced in 1983.</t>
  </si>
  <si>
    <t>[Herman, Frederic] ETH, Inst Geol, CH-8092 Zurich, Switzerland; [Anderson, Brian] Victoria Univ Wellington, Antarctic Res Ctr, Wellington, New Zealand; [Leprince, Sebastien] CALTECH, Div Geol &amp; Planetary Sci, Pasadena, CA 91109 USA</t>
  </si>
  <si>
    <t>Swiss Federal Institutes of Technology Domain; ETH Zurich; Victoria University Wellington; California Institute of Technology</t>
  </si>
  <si>
    <t>Herman, F (corresponding author), ETH, Inst Geol, Sonneggstr 5,NO E31, CH-8092 Zurich, Switzerland.</t>
  </si>
  <si>
    <t>frederic@erdw.ethz.ch</t>
  </si>
  <si>
    <t>Herman, Frederic/0000-0002-7237-4656</t>
  </si>
  <si>
    <t>US National Science Foundation (NSF) [EAR-0636097]; Gordon and Betty Moore Foundation</t>
  </si>
  <si>
    <t>US National Science Foundation (NSF)(National Science Foundation (NSF)); Gordon and Betty Moore Foundation(Gordon and Betty Moore Foundation)</t>
  </si>
  <si>
    <t>The surface elevation data on Franz Josef Glacier were collected by I. Owens. Terminus position data from Fox Glacier were collected by H. Purdie, and the Tasman Lake growth data were recorded by T. Chinn. S.L. was partially supported by US National Science Foundation (NSF) grant EAR-0636097 and the Gordon and Betty Moore Foundation. We thank B. Brock, M. Gudmundsson and an anonymous reviewer for their constructive reviews.</t>
  </si>
  <si>
    <t>10.3189/002214311796405942</t>
  </si>
  <si>
    <t>WOS:000294083700001</t>
  </si>
  <si>
    <t>Sime, LC; Hindmarsh, RCA; Corr, H</t>
  </si>
  <si>
    <t>Sime, Louise C.; Hindmarsh, Richard C. A.; Corr, Hugh</t>
  </si>
  <si>
    <t>Automated processing to derive dip angles of englacial radar reflectors in ice sheets</t>
  </si>
  <si>
    <t>ACCUMULATION PATTERN; WEST ANTARCTICA; MODEL; INFERENCE; STREAM; LAYERS</t>
  </si>
  <si>
    <t>We present a novel automated processing method for obtaining layer dip from radio-echo sounding (RES) data. The method is robust, easily applicable and can be used to process large (several terabytes) ground and airborne RES datasets using modest computing resources. We give test results from the application of the method to two Antarctic datasets: the Fletcher Promontory ground-based radar dataset and the Wilkes Subglacial Basin airborne radar dataset. The automated RES processing (ARESP) method comprises the basic steps: (1) RES noise reduction; (2) radar layer identification; (3) isolation of individual 'layer objects'; (4) measurement of orientation and other object properties; (5) elimination of noise in the orientation data; and (6) collation of the valid dip information. The apparent dip datasets produced by the method will aid glaciologists seeking to understand ice-flow dynamics in Greenland and Antarctica: ARESP could enable a shift from selective regional case studies to ice-sheet-scale studies.</t>
  </si>
  <si>
    <t>[Sime, Louise C.; Hindmarsh, Richard C. A.; Corr, Hugh] British Antarctic Survey, Natl Environm Res Council, Cambridge CB3 0ET, England</t>
  </si>
  <si>
    <t>Sime, LC (corresponding author), British Antarctic Survey, Natl Environm Res Council, Madingley Rd, Cambridge CB3 0ET, England.</t>
  </si>
  <si>
    <t>lsim@bas.ac.uk</t>
  </si>
  <si>
    <t>Corr, Hugh/C-5398-2011; Hindmarsh, Richard/N-1195-2019; Sime, Louise/F-8058-2012; Sime, Louise/AAX-7730-2021</t>
  </si>
  <si>
    <t>Hindmarsh, Richard/0000-0003-1633-2416; Sime, Louise/0000-0002-9093-7926; Sime, Louise/0000-0002-9093-7926</t>
  </si>
  <si>
    <t>UK Natural Environment Research Council; NERC [bas0100024] Funding Source: UKRI; Natural Environment Research Council [bas0100024]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</si>
  <si>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</si>
  <si>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K. Matsuoka and an anonymous reviewer for insightful reviews which improved the manuscript. This study is part of the BAS Polar Science for Planet Earth Programme. It was funded by the UK Natural Environment Research Council.</t>
  </si>
  <si>
    <t>10.3189/002214311796405870</t>
  </si>
  <si>
    <t>WOS:000294083700007</t>
  </si>
  <si>
    <t>Ye, SB; Zhou, B; Wu, BH; Zhao, B; Fang, GY</t>
  </si>
  <si>
    <t>Ye, Shengbo; Zhou, Bin; Wu, Bingheng; Zhao, Bo; Fang, Guangyou</t>
  </si>
  <si>
    <t>An improved transient-type ice-penetrating radar</t>
  </si>
  <si>
    <t>US-ITASE TRAVERSE; WEST ANTARCTICA; LOW-FREQUENCY; GLACIERS; SYSTEM; DOME</t>
  </si>
  <si>
    <t>A low-cost, compact, short-pulse ice-penetrating radar (IPR) system with a center frequency of 50 MHz for sounding glacier topography is presented. The radar was developed to measure ice thickness and to image internal structures and basal conditions of glaciers and ice sheets with a maximum range of similar to 16000 ns and a depth resolution better than 2.5 m. The receiver of the IPR system employs asynchronous operation mode, avoiding the need for a cable between the transmitter and receiver. A new sampling technology using a high-speed field programmable gate array, which implements a 256-trace stacking algorithm to realize the analog-to-digital conversion, both simplifies the structure of the receiver and increases the sampling efficiency. The power consumption of the whole receiver is &lt;1.5 W, which can be supplied by a laptop computer. Test measurements were made during the 5th China Expedition to the Grove Mountains in East Antarctica. Field tests show the capability of this system to measure ice thickness up to 650 m and to define internal layers within the ice body.</t>
  </si>
  <si>
    <t>[Ye, Shengbo; Zhou, Bin; Wu, Bingheng; Zhao, Bo; Fang, Guangyou] Chinese Acad Sci, Inst Elect, Key Lab Electromagnet Radiat &amp; Detect Technol, Beijing 100190, Peoples R China; [Ye, Shengbo; Zhou, Bin; Wu, Bingheng] Chinese Acad Sci, Grad Univ, Beijing 100190, Peoples R China</t>
  </si>
  <si>
    <t>Chinese Academy of Sciences; Institute of Electronics, CAS; Chinese Academy of Sciences; University of Chinese Academy of Sciences, CAS</t>
  </si>
  <si>
    <t>Ye, SB (corresponding author), Chinese Acad Sci, Inst Elect, Key Lab Electromagnet Radiat &amp; Detect Technol, Beijing 100190, Peoples R China.</t>
  </si>
  <si>
    <t>gyfang@mail.ie.ac.cn</t>
  </si>
  <si>
    <t>bo, zhao/JRY-8300-2023</t>
  </si>
  <si>
    <t>National High Technology Research and Development Program of China [2008AA121702-3]; National Natural Science Foundation of China [40976114]</t>
  </si>
  <si>
    <t>We thank the Polar Office of National Marine Bureau for organization of the 26th China Antarctic Expedition. We thank those who participated in the 5th China Grove Mountains Expedition and assisted in the IPR field survey. This work is supported by the National High Technology Research and Development Program of China (grant No. 2008AA121702-3) and the National Natural Science Foundation of China (grant No. 40976114).</t>
  </si>
  <si>
    <t>10.3189/002214311796405861</t>
  </si>
  <si>
    <t>WOS:000294083700011</t>
  </si>
  <si>
    <t>Pralong, MR; Gudmundsson, GH</t>
  </si>
  <si>
    <t>Pralong, Melanie Raymond; Gudmundsson, G. Hilmar</t>
  </si>
  <si>
    <t>Bayesian estimation of basal conditions on Rutford Ice Stream, West Antarctica, from surface data</t>
  </si>
  <si>
    <t>The determination of basal properties on ice streams from surface data is formulated as a Bayesian statistical inference problem. The theory is applied to a flowline on Rutford Ice Stream, West Antarctica. Estimates of bed topography and basal slipperiness are updated using measurements of surface topography and the horizontal and vertical components of the surface velocity. The surface topography is allowed to vary within measurement errors. We calculate the transient evolution of the surface until rates of surface elevation change are within limits given by measurements. For our final estimation of basal properties, modelled rates of elevation change are in full agreement with estimates of surface elevation changes. Results are discarded from a section of the flowline where the distribution of surface residuals is not consistent with error estimates. Apart from a general increase in basal slipperiness toward the grounding line, we find no evidence for any spatial variations in basal slipperiness. In particular, we find that short-scale variability (&lt;10 x ice thickness) in surface topography and surface velocities can be reproduced by the model by variations in basal topography only. Assuming steady-state conditions, an almost perfect agreement is found between modelled and measured surface geometry, suggesting that Rutford Ice Stream is currently close to a steady state.</t>
  </si>
  <si>
    <t>[Pralong, Melanie Raymond] Swiss Fed Inst Technol, Versuchsanstalt Wasserbau Hydrol &amp; Glaziol VAW, CH-8092 Zurich, Switzerland; [Gudmundsson, G. Hilmar] British Antarctic Survey, Nat Environm Res Council, Cambridge CB3 0ET, England</t>
  </si>
  <si>
    <t>Swiss Federal Institutes of Technology Domain; ETH Zurich; UK Research &amp; Innovation (UKRI); Natural Environment Research Council (NERC); NERC British Antarctic Survey</t>
  </si>
  <si>
    <t>Pralong, MR (corresponding author), Swiss Fed Res Inst WSL, Zurcherstr 111, CH-8903 Birmensdorf, Switzerland.</t>
  </si>
  <si>
    <t>melanie.raymond@wsl.ch</t>
  </si>
  <si>
    <t>Gudmundsson, Gudmundur Hilmar/AAU-5987-2020; Raymond Pralong, Mélanie/I-5000-2016; Gudmundsson, Gudmundur Hilmar/F-6499-2012</t>
  </si>
  <si>
    <t>UK Natural Environment Research Council (NERC) Geophysical Equipment Facility (GEF) [711]; ETH [0-20054-02]; NERC [bas0100027] Funding Source: UKRI; Natural Environment Research Council [bas0100027] Funding Source: researchfish</t>
  </si>
  <si>
    <t>UK Natural Environment Research Council (NERC) Geophysical Equipment Facility (GEF)(UK Research &amp; Innovation (UKRI)Natural Environment Research Council (NERC)); ETH(ETH Zurich); NERC(UK Research &amp; Innovation (UKRI)Natural Environment Research Council (NERC)); Natural Environment Research Council(UK Research &amp; Innovation (UKRI)Natural Environment Research Council (NERC))</t>
  </si>
  <si>
    <t>This study was supported by UK Natural Environment Research Council (NERC) Geophysical Equipment Facility (GEF) grant No. 711 and ETH research grant No. 0-20054-02. We thank two anonymous reviewers for constructive and helpful reviews.</t>
  </si>
  <si>
    <t>10.3189/002214311796406004</t>
  </si>
  <si>
    <t>WOS:000294083700013</t>
  </si>
  <si>
    <t>Glasser, NF; Scambos, TA; Bohlander, J; Truffer, M; Pettit, E; Davies, BJ</t>
  </si>
  <si>
    <t>Glasser, N. F.; Scambos, T. A.; Bohlander, J.; Truffer, M.; Pettit, E.; Davies, B. J.</t>
  </si>
  <si>
    <t>From ice-shelf tributary to tidewater glacier: continued rapid recession, acceleration and thinning of Rohss Glacier following the 1995 collapse of the Prince Gustav Ice Shelf, Antarctic Peninsula</t>
  </si>
  <si>
    <t>BREAK-UP; RETREAT; CLIMATE; DISINTEGRATION; STABILITY; GREENLAND; DYNAMICS; SHEET</t>
  </si>
  <si>
    <t>We use optical (ASTER and Landsat) and radar (ERS-1 and ERS-2) satellite imagery to document changes in the Prince Gustav Ice Shelf, Antarctic Peninsula, and its tributary glaciers before and after its January 1995 collapse. The satellite image record captures the transition from an ice-shelf glacier system to a tidewater glacial system and the subsequent rapid retreat and inferred 'fatal' negative mass balances that occur as lower glacier elevations lead to higher ablation and tidewater-style calving collapse. Pre-1995 images show that the central ice shelf was fed primarily by Sjogren Glacier flowing from the Antarctic Peninsula and by Rohss Glacier flowing from James Ross Island. Numerous structural discontinuities (rifts and crevasses) and melt ponds were present on the ice shelf before the collapse. After the ice shelf collapsed, Rohss Glacier retreated rapidly, becoming a tidewater glacier in 2002 and receding a total of similar to 15 km between January 2001 and March 2009, losing &gt;70% of its area. Topographic profiles of Rohss Glacier from ASTER-derived digital elevation models show a thinning of up to 150 m, and surface speeds increased up to ninefold (0.1-0.9 m d(-1)) over the same period. The rates of speed increase and elevation loss, however, are not monotonic; both rates slowed between late 2002 and 2005, accelerated in 2006 and slowed again in 2008-09. We conclude that tributary glaciers react to ice-shelf removal by rapid (if discontinuous) recession, and that the response of tidewater glaciers on the Antarctic Peninsula to ice-shelf removal occurs over timescales ranging from sub-annual to decadal.</t>
  </si>
  <si>
    <t>[Glasser, N. F.; Davies, B. J.] Aberystwyth Univ, Inst Geog &amp; Earth Sci, Ctr Glaciol, Aberystwyth SY23 3DB, Dyfed, Wales; [Scambos, T. A.; Bohlander, J.] Univ Colorado, CIRES, Natl Snow &amp; Ice Data Ctr, Boulder, CO 80309 USA; [Truffer, M.] Univ Alaska Fairbanks, Inst Geophys, Fairbanks, AK 99775 USA; [Pettit, E.] Univ Alaska Fairbanks, Dept Geol &amp; Geophys, Fairbanks, AK 99775 USA</t>
  </si>
  <si>
    <t>Aberystwyth University; University of Colorado System; University of Colorado Boulder; University of Alaska System; University of Alaska Fairbanks; University of Alaska System; University of Alaska Fairbanks</t>
  </si>
  <si>
    <t>Glasser, NF (corresponding author), Aberystwyth Univ, Inst Geog &amp; Earth Sci, Ctr Glaciol, Aberystwyth SY23 3DB, Dyfed, Wales.</t>
  </si>
  <si>
    <t>nfg@aber.ac.uk</t>
  </si>
  <si>
    <t>Glasser, Neil F/C-1971-2012</t>
  </si>
  <si>
    <t>Glasser, Neil/0000-0002-8245-2670; Davies, Bethan/0000-0002-8636-1813; SCAMBOS, Ted A./0000-0003-4268-6322; Pettit, Erin Christine/0000-0002-6765-9841</t>
  </si>
  <si>
    <t>US-UK Fulbright Commission; Cooperative Institute for Research in Environmental Sciences (CIRES); UK Natural Environment Research Council [NE/F012942/1]; NERC [NE/F012942/1] Funding Source: UKRI; Natural Environment Research Council [NE/F012942/1] Funding Source: researchfish; Directorate For Geosciences; Office of Polar Programs (OPP) [0855265] Funding Source: National Science Foundation</t>
  </si>
  <si>
    <t>US-UK Fulbright Commission; Cooperative Institute for Research in Environmental Sciences (CIRES);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</si>
  <si>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N.F.G. acknowledges financial support for this project from the US-UK Fulbright Commission and a Cooperative Institute for Research in Environmental Sciences (CIRES) Fellowship. NASA provided no-cost access to ASTER imagery through their LP DAAC User Services. We thank two anonymous reviewers for their comments. We also acknowledge the LARISSA (LARsen Ice Shelf System, Antarctica) project for logistical support. The UK Natural Environment Research Council also provided financial support for the work (NE/F012942/1).</t>
  </si>
  <si>
    <t>10.3189/002214311796905578</t>
  </si>
  <si>
    <t>799YX</t>
  </si>
  <si>
    <t>WOS:000293324300002</t>
  </si>
  <si>
    <t>Morris, EM; Wingham, DJ</t>
  </si>
  <si>
    <t>Morris, Elizabeth M.; Wingham, Duncan J.</t>
  </si>
  <si>
    <t>The effect of fluctuations in surface density, accumulation and compaction on elevation change rates along the EGIG line, central Greenland</t>
  </si>
  <si>
    <t>FIRN DENSIFICATION; ICE-SHEET; SUMMIT; SNOW</t>
  </si>
  <si>
    <t>Repeated measurements of density profiles and surface elevation along a 515 km section of the Greenland ice sheet have been used to determine elevation change rates and the error in determining mass balance from these rates which arises from short-term fluctuations in mass input, compaction and surface density. Over the 28 months from spring 2004 to summer 2006 the average error over 100 km sections of the traverse ranged from -0.006 to 0.100 m a(-1). The lowest values, comparable with the system accuracy of the CryoSat radar altimeter (0.033 m a(-1)), were found below 3000 m. The surface density required to translate the elevation change into mass change decreased from 0.40 g cm(-3) at an elevation of 2348 m to 0.33 g cm(-3) at an elevation of 3264 m. From the density profiles the equivalent values for a time period of 10 years were found to be 0.48 and 0.38 g cm(-3), respectively.</t>
  </si>
  <si>
    <t>[Morris, Elizabeth M.] Univ Cambridge, Scott Polar Res Inst, Cambridge CB2 1ER, England; [Wingham, Duncan J.] UCL, Ctr Polar Observat &amp; Modelling, London WC1E 6BT, England</t>
  </si>
  <si>
    <t>University of Cambridge; University of London; University College London</t>
  </si>
  <si>
    <t>Morris, EM (corresponding author), Univ Cambridge, Scott Polar Res Inst, Lensfield Rd, Cambridge CB2 1ER, England.</t>
  </si>
  <si>
    <t>emm36@cam.ac.uk</t>
  </si>
  <si>
    <t>Morris, Elizabeth M/A-6081-2012</t>
  </si>
  <si>
    <t>ESA; UK Natural Environment Research Council (NERC) [NER/O/S/2003/00620]; NERC [cpom20001] Funding Source: UKRI; Natural Environment Research Council [earth010006, cpom20001] Funding Source: researchfish</t>
  </si>
  <si>
    <t>ESA(European Space Agency); UK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</si>
  <si>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This project is a contribution to the calibration and validation of the ESA CryoSat satellite altimeter and is supported by ESA and by UK Natural Environment Research Council (NERC) Consortium grant NER/O/S/2003/00620. We thank the British Antarctic Survey for the loan of a Trimble geodetic GPS survey system in spring 2004 and the NERC Geophysical Equipment Facilty for the loan of a Leica system for the two traverses in 2006. Logistic support for the traverses was provided by Air Greenland and Veco Polar Resources. G. Somers, J. Pailthorpe, H. Chamberlain and M. Hignell gave invaluable assistance in the field and T. Benham provided Figure 1. Finally we thank M.T. Gudmundsson and two anonymous reviewers for extensive and helpful comments on an earlier version of the paper.</t>
  </si>
  <si>
    <t>10.3189/002214311796905613</t>
  </si>
  <si>
    <t>WOS:000293324300004</t>
  </si>
  <si>
    <t>Griggs, JA; Bamber, JL</t>
  </si>
  <si>
    <t>Griggs, J. A.; Bamber, J. L.</t>
  </si>
  <si>
    <t>Antarctic ice-shelf thickness from satellite radar altimetry</t>
  </si>
  <si>
    <t>DIGITAL ELEVATION MODEL; MARINE ICE; FREEZING BENEATH; THWAITES GLACIER; GROUNDING ZONE; LASER DATA; MASS-LOSS; CLIMATE; VALIDATION; GREENLAND</t>
  </si>
  <si>
    <t>Ice-shelf thickness is an important boundary condition for ice-sheet and sub-ice-shelf cavity modelling. It is required near the grounding line to calculate the ice flux used to determine ice-sheet mass balance by comparison with the upstream accumulation. In this mass budget approach, the accuracy of the ice thickness is one of the limiting factors in the calculation. We present a satellite retrieval of the ice thickness for all Antarctic ice shelves using satellite radar altimeter data from the geodetic phases of the European Remote-sensing Satellite (ERS-1) during 1994-95 supplemented by ICESat data for regions south of the ERS-1 latitudinal limit. Surface elevations derived from these instruments are interpolated on to regular grids using kriging, and converted to ice thicknesses using a modelled firn-density correction. The availability of a new spatial variable firn-density correction significantly reduces the error in ice thickness as this was previously the dominant error source. Comparison to airborne data shows good agreement, particularly when compared to SOAR CASERTZ data on the largest ice shelves. Biases range from -13.0 m for areas where the assumption of hydrostatic equilibrium breaks down, to 53.4m in regions where marine ice may be present.</t>
  </si>
  <si>
    <t>[Griggs, J. A.; Bamber, J. L.] Univ Bristol, Sch Geog Sci, Bristol Glaciol Ctr, Bristol BS8 1SS, Avon, England</t>
  </si>
  <si>
    <t>Griggs, JA (corresponding author), Univ Bristol, Sch Geog Sci, Bristol Glaciol Ctr, Univ Rd, Bristol BS8 1SS, Avon, England.</t>
  </si>
  <si>
    <t>j.griggs@bristol.ac.uk</t>
  </si>
  <si>
    <t>Bamber, Jonathan/C-7608-2011</t>
  </si>
  <si>
    <t>Bamber, Jonathan/0000-0002-2280-2819</t>
  </si>
  <si>
    <t>UK Natural Environment Research Council (NERC) [NE/E004032/1]; European Commission [226375, 27]; US National Science Foundation (NSF) Office of Polar Programs (OPP) [OPP-9120464, 9319369, 9319379]; NSF/OPP [9319379]; NSF [NSF OPP 961 5281]; Directorate For Geosciences; Office of Polar Programs (OPP) [9319379] Funding Source: National Science Foundation; Office of Polar Programs; Office Of The Director [9319369] Funding Source: National Science Foundation; Natural Environment Research Council [NE/E004032/1] Funding Source: researchfish; NERC [NE/E004032/1] Funding Source: UKRI</t>
  </si>
  <si>
    <t>UK Natural Environment Research Council (NERC)(UK Research &amp; Innovation (UKRI)Natural Environment Research Council (NERC)); European Commission(European Union (EU)European Commission Joint Research Centre); US National Science Foundation (NSF) Office of Polar Programs (OPP)(National Science Foundation (NSF)); NSF/OPP(National Science Foundation (NSF)NSF - Directorate for Geosciences (GEO)); NSF(National Science Foundation (NSF)); Directorate For Geosciences; Office of Polar Programs (OPP)(National Science Foundation (NSF)NSF - Directorate for Geosciences (GEO)); Office of Polar Programs; Office Of The Director(National Science Foundation (NSF)NSF - Directorate for Geosciences (GEO)NSF - Office of the Director (OD)); Natural Environment Research Council(UK Research &amp; Innovation (UKRI)Natural Environment Research Council (NERC)); NERC(UK Research &amp; Innovation (UKRI)Natural Environment Research Council (NERC))</t>
  </si>
  <si>
    <t>This work was funded by UK Natural Environment Research Council (NERC) grant NE/E004032/1. We acknowledge the ice2sea project, funded by the European Commission's 7th Framework Programme through grant No. 226375, ice2sea manuscript No. 27. We thank H.J. Zwally for the elevation change data and M. van den Broeke for providing the firn correction. We also thank all the airborne data providers for allowing us access. The SOAR data are based on work supported by the US National Science Foundation (NSF) Office of Polar Programs (OPP) under grants OPP-9120464, 9319369 and 9319379. RGB data were from the University of Texas Institute for Geophysics collected under grant NSF/OPP award No. 9319379. WMB data were funded by NSF contract NSF OPP 961 5281 and obtained from NSIDC. We thank H.A. Fricker and an anonymous reviewer for their helpful comments which substantially improved the manuscript.</t>
  </si>
  <si>
    <t>10.3189/002214311796905659</t>
  </si>
  <si>
    <t>WOS:000293324300011</t>
  </si>
  <si>
    <t>Bindschadler, R; Vaughan, DG; Vornberger, P</t>
  </si>
  <si>
    <t>Bindschadler, Robert; Vaughan, David G.; Vornberger, Patricia</t>
  </si>
  <si>
    <t>Variability of basal melt beneath the Pine Island Glacier ice shelf, West Antarctica</t>
  </si>
  <si>
    <t>SHEET; ACCELERATION; COLLAPSE</t>
  </si>
  <si>
    <t>Observations from satellite and airborne platforms are combined with model calculations to infer the nature and efficiency of basal melting of the Pine Island Glacier ice shelf, West Antarctica, by ocean waters. Satellite imagery shows surface features that suggest ice-shelf-wide changes to the ocean's influence on the ice shelf as the grounding line retreated. Longitudinal profiles of ice surface and bottom elevations are analyzed to reveal a spatially dependent pattern of basal melt with an annual melt flux of 40.5 Gt a(-1). One profile captures a persistent set of surface waves that correlates with quasi-annual variations of atmospheric forcing of Amundsen Sea circulation patterns, establishing a direct connection between atmospheric variability and sub-ice-shelf melting. Ice surface troughs are hydrostatically compensated by ice-bottom voids up to 150 m deep. Voids form dynamically at the grounding line, triggered by enhanced melting when warmer-than-average water arrives. Subsequent enlargement of the voids is thermally inefficient (4% or less) compared with an overall melting efficiency beneath the ice shelf of 22%. Residual warm water is believed to cause three persistent polynyas at the ice-shelf front seen in Landsat imagery. Landsat thermal imagery confirms the occurrence of warm water at the same locations.</t>
  </si>
  <si>
    <t>[Bindschadler, Robert] NASA, Greenbelt, MD 20771 USA; [Bindschadler, Robert] Univ Maryland Baltimore Cty, NASA Goddard Space Flight Ctr, Greenbelt, MD 20771 USA; [Vaughan, David G.] British Antarctic Survey, Nat Environm Res Council, Cambridge CB3 0ET, England; [Vornberger, Patricia] Sci Applicat Int Corp, Beltsville, MD 20705 USA</t>
  </si>
  <si>
    <t>National Aeronautics &amp; Space Administration (NASA); University System of Maryland; University of Maryland Baltimore County; National Aeronautics &amp; Space Administration (NASA); NASA Goddard Space Flight Center; UK Research &amp; Innovation (UKRI); Natural Environment Research Council (NERC); NERC British Antarctic Survey; Science Applications International Corporation (SAIC)</t>
  </si>
  <si>
    <t>Bindschadler, R (corresponding author), NASA, Code 614-0, Greenbelt, MD 20771 USA.</t>
  </si>
  <si>
    <t>Vaughan, David/C-8348-2011</t>
  </si>
  <si>
    <t>Vaughan, David/0000-0002-9065-0570</t>
  </si>
  <si>
    <t>NASA [509496.02.08.01.68]; US National Science Foundation (NSF) Office of Polar Programs (OPP) [0732906]; Directorate For Geosciences [0732906] Funding Source: National Science Foundation; Office of Polar Programs (OPP) [0732906] Funding Source: National Science Foundation</t>
  </si>
  <si>
    <t>NASA(National Aeronautics &amp; Space Administration (NASA)); US National Science Foundation (NSF) Office of Polar Programs (OPP)(National Science Foundation (NSF)); Directorate For Geosciences(National Science Foundation (NSF)NSF - Directorate for Geosciences (GEO)); Office of Polar Programs (OPP)(National Science Foundation (NSF)NSF - Directorate for Geosciences (GEO))</t>
  </si>
  <si>
    <t>Special thanks to B. Thomas who, to our knowledge, was the first to identify the quasi-annual character of the interesting waves on the south profile. A. Jenkins kindly provided the detailed model results from the ocean-modeling work of Thoma and others (2008). Detailed and constructive reviews of an early manuscript were provided by I. Joughin, M. Thoma and A. Jenkins. Funding for the research came from NASA grant No. 509496.02.08.01.68 and US National Science Foundation (NSF) Office of Polar Programs (OPP) grant No. 0732906.</t>
  </si>
  <si>
    <t>10.3189/002214311797409802</t>
  </si>
  <si>
    <t>WOS:000295019400001</t>
  </si>
  <si>
    <t>Fegyveresi, JM; Alley, RB; Spencer, MK; Fitzpatrick, JJ; Steig, EJ; White, JWC; McConnell, JR; Taylor, KC</t>
  </si>
  <si>
    <t>Fegyveresi, J. M.; Alley, R. B.; Spencer, M. K.; Fitzpatrick, J. J.; Steig, E. J.; White, J. W. C.; McConnell, J. R.; Taylor, K. C.</t>
  </si>
  <si>
    <t>Late-Holocene climate evolution at the WAIS Divide site, West Antarctica: bubble number-density estimates</t>
  </si>
  <si>
    <t>ICE-SHEET SURFACE; POLAR ICE; AIR; GREENLAND; CORE; LAYERS; FIRN</t>
  </si>
  <si>
    <t>A surface cooling of similar to 1.7 degrees C occurred over the similar to two millennia prior to similar to 1700 CE at the West Antarctic ice sheet (WAIS) Divide site, based on trends in observed bubble number-density of samples from the WDC06A ice core, and on an independently constructed accumulation-rate history using annual-layer dating corrected for density variations and thinning from ice flow. Density increase and grain growth in polar firn are both controlled by temperature and accumulation rate, and the integrated effects are recorded in the number-density of bubbles as the firn changes to ice. Number-density is conserved in bubbly ice following pore close-off, allowing reconstruction of either paleotemperature or paleo-accumulation rate if the other is known. A quantitative late-Holocene paleoclimate reconstruction is presented for West Antarctica using data obtained from the WAIS Divide WDC06A ice core and a steady-state bubble number-density model. The resultant temperature history agrees closely with independent reconstructions based on stable-isotopic ratios of ice. The similar to 1.7 degrees C cooling trend observed is consistent with a decrease in Antarctic summer duration from changing orbital obliquity, although it remains possible that elevation change at the site contributed part of the signal. Accumulation rate and temperature dropped together, broadly consistent with control by saturation vapor pressure.</t>
  </si>
  <si>
    <t>[Fegyveresi, J. M.; Alley, R. B.] Penn State Univ, Dept Geosci, University Pk, PA 16802 USA; [Fegyveresi, J. M.; Alley, R. B.] Earth &amp; Environm Syst Inst, University Pk, PA 16802 USA; [Spencer, M. K.] Lake Super State Univ, Dept Geol &amp; Phys, Sault Ste Marie, MI 49783 USA; [Fitzpatrick, J. J.] US Geol Survey, Geol &amp; Environm Change Sci Ctr, Denver, CO 80225 USA; [Steig, E. J.] Univ Washington, Dept Earth &amp; Space Sci, Seattle, WA 98195 USA; [Steig, E. J.] Univ Washington, Quaternary Res Ctr, Seattle, WA 98195 USA; [White, J. W. C.] Univ Colorado, Inst Arctic &amp; Alpine Res, UCB 450, Boulder, CO 80309 USA; [McConnell, J. R.; Taylor, K. C.] Desert Res Inst, Reno, NV 89512 USA</t>
  </si>
  <si>
    <t>Pennsylvania Commonwealth System of Higher Education (PCSHE); Pennsylvania State University; Pennsylvania State University - University Park; United States Department of the Interior; United States Geological Survey; University of Washington; University of Washington Seattle; University of Washington; University of Washington Seattle; University of Colorado System; University of Colorado Boulder; Nevada System of Higher Education (NSHE); Desert Research Institute NSHE</t>
  </si>
  <si>
    <t>Fegyveresi, JM (corresponding author), Penn State Univ, Dept Geosci, University Pk, PA 16802 USA.</t>
  </si>
  <si>
    <t>jmf439@psu.edu</t>
  </si>
  <si>
    <t>White, James W.C./A-7845-2009; Taylor, Kendrick/A-3469-2016; /G-9088-2015</t>
  </si>
  <si>
    <t>Taylor, Kendrick/0000-0001-8535-1261; /0000-0002-8191-5549; Fegyveresi, John/0000-0002-1029-6277</t>
  </si>
  <si>
    <t>US National Science Foundation (NSF) [0539578, 0539232]; NSF [0440817, 0230396, 0944348, 0537930, 0839093, 0538427, 0739780, 0944191]; Directorate For Geosciences; Division Of Polar Programs [0944191, 0739780] Funding Source: National Science Foundation; Directorate For Geosciences; Office of Polar Programs (OPP) [0537930, 0839093, 0538427, 0539578] Funding Source: National Science Foundation; Office of Polar Programs (OPP); Directorate For Geosciences [0944348] Funding Source: National Science Foundation</t>
  </si>
  <si>
    <t>US National Science Foundation (NSF)(National Science Foundation (NSF)); NSF(National Science Foundation (NSF)); Directorate For Geosciences; Division Of Polar Programs(National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</si>
  <si>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This work was supported by US National Science Foundation (NSF) grants 0539578 and 0539232. K. Walsh and N. Reed assisted with bubble number-density measurements. The WAIS Divide Science Coordination Office at the Desert Research Institute of Reno, Nevada, was responsible for the collection and distribution of the WAIS Divide ice core and related tasks under NSF grants 0440817, 0230396 and 0944348. delta18O isotope data were obtained at the University of Washington under NSF grant 0537930. The depth-age scale and accumulation-rate data were determined at the Desert Research Institute under NSF grants 0839093, 0538427, 0739780 and 0944191. The NSF Office of Polar Programs also funds the Ice Drilling Program Office and Ice Drilling Design and Operations group for coring activities. The US National Ice Core Laboratory, which curated the core and performed core processing, is funded by the NSF. Raytheon Polar Services provided logistics support, and the 109th New York Air National Guard provided airlift support in Antarctica. We thank the hardworking people at all of these organizations. Lastly, we thank T. Sowers and D. Pollard for unpublished results, the US Geological Survey (USGS) Earth Surface Dynamics Program, and the Delta*IsoLab at the University of Washington for assistance with the isotope measurements.</t>
  </si>
  <si>
    <t>10.3189/002214311797409677</t>
  </si>
  <si>
    <t>WOS:000295019400005</t>
  </si>
  <si>
    <t>Shuman, CA; Berthier, E; Scambos, TA</t>
  </si>
  <si>
    <t>Shuman, Christopher A.; Berthier, Etienne; Scambos, Ted A.</t>
  </si>
  <si>
    <t>2001-2009 elevation and mass losses in the Larsen A and B embayments, Antarctic Peninsula</t>
  </si>
  <si>
    <t>ICE-SHELF COLLAPSE; SEA-LEVEL RISE; LASER ALTIMETRY; WEST ANTARCTICA; GLACIER; DISINTEGRATION; SHEET; RETREAT; GREENLAND; SPACE</t>
  </si>
  <si>
    <t>We investigate the elevation and mass-balance response of tributary glaciers following the loss of the Larsen A and B ice shelves, Antarctic Peninsula (in 1995 and 2002 respectively). Our study uses MODIS imagery to track ice extent, and ASTER and SPOT5 digital elevation models (DEMs) plus ATM and ICESat laser altimetry to track elevation changes, spanning the period 2001-09. The measured Larsen B tributary glaciers (Hektoria, Green, Evans, Punchbowl, Jorum and Crane) lost up to 160 m in elevation during 2001-06, and thinning continued into 2009. Elevation changes were small for the more southerly Flask and Leppard Glaciers, which are still constrained by a Larsen B ice shelf remnant. In the northern embayment, continued thinning of &gt;3 m a(-1) on Drygalski Glacier, 14 years after the Larsen A ice shelf disintegrated, suggests that mass losses for the exposed Larsen B tributaries will continue for years into the future. Grounded ice volume losses exceed 13 km(3) for Crane Glacier and 30 km(3) for the Hektoria-Green-Evans glaciers. The combined mean loss rate for 2001-06 is at least 11.2 Gt a(-1). Our values differ significantly from published mass-budget-based estimates for these embayments, but are a reasonable fraction of GRACE-derived rates for the region (similar to 40 Gt a(-1)).</t>
  </si>
  <si>
    <t>[Shuman, Christopher A.] NASA, UMBC GEST, Goddard Space Flight Ctr, Greenbelt, MD 20771 USA; [Berthier, Etienne] Univ Toulouse, Ctr Natl Rech Sci, F-31400 Toulouse, France; [Scambos, Ted A.] Univ Colorado, Natl Snow &amp; Ice Data Ctr, CIRES, Boulder, CO 80309 USA</t>
  </si>
  <si>
    <t>National Aeronautics &amp; Space Administration (NASA); NASA Goddard Space Flight Center; University System of Maryland; University of Maryland Baltimore County; Universite de Toulouse; Centre National de la Recherche Scientifique (CNRS); University of Colorado System; University of Colorado Boulder</t>
  </si>
  <si>
    <t>Shuman, CA (corresponding author), NASA, UMBC GEST, Goddard Space Flight Ctr, Code 698, Greenbelt, MD 20771 USA.</t>
  </si>
  <si>
    <t>christopher.a.shuman@nasa.gov</t>
  </si>
  <si>
    <t>Berthier, Etienne/B-8900-2009</t>
  </si>
  <si>
    <t>NASA; French Space Agency (CNES) [352]</t>
  </si>
  <si>
    <t>This work was supported by grants from NASA's Cryospheric Sciences Program. Data were provided by the ICESat Project and the ATM team. We also specifically thank the Chilean Centro de Estudios Cientificos along with R. Thomas and W. Krabill and their team, for enabling the ATM data acquisitions prior to Operation IceBridge. E. Berthier acknowledges support from the French Space Agency (CNES) through the TOSCA and ISIS proposal No. 352. SPOT5 HRS data were provided at no cost by CNES through the SPIRIT International Polar Year project (Korona and others, 2009). ASTER data were provided at no cost by NASA/US Geological Survey through the Global Land Ice Measurements from Space (GLIMS) project (Raup and others, 2007). We thank P. Durand, M. Bernard (SPOT Image) and A. Orsoni (IGN Espace) for their early work on SPOTS images of the Antarctic Peninsula. This study was also aided by J. Bohlander's searches for MODIS imagery, and V. Suchdeo who assembled the altimetry and imagery material into preliminary figures. F. Zgur and M. Rebesco facilitated our understanding of bathymetry data in the study area (principal investigator Eugene Domack, NSF-ANT03-38142). Finally, the paper was made substantially more coherent with patient editing by the scientific editors T.H. Jacka and H. Fricker, and reviewers B. Smith and D. Vaughan.</t>
  </si>
  <si>
    <t>10.3189/002214311797409811</t>
  </si>
  <si>
    <t>WOS:000295019400014</t>
  </si>
  <si>
    <t>Brunt, KM; Okal, EA; MacAyeal, DR</t>
  </si>
  <si>
    <t>Brunt, Kelly M.; Okal, Emile A.; MacAyeal, Douglas R.</t>
  </si>
  <si>
    <t>Antarctic ice-shelf calving triggered by the Honshu (Japan) earthquake and tsunami, March 2011</t>
  </si>
  <si>
    <t>EAST ANTARCTICA</t>
  </si>
  <si>
    <t>We use European Space Agency Envisat data to present the first observational evidence that a Northern Hemisphere tsunami triggered Antarctic ice-shelf calving more than 13 000 km away. The Honshu tsunami of 11 March 2011 traversed the Pacific Ocean in &lt;18 hours where it impinged on the Sulzberger Ice Shelf, resulting in the calving of 125 km(2) of ice from a shelf front that had previously been stable for &gt;46 years. This event further illustrates the growing evidence of ocean-wave impact on Antarctic calving and emphasizes the teleconnection between the Antarctic ice sheet and events as far away as the Northern Hemisphere.</t>
  </si>
  <si>
    <t>[Brunt, Kelly M.] NASA Goddard Space Flight Ctr GESTAR, Greenbelt, MD 20771 USA; [Okal, Emile A.] Northwestern Univ, Dept Earth &amp; Planetary Sci, Evanston, IL 60201 USA; [MacAyeal, Douglas R.] Univ Chicago, Dept Geophys Sci, Chicago, IL 60637 USA</t>
  </si>
  <si>
    <t>National Aeronautics &amp; Space Administration (NASA); Northwestern University; University of Chicago</t>
  </si>
  <si>
    <t>Brunt, KM (corresponding author), NASA Goddard Space Flight Ctr GESTAR, Code 614-1, Greenbelt, MD 20771 USA.</t>
  </si>
  <si>
    <t>kelly.m.brunt@nasa.gov</t>
  </si>
  <si>
    <t>MacAyeal, Douglas/0000-0003-0647-6176</t>
  </si>
  <si>
    <t>US National Science Foundation [ANT-0944193, ANT-0944233]; Directorate For Geosciences; Office of Polar Programs (OPP) [0944233, 0944193] Funding Source: National Science Foundation</t>
  </si>
  <si>
    <t>US National Science Foundation(National Science Foundation (NSF)); Directorate For Geosciences; Office of Polar Programs (OPP)(National Science Foundation (NSF)NSF - Directorate for Geosciences (GEO))</t>
  </si>
  <si>
    <t>Support was provided by US National Science Foundation grant ANT-0944193 and ANT-0944233. We thank P. Morin at the University of Minnesota Polar Geospatial Center for providing rapid access to digital satellite imagery, and J. Bassis at the University of Michigan for continued discussion on the causes of iceberg calving.</t>
  </si>
  <si>
    <t>10.3189/002214311798043681</t>
  </si>
  <si>
    <t>WOS:000296118700001</t>
  </si>
  <si>
    <t>Kehrl, LM; Hawley, RL; Powell, RD; Brigham-Grette, J</t>
  </si>
  <si>
    <t>Kehrl, Laura M.; Hawley, Robert L.; Powell, Ross D.; Brigham-Grette, Julie</t>
  </si>
  <si>
    <t>Glacimarine sedimentation processes at Kronebreen and Kongsvegen, Svalbard</t>
  </si>
  <si>
    <t>SURGE-TYPE GLACIER; TIDEWATER GLACIERS; KONGSFJORDEN; ICE; SPITSBERGEN; DYNAMICS; KROSSFJORDEN; BEHAVIOR; ICEBERGS; DEBRIS</t>
  </si>
  <si>
    <t>Tidewater glaciers deposit sediment at their terminus, thereby reducing the relative water depth. Reduced water depth can lead to increased glacier stability through decreased rates of iceberg calving, glacier thinning and submarine melting. Here we investigate sedimentation processes at the termini of Kronebreen and Kongsvegen, Svalbard. We mapped the fjord floor bathymetry in August 2009 and calculate sedimentation rates based on our bathymetry and that from a similar study in 2005. A grounding-line fan is developing near the current position of the subglacial stream. An older, abandoned grounding-line fan that likely formed between 1987 and 2001 is degrading near the middle of the ice front. Our findings indicate that sediment gravity flows reduce the height of the sediment mound forming at the glacier terminus. The future impact of glacimarine sedimentation processes on glacier stability will depend on the net balance between the observed gravity flows and sediment deposition.</t>
  </si>
  <si>
    <t>[Powell, Ross D.] No Illinois Univ, Dept Geol &amp; Environm Geosci, De Kalb, IL 60119 USA; [Brigham-Grette, Julie] Univ Massachusetts, Dept Geosci, Amherst, MA 01003 USA; [Kehrl, Laura M.; Hawley, Robert L.] Dartmouth Coll, Dept Earth Sci, Hanover, NH 03755 USA</t>
  </si>
  <si>
    <t>Northern Illinois University; University of Massachusetts System; University of Massachusetts Amherst; Dartmouth College</t>
  </si>
  <si>
    <t>Kehrl, LM (corresponding author), Victoria Univ Wellington, Antarctic Res Ctr, POB 600, Wellington, New Zealand.</t>
  </si>
  <si>
    <t>laura.kehrl@vuw.ac.nz</t>
  </si>
  <si>
    <t>Hawley, Robert/KHY-1082-2024</t>
  </si>
  <si>
    <t>Kehrl, Laura/0000-0002-4926-2015</t>
  </si>
  <si>
    <t>US National Science Foundation [0649006]; Directorate For Geosciences; Office of Polar Programs (OPP) [1262932] Funding Source: National Science Foundation</t>
  </si>
  <si>
    <t>We thank Norsk Polarinstitutt and the University Centre in Svalbard for logistical support in the field. We also thank Scientific Editor J. Hart, M. Forwick and an anonymous reviewer, for insightful comments that improved the manuscript. This work was supported by the US National Science Foundation REU program through grant 0649006.</t>
  </si>
  <si>
    <t>10.3189/002214311798043708</t>
  </si>
  <si>
    <t>WOS:000296118700007</t>
  </si>
  <si>
    <t>MacGregor, JA; Anandakrishnan, S; Catania, GA; Winebrenner, DP</t>
  </si>
  <si>
    <t>MacGregor, Joseph A.; Anandakrishnan, Sridhar; Catania, Ginny A.; Winebrenner, Dale P.</t>
  </si>
  <si>
    <t>The grounding zone of the Ross Ice Shelf, West Antarctica, from ice-penetrating radar</t>
  </si>
  <si>
    <t>SIPLE DOME; BASAL ICE; STREAM; BENEATH; LINE; LAYER; REFLECTIVITY; ATTENUATION; MORPHOLOGY; SHEET</t>
  </si>
  <si>
    <t>As ice streams flow into the Ross Ice Shelf, West Antarctica, their bed coupling transitions from weak to transient to zero as the ice goes afloat. Here we explore the nature of the bed across these crucial grounding zones using ice-penetrating radar. We collected several ground-based 2 MHz radar transects across the grounding zones of Whillans and Kamb Ice Streams and inferred bed-reflectivity changes from in situ measurements of depth-averaged dielectric attenuation, made possible by the observation of both primary and multiple bed echoes. We find no significant change in the bed reflectivity across either grounding zone. Combined with reflectivity modeling, this observation suggests that a persistent layer of subglacial water (&gt;similar to 0.2 m) is widespread several kilometers upstream of the grounding zone. Our results are consistent with previous inferences of gradual grounding zones across this sector of the Ross Ice Shelf from airborne radar and satellite altimetry. Separately, the only clear bed-reflectivity change that we observed occurs similar to 40 km downstream of the Kamb Ice Stream grounding zone, which we attribute to the onset of marine ice accretion onto the base of the ice shelf. This onset is much nearer to the grounding zone than previously predicted.</t>
  </si>
  <si>
    <t>[MacGregor, Joseph A.; Catania, Ginny A.] Univ Texas Austin, Inst Geophys, Austin, TX 78758 USA; [Anandakrishnan, Sridhar] Penn State Univ, Dept Geosci, University Pk, PA 16802 USA; [Catania, Ginny A.] Univ Texas Austin, Dept Geol, Austin, TX 78713 USA; [Winebrenner, Dale P.] Univ Washington, Appl Phys Lab, Polar Sci Ctr, Seattle, WA 98105 USA; [Winebrenner, Dale P.] Univ Washington, Dept Earth &amp; Space Sci, Seattle, WA 98195 USA</t>
  </si>
  <si>
    <t>University of Texas System; University of Texas Austin; Pennsylvania Commonwealth System of Higher Education (PCSHE); Pennsylvania State University; Pennsylvania State University - University Park; University of Texas System; University of Texas Austin; University of Washington; University of Washington Seattle; University of Washington; University of Washington Seattle</t>
  </si>
  <si>
    <t>MacGregor, JA (corresponding author), Univ Texas Austin, Inst Geophys, Austin, TX 78758 USA.</t>
  </si>
  <si>
    <t>joemac@ig.utexas.edu</t>
  </si>
  <si>
    <t>MacGregor, Joseph A/A-6746-2010; Anandakrishnan, Sridhar/JCN-5026-2023; Catania, Ginny/B-9787-2008</t>
  </si>
  <si>
    <t>Catania, Ginny/0000-0002-7561-5902</t>
  </si>
  <si>
    <t>US National Science Foundation [ANT 0538120, ANT 0226535, ANT 0538674]; Center for Remote Sensing of Ice Sheets [NSF 0424589]; Gary Comer Science and Education Foundation</t>
  </si>
  <si>
    <t>US National Science Foundation(National Science Foundation (NSF)); Center for Remote Sensing of Ice Sheets; Gary Comer Science and Education Foundation</t>
  </si>
  <si>
    <t>This work was supported by the US National Science Foundation (ANT 0538120 to Catania, ANT 0226535 to Anandakrishnan and ANT 0538674 to Winebrenner), the Center for Remote Sensing of Ice Sheets (NSF 0424589) and the Gary Comer Science and Education Foundation. We thank numerous field assistants, the US Antarctic Program for logistical support, K.M. Brunt for providing her picks of the Ross Ice Shelf grounding zone, I.R. Joughin, R.B. Alley, H.J. Horgan, R.T. Walker and R.W. Jacobel for valuable discussions, four anonymous referees of previous versions of the paper for constructive reviews, and two anonymous referees for constructive reviews.</t>
  </si>
  <si>
    <t>10.3189/002214311798043780</t>
  </si>
  <si>
    <t>WOS:000296118700015</t>
  </si>
  <si>
    <t>Sakurai, T; Ohno, H; Horikawa, S; Iizuka, Y; Uchida, T; Hirakawa, K; Hondoh, T</t>
  </si>
  <si>
    <t>Sakurai, Toshimitsu; Ohno, Hiroshi; Horikawa, Shinichiro; Iizuka, Yoshinori; Uchida, Tsutomu; Hirakawa, Kazuomi; Hondoh, Takeo</t>
  </si>
  <si>
    <t>The chemical forms of water-soluble microparticles preserved in the Antarctic ice sheet during Termination I</t>
  </si>
  <si>
    <t>DOME-C; EAST ANTARCTICA; SALT INCLUSIONS; POLAR ICE; CORE; EPICA; CLIMATE; FUJI; DUST; CRYSTALLIZATION</t>
  </si>
  <si>
    <t>This study clarifies changes in the chemical forms of microparticles during Termination I, the period of drastic climate change between the Last Glacial Maximum (LGM) and the Holocene. We determine the chemical forms of individual water-soluble microparticles through micro-Raman spectroscopy and compare the relative frequencies of different types with the ion concentrations in melted ice. Micro-Raman spectroscopy shows that Na2SO4 center dot 10H(2)O and MgSO4 center dot 11H(2)O are abundant in Holocene ice, while CaSO4 center dot 2H(2)O and other salts are abundant in LGM ice. Further, the number of CaSO4 center dot 2H(2)O particles is strongly correlated with the concentration of Ca2+ during Termination I. Taken together, the evidence strongly suggests that most of the Ca2+ exists as CaSO4 center dot 2H(2)O. The different compositions of microparticles from the Holocene and LGM can be explained by ion balance arguments.</t>
  </si>
  <si>
    <t>[Sakurai, Toshimitsu; Ohno, Hiroshi; Horikawa, Shinichiro; Iizuka, Yoshinori; Hondoh, Takeo] Hokkaido Univ, Inst Low Temp Sci, Sapporo, Hokkaido 0600819, Japan; [Sakurai, Toshimitsu] Inst Laser Technol, Suita, Osaka 5650871, Japan; [Ohno, Hiroshi] Hokkaido Natl Ind Res Inst, Sapporo, Hokkaido 0628517, Japan; [Uchida, Tsutomu] Hokkaido Univ, Grad Sch Engn, Sapporo, Hokkaido 0608628, Japan; [Hirakawa, Kazuomi] Hokkaido Univ, Grad Sch Environm Sci, Sapporo, Hokkaido 0600810, Japan</t>
  </si>
  <si>
    <t>Hokkaido University; National Institute of Advanced Industrial Science &amp; Technology (AIST); Hokkaido University; Hokkaido University</t>
  </si>
  <si>
    <t>Sakurai, T (corresponding author), Hokkaido Univ, Inst Low Temp Sci, Sapporo, Hokkaido 0600819, Japan.</t>
  </si>
  <si>
    <t>sakurai.toshimitsu@ilt.or.jp</t>
  </si>
  <si>
    <t>Ohno, Hiroshi/L-7899-2014; Uchida, Tsutomu/E-3835-2012; Iizuka, Yoshinori/D-9112-2012; HONDOH, Takeo/E-7551-2011</t>
  </si>
  <si>
    <t>Sakurai, Toshimitsu/0000-0002-9943-361X; Iizuka, Yoshinori/0000-0001-7241-6062; HONDOH, Takeo/0000-0003-4129-022X</t>
  </si>
  <si>
    <t>Institute of Low Temperature Science, Hokkaido University; Hokkaido University Global Center of Excellence (COE); Japan's Ministry of Education, Culture, Sports, Science and Technology (MEXT); Japan Society for the Promotion of Science (JSPS); [14GS0202]; [21710002]</t>
  </si>
  <si>
    <t>Institute of Low Temperature Science, Hokkaido University; Hokkaido University Global Center of Excellence (COE); Japan's Ministry of Education, Culture, Sports, Science and Technology (MEXT)(Ministry of Education, Culture, Sports, Science and Technology, Japan (MEXT)); Japan Society for the Promotion of Science (JSPS)(Ministry of Education, Culture, Sports, Science and Technology, Japan (MEXT)Japan Society for the Promotion of Science); ;</t>
  </si>
  <si>
    <t>We thank the Dome Fuji drilling team, and A. Hori and A. Miyamoto for valuable discussions. This study was supported by Grants-in-Aid for Creative Scientific Research (grant Nos. 14GS0202 and 21710002), by the Grant for Joint Research Program of the Institute of Low Temperature Science, Hokkaido University, by the Hokkaido University Global Center of Excellence (COE) program (Establishment of a Center for Integrated Field Environmental Science), and by a Special Education Study Expense account (cooperation between universities) provided by Japan's Ministry of Education, Culture, Sports, Science and Technology (MEXT) and the Japan Society for the Promotion of Science (JSPS). We sincerely thank the scientific editor, D. Peel. for valuable comments and suggestions, and two anonymous reviewers who improved the clarity of the manuscript.</t>
  </si>
  <si>
    <t>10.3189/002214311798843403</t>
  </si>
  <si>
    <t>864GC</t>
  </si>
  <si>
    <t>WOS:000298224000004</t>
  </si>
  <si>
    <t>Ng, F; King, EC</t>
  </si>
  <si>
    <t>Ng, Felix; King, Edward C.</t>
  </si>
  <si>
    <t>Kinematic waves in polar firn stratigraphy</t>
  </si>
  <si>
    <t>ANTARCTIC ICE RISE; WEST ANTARCTICA; ACCUMULATION RATES; ISOCHRONOUS LAYERS; PENETRATING RADAR; MASS-BALANCE; STREAM-D; FLOW; VARIABILITY; INFERENCE</t>
  </si>
  <si>
    <t>Radar studies of firn on the ice sheets have revealed complex folds on its internal layering that form from the interplay of snow accumulation and ice flow. A mathematical theory for these fold structures is presented, for the case where the radar cross section lies along the ice-flow direction and where the accumulation rate and ice-flow velocity are time-invariant. Our model, which accounts for firn densification, shows how 'information' (the depth and slope of isochrones) propagates on the radargram to govern its layer undulations. This leads us to discover universal rules behind the pattern of layer slopes on a distance age domain and understand why the loci of layer-fold hinges curve, emerge and combine on the radargram to form closed loops that delineate areas of rising and plunging isochrones. We also develop a way of retrieving the accumulation rate distribution and layer ages from steady isochrone patterns. Analysis of a radargram from the onset zone of Bindschadler Ice Stream, West Antarctica, indicates that ice flow and accumulation rates have been steady there for the past similar to 400 years, and that spatial anomalies in the latter are coupled to surface topography induced by ice flow over the undulating ice-stream bed. The theory provides new concepts for the morphological interpretation of radargrams.</t>
  </si>
  <si>
    <t>[Ng, Felix] Univ Sheffield, Dept Geog, Sheffield S10 2TN, S Yorkshire, England; [King, Edward C.] British Antarctic Survey, Nat Environm Res Council, Cambridge CB3 0ET, England</t>
  </si>
  <si>
    <t>University of Sheffield; UK Research &amp; Innovation (UKRI); Natural Environment Research Council (NERC); NERC British Antarctic Survey</t>
  </si>
  <si>
    <t>Ng, F (corresponding author), Univ Sheffield, Dept Geog, Sheffield S10 2TN, S Yorkshire, England.</t>
  </si>
  <si>
    <t>f.ng@sheffield.ac.uk</t>
  </si>
  <si>
    <t>Ng, Felix/0000-0001-6352-0351</t>
  </si>
  <si>
    <t>US National Science Foundation [86297]; UK Natural Environmental Research Council (NERC)</t>
  </si>
  <si>
    <t>US National Science Foundation(National Science Foundation (NSF)); UK Natural Environmental Research Council (NERC)(UK Research &amp; Innovation (UKRI)Natural Environment Research Council (NERC))</t>
  </si>
  <si>
    <t>We thank A. Morton for his hard work when gathering field data, and S. Arcone and O. Eisen for their useful reviews of our paper. The fieldwork yielding the radar and elevation data in Figures 1, 11 and 12 was supported by US National Science Foundation grant 86297 (to S. Anandakrishnan) and by the UK Natural Environmental Research Council (NERC) Geophysical Equipment Facility.</t>
  </si>
  <si>
    <t>10.3189/002214311798843340</t>
  </si>
  <si>
    <t>WOS:000298224000013</t>
  </si>
  <si>
    <t>Hindmarsh, RCA</t>
  </si>
  <si>
    <t>Hindmarsh, Richard C. A.</t>
  </si>
  <si>
    <t>Ill-posedness of the shallow-ice approximation when modelling thermo-viscous instabilities</t>
  </si>
  <si>
    <t>Letter</t>
  </si>
  <si>
    <t>STABILITY</t>
  </si>
  <si>
    <t>British Antarctic Survey, Sci Programmes, Cambridge CB3 0ET, England</t>
  </si>
  <si>
    <t>Hindmarsh, RCA (corresponding author), British Antarctic Survey, Sci Programmes, Madingley Rd, Cambridge CB3 0ET, England.</t>
  </si>
  <si>
    <t>Hindmarsh, Richard/N-1195-2019</t>
  </si>
  <si>
    <t>Hindmarsh, Richard/0000-0003-1633-2416</t>
  </si>
  <si>
    <t>10.3189/002214311798843304</t>
  </si>
  <si>
    <t>WOS:000298224000017</t>
  </si>
  <si>
    <t>Hoffman, JI; Peck, LS; Linse, K; Clarke, A</t>
  </si>
  <si>
    <t>Hoffman, Joseph I.; Peck, Lloyd S.; Linse, Katrin; Clarke, Andrew</t>
  </si>
  <si>
    <t>Strong Population Genetic Structure in a Broadcast-Spawning Antarctic Marine Invertebrate</t>
  </si>
  <si>
    <t>JOURNAL OF HEREDITY</t>
  </si>
  <si>
    <t>amplified fragment length polymorphisms; Antarctic limpet; Antarctic Peninsula; climate change; larval dispersal; mollusc; Nacella concinna; phylogeography</t>
  </si>
  <si>
    <t>LIMPET NACELLA-CONCINNA; GENOTYPING ERRORS; OCEAN BARRIERS; POLAR FRONT; AFLP; LOCI; TEMPERATURE; DISPERSAL; PENINSULA; SEA</t>
  </si>
  <si>
    <t>Although studies of population genetic structure are commonplace, a strong bias exists toward species from low latitudes and with relatively poor dispersal capabilities. Consequently, we used 280 amplified fragment length polymorphism bands to explore patterns of genetic differentiation among 8 populations of a high latitude broadcast-spawning marine mollusc, the Antarctic limpet Nacella concinna. Over 300 individuals were sampled along a latitudinal gradient spanning the Antarctic Peninsula from Adelaide Island to King George Island (67 degrees-62 degrees S), then to Signy Island (60 degrees S) and South Georgia (54 degrees S). Populations from the Antarctic Peninsula exhibited little genetic structure but were themselves strongly differentiated from both Signy and South Georgia. This finding was analytically highly robust and implies the presence of significant oceanographic barriers to gene flow in a species long regarded as a classic example of a widely dispersing broadcast spawner.</t>
  </si>
  <si>
    <t>[Hoffman, Joseph I.] Univ Bielefeld, Dept Anim Behav, D-33501 Bielefeld, Germany; [Peck, Lloyd S.; Linse, Katrin; Clarke, Andrew] NERC, British Antarctic Survey, Cambridge, England</t>
  </si>
  <si>
    <t>Hoffman, Joseph/0000-0001-5895-8949; Linse, Katrin/0000-0003-3477-3047</t>
  </si>
  <si>
    <t>Natural Environment Research Council; NERC [dml011000, bas0100025] Funding Source: UKRI; Natural Environment Research Council [dml011000, bas0100025] Funding Source: researchfish</t>
  </si>
  <si>
    <t>Natural Environment Research Council British Antarctic Survey Strategic Alliance Fellowship awarded to J.I.H.</t>
  </si>
  <si>
    <t>0022-1503</t>
  </si>
  <si>
    <t>1465-7333</t>
  </si>
  <si>
    <t>J HERED</t>
  </si>
  <si>
    <t>J. Hered.</t>
  </si>
  <si>
    <t>10.1093/jhered/esq094</t>
  </si>
  <si>
    <t>Evolutionary Biology; Genetics &amp; Heredity</t>
  </si>
  <si>
    <t>696CM</t>
  </si>
  <si>
    <t>WOS:000285419500007</t>
  </si>
  <si>
    <t>Hayward, PJ; Winston, JE</t>
  </si>
  <si>
    <t>Hayward, Peter J.; Winston, Judith E.</t>
  </si>
  <si>
    <t>Bryozoa collected by the United States Antarctic Research Program: new taxa and new records</t>
  </si>
  <si>
    <t>JOURNAL OF NATURAL HISTORY</t>
  </si>
  <si>
    <t>Bryozoa; Cheilostomata; new genera; new species; US Antarctic Research Program</t>
  </si>
  <si>
    <t>SOUTHERN-OCEAN; CHEILOSTOMATA; PHIDOLOPORIDAE; BIOGEOGRAPHY; MARION</t>
  </si>
  <si>
    <t>Thirty-two species of cheilostomate Bryozoa are described and illustrated from 26 stations sampled by the United States Antarctic Research Program, including 29 new species and two new genera. A further new genus is introduced for two species formerly attributed to Osthimosia Jullien, 1888. One station was located in the Ross Sea and three in the cold temperate South Pacific; 14 stations were sampled in the region of the Scotia Arc, south of the Antarctic Convergence, and eight from the subantarctic southwest Atlantic, mostly in the vicinity of Tierra del Fuego. Nine new species were present in the Antarctic samples, whereas those from the southwest Atlantic yielded 18 new species and the two new genera. Three of the new subantarctic species are attributed to genera formerly considered to be Antarctic endemics, while the two newly assigned species of Osthimosia are presently known only from Antarctic localities.</t>
  </si>
  <si>
    <t>[Hayward, Peter J.] Swansea Univ, Dept Biosci, Swansea SA2 8PP, W Glam, Wales; [Winston, Judith E.] Virginia Museum Nat Hist, Martinsville, VA 24112 USA</t>
  </si>
  <si>
    <t>Swansea University</t>
  </si>
  <si>
    <t>Hayward, PJ (corresponding author), Swansea Univ, Dept Biosci, Singleton Pk, Swansea SA2 8PP, W Glam, Wales.</t>
  </si>
  <si>
    <t>p.j.hayward@swansea.ac.uk</t>
  </si>
  <si>
    <t>0022-2933</t>
  </si>
  <si>
    <t>1464-5262</t>
  </si>
  <si>
    <t>J NAT HIST</t>
  </si>
  <si>
    <t>J. Nat. Hist.</t>
  </si>
  <si>
    <t>37-38</t>
  </si>
  <si>
    <t>10.1080/00222933.2011.574922</t>
  </si>
  <si>
    <t>Biodiversity Conservation; Ecology; Zoology</t>
  </si>
  <si>
    <t>Biodiversity &amp; Conservation; Environmental Sciences &amp; Ecology; Zoology</t>
  </si>
  <si>
    <t>801MX</t>
  </si>
  <si>
    <t>WOS:000293444900001</t>
  </si>
  <si>
    <t>Poisbleau, M; Demongin, L; Strange, IJ; Eens, M; Quillfeldt, P</t>
  </si>
  <si>
    <t>Poisbleau, Maud; Demongin, Laurent; Strange, Ian J.; Eens, Marcel; Quillfeldt, Petra</t>
  </si>
  <si>
    <t>Is the reduced incubation time for B-eggs in Rockhopper Penguins Eudyptes chrysocome linked to egg density variation?</t>
  </si>
  <si>
    <t>JOURNAL OF ORNITHOLOGY</t>
  </si>
  <si>
    <t>Egg category; Egg measurements; Southern Rockhopper Penguin; Hatching asynchrony; Hatching date; Laying date</t>
  </si>
  <si>
    <t>AVIAN EGG; PYGOSCELIS-ANTARCTICA; HATCHING ASYNCHRONY; CHICK GROWTH; WATER-LOSS; DATE; SIZE; CORTICOSTERONE; CONDUCTANCE; CLUTCHES</t>
  </si>
  <si>
    <t>Crested penguins (genus Eudyptes) present a unique reversed egg-size dimorphism and hatching asynchrony, with the larger second-laid egg (B-egg) hatching before the smaller first-laid egg (A-egg). Both a higher water vapour conductance and parental favouritism during incubation could explain the shorter incubation period for the B-egg than for the A-egg. Because the incubation period is increased by the presence of a sibling for A-eggs, but not for B-eggs, and because both egg categories have the same incubation period when they are incubated alone, it has been suggested that the difference in incubation period was largely driven by the parental favouritism for B-eggs during incubation. We tested whether A- and B-eggs show a difference in laying density, density at the beginning of incubation and in density decrease during incubation according to the presence of a sibling. Although density at the start of incubation was significantly higher for B-eggs than for A-eggs, the decrease in density during incubation had the same slope for both egg categories. Moreover, the presence of a sibling did not influence densities. We additionally provide two equations that allow the back-dating of laying dates for a clutch of SouthernRockhopper Penguin (Eudyptes c. chrysocome) and we discuss the precision of the method (3.04 +/- A 2.29 days for A-eggs and 2.73 +/- A 2.10 days for B-eggs) for penguins which are increasingly being used as marine environmental sentinels.</t>
  </si>
  <si>
    <t>[Poisbleau, Maud; Eens, Marcel] Univ Antwerp, Dept Biol Ethol, B-2610 Antwerp, Belgium; [Poisbleau, Maud; Demongin, Laurent; Quillfeldt, Petra] Max Planck Inst Ornithol, D-78315 Radolfzell am Bodensee, Germany</t>
  </si>
  <si>
    <t>University of Antwerp; Max Planck Society</t>
  </si>
  <si>
    <t>Poisbleau, M (corresponding author), Univ Antwerp, Dept Biol Ethol, Campus Drie Eiken,Univ Pl 1, B-2610 Antwerp, Belgium.</t>
  </si>
  <si>
    <t>maud.poisbleau@ua.ac.be</t>
  </si>
  <si>
    <t>Eens, Marcel/AAC-8466-2020; Poisbleau, Maud/B-9968-2014; Quillfeldt, Petra/A-9549-2009</t>
  </si>
  <si>
    <t>Quillfeldt, Petra/0000-0002-4450-8688</t>
  </si>
  <si>
    <t>Deutsche Forschungsgemeinschaft DFG [Qu 148/1-ff]; FWO Flanders, Belgium</t>
  </si>
  <si>
    <t>Deutsche Forschungsgemeinschaft DFG(German Research Foundation (DFG)); FWO Flanders, Belgium(FWO)</t>
  </si>
  <si>
    <t>We are grateful to the New Island Conservation Trust for permission to work on the island. We thank Maria and Georgina Strange and Dan Birch for their support during the field season. Thanks also to Helen Otley, Falkland Islands Government and British Antarctic Survey for their logistic help. The manuscript benefited greatly from critical comments by David Carslake and two anonymous reviewers. Our study was funded by a grant provided by the Deutsche Forschungsgemeinschaft DFG (Qu 148/1-ff) and by the FWO Flanders, Belgium. All work was approved by the Falkland Islands Government (Environmental Planning Office).</t>
  </si>
  <si>
    <t>0021-8375</t>
  </si>
  <si>
    <t>J ORNITHOL</t>
  </si>
  <si>
    <t>J. Ornithol.</t>
  </si>
  <si>
    <t>10.1007/s10336-010-0558-0</t>
  </si>
  <si>
    <t>700ZK</t>
  </si>
  <si>
    <t>WOS:000285783900016</t>
  </si>
  <si>
    <t>Vodrazka, R; Crame, JA</t>
  </si>
  <si>
    <t>Vodrazka, Radek; Crame, J. Alistair</t>
  </si>
  <si>
    <t>FIRST FOSSIL SPONGE FROM ANTARCTICA AND ITS PALEOBIOGEOGRAPHICAL SIGNIFICANCE</t>
  </si>
  <si>
    <t>JOURNAL OF PALEONTOLOGY</t>
  </si>
  <si>
    <t>HEXACTINELLID SPONGE; SILICEOUS SPONGES; BASIN; CONIACIAN; BORNHOLM; ISLAND; REEFS</t>
  </si>
  <si>
    <t>Laocoetis piserai n. sp. (Hexactinellida, Porifera) from the mid-Cretaceous (i.e., Albian-Cenomanian) of James Ross Island is the first record of a fossil sponge from Antarctica. This new occurrence of a formerly widespread genus was restricted to relatively deep waters on the margins of an active volcanic arc. Its occurrence in Antarctica is further evidence that the genus Laocoetis underwent a dramatic reduction in its geographic range through the Cenozoic. The only living species of the genus at the present day is Laocoetis perion from Madagascar.</t>
  </si>
  <si>
    <t>[Vodrazka, Radek] Czech Geol Survey, Prague 11821 1, Czech Republic; [Crame, J. Alistair] British Antarctic Survey, Nat Environm Res Council, Cambridge CB3 0ET, England</t>
  </si>
  <si>
    <t>Czech Geological Survey; UK Research &amp; Innovation (UKRI); Natural Environment Research Council (NERC); NERC British Antarctic Survey</t>
  </si>
  <si>
    <t>Vodrazka, R (corresponding author), Czech Geol Survey, Klarov 3, Prague 11821 1, Czech Republic.</t>
  </si>
  <si>
    <t>Radek.Vodrazka@geology.cz; jacr@bas.ac.uk</t>
  </si>
  <si>
    <t>Vodrazka, Radek/I-8801-2014; Vodrazka, Radek/B-2818-2009</t>
  </si>
  <si>
    <t>Ministry of Environment of the Czech Republic [VaV SPII Ia9/23/07]; NERC Antarctic Funding Initiative [GR3/AFI2/38]; NERC; Natural Environment Research Council [bas0100026] Funding Source: researchfish; NERC [bas0100026] Funding Source: UKRI</t>
  </si>
  <si>
    <t>Ministry of Environment of the Czech Republic; NERC Antarctic Funding Initiative(UK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</si>
  <si>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R.V. sincerely wishes to thank B. Mlcoch and D. Nyvlt (Czech Geological Survey) for wholehearted field support. His work was done under the financial support of Ministry of Environment of the Czech Republic, project no. VaV SPII 1a9/23/07. J.A.C. would like to acknowledge financial support from NERC Antarctic Funding Initiative grant GR3/AFI2/38 and help in the field from both J.R. Ineson and D. Pirrie. Continued financial support from NERC through the Polar Science for Planet Earth programme of BAS is also gratefully acknowledged. We are also grateful to reviewers A. Pisera and D. Janussen as well as to Editor B. Huber, whose suggestions and critical remarks helped to improve the manuscript. The holotype, BAS D.8410.65, was collected in 1982 by M.R.A.Thomson. J. Dasek (Czech Geological Survey) is also thanked for technical support.</t>
  </si>
  <si>
    <t>0022-3360</t>
  </si>
  <si>
    <t>1937-2337</t>
  </si>
  <si>
    <t>J PALEONTOL</t>
  </si>
  <si>
    <t>J. Paleontol.</t>
  </si>
  <si>
    <t>10.1666/10-069.1</t>
  </si>
  <si>
    <t>708FQ</t>
  </si>
  <si>
    <t>WOS:000286348100006</t>
  </si>
  <si>
    <t>Shuckburgh, E; Maze, G; Ferreira, D; Marshall, J; Jones, H; Hill, C</t>
  </si>
  <si>
    <t>Shuckburgh, Emily; Maze, Guillaume; Ferreira, David; Marshall, John; Jones, Helen; Hill, Chris</t>
  </si>
  <si>
    <t>Mixed Layer Lateral Eddy Fluxes Mediated by Air-Sea Interaction</t>
  </si>
  <si>
    <t>SURFACE TEMPERATURE ANOMALIES; SOUTHERN-OCEAN; NORTH-ATLANTIC; VARIABILITY; DIFFUSIVITY; TRANSPORT; FEEDBACK; EDDIES; CIRCULATION; COORDINATE</t>
  </si>
  <si>
    <t>The modulation of air-sea heat fluxes by geostrophic eddies due to the stirring of temperature at the sea surface is discussed and quantified. It is argued that the damping of eddy temperature variance by such air-sea fluxes enhances the dissipation of surface temperature fields. Depending on the time scale of damping relative to that of the eddying motions, surface eddy diffusivities can be significantly enhanced over interior values. The issues are explored and quantified in a controlled setting by driving a tracer field, a proxy for sea surface temperature, with surface altimetric observations in the Antarctic Circumpolar Current (ACC) of the Southern Ocean. A new, tracer-based diagnostic of eddy diffusivity is introduced, which is related to the Nakamura effective diffusivity. Using this, the mixed layer lateral eddy diffusivities associated with (i) eddy stirring and small-scale mixing and (ii) surface damping by air-sea interaction is quantified. In the ACC, a diffusivity associated with surface damping of a comparable magnitude to that associated with eddy stirring (similar to 500 m(2) s(-1)) is found. In frontal regions prevalent in the ACC, an augmentation of surface lateral eddy diffusivities of this magnitude is equivalent to an air-sea flux of 100 W m(-2) acting over a mixed layer depth of 100 m, a very significant effect. Finally, the implications for other tracer fields such as salinity, dissolved gases, and chlorophyll are discussed. Different tracers are found to have surface eddy diffusivities that differ significantly in magnitude.</t>
  </si>
  <si>
    <t>[Shuckburgh, Emily] British Antarctic Survey, Cambridge CB4 3BE, England; [Maze, Guillaume] IFREMER, Lab Phys Oceans, Plouzane, France; [Ferreira, David; Marshall, John; Jones, Helen; Hill, Chris] MIT, Dept Earth Atmospher &amp; Planetary Sci, Cambridge, MA USA</t>
  </si>
  <si>
    <t>UK Research &amp; Innovation (UKRI); Natural Environment Research Council (NERC); NERC British Antarctic Survey; Centre National de la Recherche Scientifique (CNRS); Ifremer; Institut de Recherche pour le Developpement (IRD); Universite de Bretagne Occidentale; Massachusetts Institute of Technology (MIT)</t>
  </si>
  <si>
    <t>Shuckburgh, E (corresponding author), British Antarctic Survey, Madingley Rd, Cambridge CB4 3BE, England.</t>
  </si>
  <si>
    <t>emsh@bas.ac.uk</t>
  </si>
  <si>
    <t>Ferreira, David/JNR-2354-2023; Jones, Helen/C-6798-2013; Maze, Guillaume/AAB-4078-2019; Ferreira, David/JJD-6133-2023</t>
  </si>
  <si>
    <t>Maze, Guillaume/0000-0001-7231-2095; Shuckburgh, Emily/0000-0001-9206-3444; Ferreira, David/0000-0003-3243-9774</t>
  </si>
  <si>
    <t>NERC; NSF (Physical Oceanography); NASA (ECCO2); Office of Polar Programs (OPP); Directorate For Geosciences [0944519] Funding Source: National Science Foundation; NERC [NE/E007058/1, bas0100028, NE/D009642/1] Funding Source: UKRI; Natural Environment Research Council [bas0100028, NE/D009642/1, NE/E007058/1] Funding Source: researchfish</t>
  </si>
  <si>
    <t>NERC(UK Research &amp; Innovation (UKRI)Natural Environment Research Council (NERC)); NSF (Physical Oceanography)(National Science Foundation (NSF)NSF - Directorate for Geosciences (GEO)); NASA (ECCO2)(National Aeronautics &amp; Space Administration (NASA)); 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</si>
  <si>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EFS has been supported by an NERC postdoctoral fellowship. The MIT group would like to acknowledge support of both NSF (Physical Oceanography) and NASA (ECCO2).</t>
  </si>
  <si>
    <t>10.1175/2010JPO4429.1</t>
  </si>
  <si>
    <t>719QB</t>
  </si>
  <si>
    <t>WOS:000287222200007</t>
  </si>
  <si>
    <t>McCarthy, G; McDonagh, E; King, B</t>
  </si>
  <si>
    <t>McCarthy, Gerard; McDonagh, Elaine; King, Brian</t>
  </si>
  <si>
    <t>Decadal Variability of Thermocline and Intermediate Waters at 24°S in the South Atlantic</t>
  </si>
  <si>
    <t>INTEROCEAN EXCHANGE; AGULHAS LEAKAGE; OCEAN; DYNAMICS; FLUXES; VIEW</t>
  </si>
  <si>
    <t>New data are presented from 24 degrees S in the South Atlantic in an investigation of the decadal variability of the intermediate and thermocline water masses at this latitude. Variation of salinity on neutral density surfaces is investigated with three transatlantic, full-depth hydrographic sections from 1958, 1983, and 2009. The thermocline is seen to freshen by 0.05 between 1983 and 2009. The freshening is coherent, basinwide, and of a larger magnitude than any errors associated with the datasets. This freshening reverses a basinwide, coherent increase in salinity of 0.03 in the thermocline between 1958 and 1983. Changes in apparent oxygen utilization (AOU) are investigated to support the salinity changes. In the thermocline of the eastern basin, a correlated relationship exists between local AOU and salinity anomalies, which is consistent with the influence of Indian Ocean Water. This correlated relationship is utilized to estimate the magnitude of Indian Ocean influence on the salinity changes in the thermocline. Indian Ocean influence explains half of the salinity changes in the eastern thermocline from 1958 to 1983 but less of the salinity change in the eastern thermocline from 1983 to 2009. Antarctic Intermediate Water properties significantly warm from 1958 through 1983 to 2009. A significant salinification and increase in AOU is evident from 1958 to 1983. Changes in the salinity of AAIW are shown to be linked with Indian Ocean influence rather than changes in the hydrological cycle. Upper Circumpolar Deep Water is seen to be progressively more saline from 1958 through 1983 to 2009. Increased Agulhas leakage and the intensification of the hydrological cycle are conflicting influences on the salinity of thermocline and intermediate waters in the South Atlantic as the former acts to increase the salinity of these water masses and the latter acts to decrease the salinity of these water masses. The results presented here offer an interpretation of the salinity changes, which considers both of these conflicting influences.</t>
  </si>
  <si>
    <t>[McCarthy, Gerard; McDonagh, Elaine; King, Brian] Natl Oceanog Ctr, Southampton SO14 3ZH, Hants, England</t>
  </si>
  <si>
    <t>NERC National Oceanography Centre</t>
  </si>
  <si>
    <t>McCarthy, G (corresponding author), Natl Oceanog Ctr, Univ Southampton Waterfront Campus,European Way, Southampton SO14 3ZH, Hants, England.</t>
  </si>
  <si>
    <t>gerard.mccarthy@noc.soton.ac.uk</t>
  </si>
  <si>
    <t>McCarthy, Gerard D/L-1954-2013; KIng, Brian/KDN-7191-2024</t>
  </si>
  <si>
    <t>McDonagh, Elaine/0000-0002-8813-4585; McCarthy, Gerard Daniel/0000-0002-2363-0561</t>
  </si>
  <si>
    <t>University of Southampton; Ocean Observing and Climate Group at the National Oceanography Centre, Southampton; NERC; Natural Environment Research Council [noc010012] Funding Source: researchfish</t>
  </si>
  <si>
    <t>University of Southampton; Ocean Observing and Climate Group at the National Oceanography Centre, Southampton; NERC(UK Research &amp; Innovation (UKRI)Natural Environment Research Council (NERC)); Natural Environment Research Council(UK Research &amp; Innovation (UKRI)Natural Environment Research Council (NERC))</t>
  </si>
  <si>
    <t>GM is supported by the University of Southampton and the Ocean Observing and Climate Group at the National Oceanography Centre, Southampton. James Cook cruise 32 was funded as part of NERC Oceans 2025 program. It is a pleasure to acknowledge the master, officers, and crew of RRS James Cook cruise 32, whose efforts enabled the collection of the dataset. We also acknowledge the contribution of the other members of the scientific party. The dissolved oxygen data were collected by a team led by Dr. Sinhue Torres Valdes.</t>
  </si>
  <si>
    <t>10.1175/2010JPO4467.1</t>
  </si>
  <si>
    <t>WOS:000287222200009</t>
  </si>
  <si>
    <t>Ledwell, JR; St Laurent, LC; Girton, JB; Toole, JM</t>
  </si>
  <si>
    <t>Ledwell, J. R.; St Laurent, L. C.; Girton, J. B.; Toole, J. M.</t>
  </si>
  <si>
    <t>Diapycnal Mixing in the Antarctic Circumpolar Current</t>
  </si>
  <si>
    <t>ABYSSAL OCEAN; TURBULENT DISSIPATION; INTERNAL WAVES; SOUTHERN-OCEAN; SHEAR; CIRCULATION; TRACER; THERMOCLINE; ENERGY; STRAIN</t>
  </si>
  <si>
    <t>The vertical dispersion of a tracer released on a density surface near 1500-m depth in the Antarctic Circumpolar Current west of Drake Passage indicates that the diapycnal diffusivity, averaged over 1 yr and over tens of thousands of square kilometers, is (1.3 +/- 0.2) x 10(-5) m(2) s(-1). Diapycnal diffusivity estimated from turbulent kinetic energy dissipation measurements about the area occupied by the tracer in austral summer 2010 was somewhat less, but still within a factor of 2, at (0.75 +/- 0.07) x 10(-5) m(2) s(-1). Turbulent diapycnal mixing of this intensity is characteristic of the midlatitude ocean interior, where the energy for mixing is believed to derive from internal wave breaking. Indeed, despite the frequent and intense atmospheric forcing experienced by the Southern Ocean, the amplitude of finescale velocity shear sampled about the tracer was similar to background amplitudes in the midlatitude ocean, with levels elevated to only 20%-50% above the Garrett-Munk reference spectrum. These results add to a long line of evidence that diapycnal mixing in the interior middepth ocean is weak and is likely too small to dictate the middepth meridional overturning circulation of the ocean.</t>
  </si>
  <si>
    <t>[Ledwell, J. R.; St Laurent, L. C.; Toole, J. M.] Woods Hole Oceanog Inst, Woods Hole, MA 02543 USA; [Girton, J. B.] Univ Washington, Appl Phys Lab, Seattle, WA 98105 USA</t>
  </si>
  <si>
    <t>Woods Hole Oceanographic Institution; University of Washington; University of Washington Seattle</t>
  </si>
  <si>
    <t>Ledwell, JR (corresponding author), Woods Hole Oceanog Inst, Mail Stop 12, Woods Hole, MA 02543 USA.</t>
  </si>
  <si>
    <t>jledwell@whoi.edu</t>
  </si>
  <si>
    <t>Toole, John/0000-0003-2905-0637</t>
  </si>
  <si>
    <t>National Science Foundation [OCE-0622825, OCE-0622670, OCE-0622630, OCE-0623177]; Directorate For Geosciences; Division Of Ocean Sciences [1129564] Funding Source: National Science Foundation; Directorate For Geosciences; Division Of Ocean Sciences [1232962] Funding Source: National Science Foundation</t>
  </si>
  <si>
    <t>National Science Foundation(National Science Foundation (NSF)); Directorate For Geosciences; Division Of Ocean Sciences(National Science Foundation (NSF)NSF - Directorate for Geosciences (GEO)); Directorate For Geosciences; Division Of Ocean Sciences(National Science Foundation (NSF)NSF - Directorate for Geosciences (GEO))</t>
  </si>
  <si>
    <t>This paper is dedicated to the family and shipmates of Captain Philip Alan Smith, who died on 18 January 2010 while at sea on R/V Thompson. We thank the crews and technicians on R/V Roger Revelle and RN Thomas G. Thompson and their home institutions for their excellent support. Invaluable assistance with the work was provided by Ryan Abernathy, Larry Anderson, Angel Ruiz Angulo, Magdalena Carranza, David Ciochetto, Gillian Damerell, Ken Decoteau, Catherine Grendi, Brian Guest, Jay Hooper, Leah Houghton, Byron Kilbourne, Valery Kosneyrev, Andrew Kowalczyk, Rick Krishfield, Steven Lambert, Peter Lazarevich, Craig Rye, Cynthia Sellers, Stewart Sutherland, David Wellwood, Nicolas Wienders, Cimarron Wortham, and Uriel Zajaczkovski. We thank our fellow DIMES investigators, especially Karen Heywood, Alberto Naveira Garabato, and Andrew Watson, all of the U.K., for substantial support. We likewise thank Alberto Piola of Argentina and Carlos Moffat of Chile. This material is based upon work supported by the National Science Foundation Grants OCE-0622825, OCE-0622670, OCE-0622630, and OCE-0623177.</t>
  </si>
  <si>
    <t>10.1175/2010JPO4557.1</t>
  </si>
  <si>
    <t>WOS:000287222200015</t>
  </si>
  <si>
    <t>Pond, DW; Ward, P</t>
  </si>
  <si>
    <t>Pond, David W.; Ward, Peter</t>
  </si>
  <si>
    <t>Importance of diatoms for Oithona in Antarctic waters</t>
  </si>
  <si>
    <t>JOURNAL OF PLANKTON RESEARCH</t>
  </si>
  <si>
    <t>diatoms; Oithona; nutrition; fatty acids; pentafluorobenzyl esters</t>
  </si>
  <si>
    <t>COPEPOD FECAL PELLETS; SOUTHERN-OCEAN; FATTY-ACID; PHYTOPLANKTON BLOOM; FOOD-WEB; CALANUS-FINMARCHICUS; COMMUNITY STRUCTURE; GROWTH-RATES; SCOTIA SEA; ROSS SEA</t>
  </si>
  <si>
    <t>Fatty acid biomarker analysis of the Cyclopoid copepods Oithona similis and Oithona frigida sampled from the Southern Ocean during the austral summer has indicated differences in diet between the two species. Oithona similis contained higher proportions of protozoan and bacterial fatty acids markers, indicative of microbial foodwebs involved in the recycling of detrital material and faecal pellets. In contrast, the fatty acid composition of O. frigida was characterized by a strong diatom signature. Despite these species-specific differences, the fatty acid biomarker composition of both species at each of the stations sampled primarily reflected the species composition of the microplankton in their environment. Comparison of an index of fatty acid composition with nutritional condition indicated that those CV and female O. similis containing the highest levels of diatom biomarkers fatty acids were in the best condition. These findings suggest that diatoms are more important for Oithona spp. in the Southern Ocean than for other oceanic regions and are consistent view that O. similis is an integral component of food webs associated with the recycling of detrital aggregates and faecal material.</t>
  </si>
  <si>
    <t>[Pond, David W.; Ward, Peter] British Antarctic Survey, NERC, Cambridge CB3 0ET, England</t>
  </si>
  <si>
    <t>Pond, DW (corresponding author), British Antarctic Survey, NERC, Madingley Rd, Cambridge CB3 0ET, England.</t>
  </si>
  <si>
    <t>dwpo@bas.ac.uk</t>
  </si>
  <si>
    <t>British Antarctic Survey; Natural Environment Research Council [bas0100025] Funding Source: researchfish; NERC [bas0100025] Funding Source: UKRI</t>
  </si>
  <si>
    <t>British Antarctic Survey; Natural Environment Research Council(UK Research &amp; Innovation (UKRI)Natural Environment Research Council (NERC)); NERC(UK Research &amp; Innovation (UKRI)Natural Environment Research Council (NERC))</t>
  </si>
  <si>
    <t>This work was funded as a component to the Ecosystems program of the British Antarctic Survey.</t>
  </si>
  <si>
    <t>0142-7873</t>
  </si>
  <si>
    <t>1464-3774</t>
  </si>
  <si>
    <t>J PLANKTON RES</t>
  </si>
  <si>
    <t>J. Plankton Res.</t>
  </si>
  <si>
    <t>10.1093/plankt/fbq089</t>
  </si>
  <si>
    <t>689SG</t>
  </si>
  <si>
    <t>WOS:000284948600009</t>
  </si>
  <si>
    <t>Gedamke, J; Gales, N; Frydman, S</t>
  </si>
  <si>
    <t>Gedamke, Jason; Gales, Nick; Frydman, Sascha</t>
  </si>
  <si>
    <t>Assessing risk of baleen whale hearing loss from seismic surveys: The effect of uncertainty and individual variation</t>
  </si>
  <si>
    <t>JOURNAL OF THE ACOUSTICAL SOCIETY OF AMERICA</t>
  </si>
  <si>
    <t>BOTTLE-NOSED DOLPHINS; TEMPORARY THRESHOLD SHIFTS; EVOKED-POTENTIAL AUDIOMETRY; TURSIOPS-TRUNCATUS; NOISE EXPOSURE; PHYSETER-MACROCEPHALUS; DELPHINAPTERUS-LEUCAS; ANTHROPOGENIC NOISE; FREQUENCY TONES; IMPULSES</t>
  </si>
  <si>
    <t>The potential for seismic airgun shots to cause acoustic trauma in marine mammals is poorly understood. There are just two empirical measurements of temporary threshold shift (TTS) onset levels from airgun-like sounds in odontocetes. Considering these limited data, a model was developed examining the impact of individual variability and uncertainty on risk assessment of baleen whale TTS from seismic surveys. In each of 100 simulations: 10 000 whales are assigned TTS onset levels accounting for: inter-individual variation; uncertainty over the population's mean; and uncertainty over weighting of odontocete data to obtain baleen whale onset levels. Randomly distributed whales are exposed to one seismic survey passage with cumulative exposure level calculated. In the base scenario, 29% of whales (5th/95th percentiles of 10%/62%) approached to 1-1.2 km range were exposed to levels sufficient for TTS onset. By comparison, no whales are at risk outside 0.6 km when uncertainty and variability are not considered. Potentially exposure altering parameters (movement, avoidance, surfacing, and effective quiet) were also simulated. Until more research refines model inputs, the results suggest a reasonable likelihood that whales at a kilo-meter or more from seismic surveys could potentially be susceptible to TTS and demonstrate that the large impact uncertainty and variability can have on risk assessment. (C) 2011 Acoustical Society of America. [DOI: 10.1121/1.3493445]</t>
  </si>
  <si>
    <t>[Gedamke, Jason; Gales, Nick; Frydman, Sascha] Australian Antarctic Div, Australian Marine Mammal Ctr, Kingston, Tas 7050, Australia</t>
  </si>
  <si>
    <t>Gedamke, J (corresponding author), Australian Antarctic Div, Australian Marine Mammal Ctr, 203 Channel Highway, Kingston, Tas 7050, Australia.</t>
  </si>
  <si>
    <t>jason.gedamke@noaa.gov</t>
  </si>
  <si>
    <t>Frydman, Sascha/0000-0003-4583-0545</t>
  </si>
  <si>
    <t>ACOUSTICAL SOC AMER AMER INST PHYSICS</t>
  </si>
  <si>
    <t>STE 1 NO 1, 2 HUNTINGTON QUADRANGLE, MELVILLE, NY 11747-4502 USA</t>
  </si>
  <si>
    <t>0001-4966</t>
  </si>
  <si>
    <t>J ACOUST SOC AM</t>
  </si>
  <si>
    <t>J. Acoust. Soc. Am.</t>
  </si>
  <si>
    <t>10.1121/1.3493445</t>
  </si>
  <si>
    <t>Acoustics; Audiology &amp; Speech-Language Pathology</t>
  </si>
  <si>
    <t>716DE</t>
  </si>
  <si>
    <t>WOS:000286944600056</t>
  </si>
  <si>
    <t>Pearn, JH</t>
  </si>
  <si>
    <t>Pearn, J. H.</t>
  </si>
  <si>
    <t>Dr William Wilson Ingram (1888-1982): doctor-soldier, physician and Antarctic expeditioner</t>
  </si>
  <si>
    <t>JOURNAL OF THE ROYAL COLLEGE OF PHYSICIANS OF EDINBURGH</t>
  </si>
  <si>
    <t>WW Ingram (1888-1982); Antarctica; polar exploration; military medicine; diabetes</t>
  </si>
  <si>
    <t>Dr William Wilson Ingram (1888-1982), a Scottish-born physician, contributed significantly to the health and heritage of Australia, his adopted land. Born on Speyside and educated in Aberdeen, he was a doctor-soldier in two World Wars and decorated with the Military Cross. Ingram was a Foundation Fellow (1938) of the Royal Australasian College of Physicians and established one of the first specialist diabetic clinics in Australia, in Sydney in 1928. As an arachnologist, he published clinical descriptions of both surviving and fatal cases of envenomation by the Sydney funnel web spider, Atrax robustus. He founded the Kolling Institute of Medical Research at the Royal North Shore Hospital in Sydney where for two generations he was a leader in both undergraduate and postgraduate medical education. The international significance of his life's work relates to his service as the medical officer and biologist on the two British, Australian and New Zealand Antarctic Research Expeditions (BANZARE) of 1929-1931, for which service he was awarded the Polar Medal and subsequent Clasp. Those expeditions secured, for the British Crown, what was to become the Australian Antarctic Territory, ceded to Australia by a British Order in Council of 24 August 1936. Sir Douglas Mawson, polar expeditioner and the leader of BANZARE, described Ingram as 'an ideal medical officer', on who in addition to his clinical skills and judgement, manifested courage and 'physical endurance and a full measure of camaraderie'. Ingram has no published obituary or biography. This precis records some details of his extraordinary life.</t>
  </si>
  <si>
    <t>[Pearn, J. H.] Univ Queensland, Sch Med, Brisbane, Qld, Australia</t>
  </si>
  <si>
    <t>University of Queensland</t>
  </si>
  <si>
    <t>Pearn, JH (corresponding author), Royal Childrens Hosp, Hist &amp; Heritage, Brisbane, Qld 4029, Australia.</t>
  </si>
  <si>
    <t>j.pearn@uq.edu.au</t>
  </si>
  <si>
    <t>Pearn, John/0000-0002-8815-2994</t>
  </si>
  <si>
    <t>ROYAL COLL PHYSICIANS EDINBURGH</t>
  </si>
  <si>
    <t>EDINBURGH</t>
  </si>
  <si>
    <t>9 QUEEN ST, EDINBURGH, EH2 1JQ, ENGLAND</t>
  </si>
  <si>
    <t>1478-2715</t>
  </si>
  <si>
    <t>2042-8189</t>
  </si>
  <si>
    <t>J ROY COLL PHYS EDIN</t>
  </si>
  <si>
    <t>J. Roy. Coll. Phys. Edinb.</t>
  </si>
  <si>
    <t>10.4997/JRCPE.2011.319</t>
  </si>
  <si>
    <t>Medicine, General &amp; Internal</t>
  </si>
  <si>
    <t>General &amp; Internal Medicine</t>
  </si>
  <si>
    <t>VF5VZ</t>
  </si>
  <si>
    <t>WOS:000443169900017</t>
  </si>
  <si>
    <t>Smith, ND; Crandall, JR; Hellert, SM; Hammer, WR; Makovicky, PJ</t>
  </si>
  <si>
    <t>Smith, Nathan D.; Crandall, Jake R.; Hellert, Spencer M.; Hammer, William R.; Makovicky, Peter J.</t>
  </si>
  <si>
    <t>ANATOMY AND AFFINITIES OF LARGE ARCHOSAUROMORPHS FROM THE LOWER FREMOUW FORMATION (EARLY TRIASSIC) OF ANTARCTICA</t>
  </si>
  <si>
    <t>JOURNAL OF VERTEBRATE PALEONTOLOGY</t>
  </si>
  <si>
    <t>CENTRAL TRANSANTARCTIC MOUNTAINS; PHYLOGENETIC-RELATIONSHIPS; POSTCRANIAL PNEUMATICITY; BASAL ARCHOSAURIFORM; KAROO BASIN; REPTILE; BOUNDARY; INTERRELATIONSHIPS; REDESCRIPTION; DIAPSIDA</t>
  </si>
  <si>
    <t>The vertebrate assemblage of the lower Fremouw Formation has been studied for nearly 50 years, but many components remain poorly known. We describe a partial presacral vertebra and the distal end of a left humerus collected just above the Permian-Triassic boundary in the Shackleton Glacier region of the central Transantarctic Mountains. Our identification of these specimens as archosauromorphs that represent at least one taxon of large-bodied archosauriform increases the known reptile diversity of the Fremouw Formation considerably, and provides the first definitive evidence for the presence of Archosauriformes in the Early Triassic of Antarctica. These records increase faunal similarities between the lower Fremouw Formation and other Early Triassic assemblages. Although the lower Fremouw assemblage is typically considered a subset of the coeval Lystrosaurus Assemblage Zone (LAZ) of South Africa, the discrepancy in inferred body size between the Antarctic specimens and Proterosuchus fergusi, coupled with the fact that the LAZ of the Karoo Basin has been sampled much more thoroughly, suggests a real disparity in the maximum body size of apex carnivores between the lower Fremouw assemblage and the LAZ. The lower Fremouw specimens also demonstrate that one or more lineages of archosauriform had attained the large body size characteristic of later members of the clade very soon after the end-Permian mass extinction. This offers a point of contrast with the global pattern of post-extinction terrestrial communities, which are typified by a marked reduction in body size (the 'Lilliput effect').</t>
  </si>
  <si>
    <t>[Smith, Nathan D.; Makovicky, Peter J.] Field Museum Nat Hist, Dept Geol, Chicago, IL 60605 USA; [Smith, Nathan D.] Univ Chicago, Comm Evolutionary Biol, Chicago, IL 60637 USA; [Crandall, Jake R.; Hellert, Spencer M.; Hammer, William R.] Augustana Coll, Dept Geol, Rock Isl, IL 61201 USA</t>
  </si>
  <si>
    <t>Field Museum of Natural History (Chicago); University of Chicago</t>
  </si>
  <si>
    <t>Smith, ND (corresponding author), Field Museum Nat Hist, Dept Geol, 1400 S Lake Shore Dr, Chicago, IL 60605 USA.</t>
  </si>
  <si>
    <t>smithnd@uchicago.edu; jake-crandall@augustana.edu; spencer-hellert@augustana.edu; williamhammer@augustana.edu; pmakovicky@fieldmuseum.org</t>
  </si>
  <si>
    <t>Smith, Nathan John/JXY-5736-2024</t>
  </si>
  <si>
    <t>Smith, Nathan John/0009-0000-1982-8420; Smith, Nathan/0000-0001-5554-4994</t>
  </si>
  <si>
    <t>Augustana College; FMNH; NSF [DBI-0849958, ANT-0838925, ANT-0837951, DEB-0808250]; AMNH; Office of Polar Programs (OPP); Directorate For Geosciences [0838925, 0837951] Funding Source: National Science Foundation</t>
  </si>
  <si>
    <t>Augustana College; FMNH; NSF(National Science Foundation (NSF)); AMNH; Office of Polar Programs (OPP); Directorate For Geosciences(National Science Foundation (NSF)NSF - Directorate for Geosciences (GEO))</t>
  </si>
  <si>
    <t>We thank the 1977-1978 Ohio State University and Wayne State University field crews for the collection of vertebrate specimens and the 1995-1996 Ohio State University and Augustana College field crews for subsequent collection and stratigraphic refinement. We also thank USAP remote field crews, past and present, for scientific work in the central Transantarctic lMountains. Science and support staff based in McMurdo Station, Antarctica, also deserve thanks for making this research possible. M. Norell and C. Mehling (AMNH) are thanked for arranging the loan of AMNH 24262 and 24264. We thank L. Herzog (FMNH) for additional preparation of AMNH 24262. For access to collections in their care we also acknowledge O. Alcober and R. Martinez (PVSJ), C. Mehling and M. Norell (AMNH), J. Powell (Fundacion Miguel Lillo, Tucuman, Argentina), and W. Simpson (FMNH). For constructive discussion on early drafts of the manuscript, we thank K. Angielczyk (FMNH), J. Frobisch (FMNH), and S. Nesbitt (U. Texas, Austin). JVP editor Johannes Muller and reviewers Richard Butler and Sean Modesto also contributed comments and discussion that significantly improved the final version of the manuscript. We also thank S. Nesbitt for graciously providing specimen photographs of Euparkeria capensis (SAM 5867), Proterosuchus fergusi (NMQR 1484), and Tropidosuchus romeri (PVL 4601); and R. Irmis for providing specimen photographs of Saturnalia tupiniquim (MCP 3844-PV, 3845-PV, 3846-PV). J.R.C. and S.H. also acknowledge support for a summer internship at FMNH provided by Augustana College, FMNH, and NSF DBI-0849958 to P. Sierwald and P.J.M. Funding for this research was provided by NSF ANT-0838925 to P.J.M. and N.D.S., and NSF ANT-0837951 to W.R.H. N.D.S. was also supported by NSF DEB-0808250, the Field Museum of Natural History Brown Family Graduate Fellowship, and AMNH Frank M. Chapman Memorial Fund during this project.</t>
  </si>
  <si>
    <t>0272-4634</t>
  </si>
  <si>
    <t>1937-2809</t>
  </si>
  <si>
    <t>J VERTEBR PALEONTOL</t>
  </si>
  <si>
    <t>J. Vertebr. Paleontol.</t>
  </si>
  <si>
    <t>10.1080/02724634.2011.586662</t>
  </si>
  <si>
    <t>874IR</t>
  </si>
  <si>
    <t>WOS:000298950000004</t>
  </si>
  <si>
    <t>Quiroz, JC; Wiff, R; Barrientos, MA; Contreras, F</t>
  </si>
  <si>
    <t>Carlos Quiroz, Juan; Wiff, Rodrigo; Barrientos, Mauricio A.; Contreras, Francisco</t>
  </si>
  <si>
    <t>Discrimination of environmental variables that influence the catch per unit effort: the case of the Antarctic krill fishery</t>
  </si>
  <si>
    <t>LATIN AMERICAN JOURNAL OF AQUATIC RESEARCH</t>
  </si>
  <si>
    <t>CPUE; cause-effect; standardization; abundance index; Euphausia superba; Southern Ocean</t>
  </si>
  <si>
    <t>EUPHAUSIA-SUPERBA; TIME-SERIES; COMMON TRENDS; RECRUITMENT; ABUNDANCE; SEA; STANDARDIZATION; FLUCTUATIONS; OSCILLATION; VARIABILITY</t>
  </si>
  <si>
    <t>The use of the catch per unit effort (CPUE) as an index of abundance usually requires a standardization process consisting of isolating all those exogenous factors from temporal variations in abundance from the CPUE time-series. These exogenous factors include those generated by modifications in fishery vessel efficiency, variations in fishing strategies, and environmental fluctuations. The selection of the latter has been considered to be one of the most difficult, arbitrary, and poorly documented stages since the environmental effects vary on different temporal scales in autocorrelated and non-random manners, influencing the CPUE through a cause-effect process. Transfer function models (TFM) were constructed to describe statistically the cause-effect relationship between two time-series and herein we propose that TFM are a valid tool for: i) discriminating environmental effects that influence the CPUE and ii) describing how these effects should be included in a generalized lineal model (GLM). We analyzed the Antarctic krill CPUE from August 1989 to July 1999, and as possible causal effects, the Antarctic Oscillation Index (AOI) and atmospheric pressure at sea level (APSL). TFM shows that the APSL, with an annual lag (APSL12), influences the CPUE of Antarctic krill, whereas the AOI did not have a significant effect. The use of APSL12 in the GLM increased the explanation of the deviance by 31% as compared with the APSL with no lag. We concluded that TFM constitute a promising tool for including environmental effects in the standardization of the CPUE that would result in less biased and more accurate indexes of abundance.</t>
  </si>
  <si>
    <t>[Carlos Quiroz, Juan; Wiff, Rodrigo; Contreras, Francisco] Inst Fomento Pesquero, Div Invest Pesquera, Valparaiso, Chile; [Barrientos, Mauricio A.] Pontificia Univ Catolica Valparaiso, Inst Matemat, Valparaiso, Chile</t>
  </si>
  <si>
    <t>Instituto de Fomento Pesquero (Valparaiso); Pontificia Universidad Catolica de Valparaiso</t>
  </si>
  <si>
    <t>Quiroz, JC (corresponding author), Inst Fomento Pesquero, Div Invest Pesquera, POB 8-V, Valparaiso, Chile.</t>
  </si>
  <si>
    <t>jquiroz@ifop.cl</t>
  </si>
  <si>
    <t>Quiroz, JC/A-9938-2010</t>
  </si>
  <si>
    <t>UNIV CATOLICA DE VALPARAISO</t>
  </si>
  <si>
    <t>VALPARAISO</t>
  </si>
  <si>
    <t>AV BRASIL 2950, PO BOX 4059, VALPARAISO, CHILE</t>
  </si>
  <si>
    <t>0718-560X</t>
  </si>
  <si>
    <t>0717-7178</t>
  </si>
  <si>
    <t>LAT AM J AQUAT RES</t>
  </si>
  <si>
    <t>Lat. Am. J. Aquat. Res.</t>
  </si>
  <si>
    <t>10.3856/vol39-issue1-fulltext-7</t>
  </si>
  <si>
    <t>732IR</t>
  </si>
  <si>
    <t>WOS:000288178700007</t>
  </si>
  <si>
    <t>Hernando, M; Malanga, G; Puntarulo, S; Ferreyra, G</t>
  </si>
  <si>
    <t>Hernando, Marcelo; Malanga, Gabriela; Puntarulo, Susana; Ferreyra, Gustavo</t>
  </si>
  <si>
    <t>Non-enzymatic antioxidant photoprotection against potential UVBR-induced damage in an Antarctic diatom (Thalassiosira sp.)</t>
  </si>
  <si>
    <t>beta-carotene; alpha-tocopherol; growth rate; diatoms; MAAs; photoprotection; Antarctica</t>
  </si>
  <si>
    <t>ULTRAVIOLET-RADIATION; ABSORBING COMPOUNDS; CHLORELLA-VULGARIS; MARINE DIATOM; B RADIATION; IN-VITRO; PHYTOPLANKTON; PHOTOSYNTHESIS; INHIBITION; EXPOSURE</t>
  </si>
  <si>
    <t>In January 1999, unialgal cultures of the diatom Thalassiosira sp., solate from natural phytoplankton assemblages from Potter Cove, Antarctica, were exposed to solar ultraviolet radiation (UVR, 280-400 nm) in order to study the long-term acclimation of this species. Ultraviolet radiation B (UVBR, 280-315 nm) inhibited the growth rate during the first and second days of exposure. No UVBR inhibition was observed on the third day. The initial content of alpha-tocopherol (13 pmol (10(4) cell)(-1)) showed a marked decrease during the exponential growth phase (4 pmol (10(4) cell(-1)) by day 3). The initial content of beta-carotene (3 pmol (10(4) cell)(-1)) did not show significant differences over time in cells exposed to UVBR. Two mycosporine-like amino acids (MAAs) were identified: porphyra-334 and shinorine. Cellular concentrations of MAAs increased significantly on days 2 and 3, and exposure of the algae to UVBR significantly enhanced this value. The relative importance of MAAs concentration was significant (P &lt; 0.05) in relation to the a-tocopherol content. A positive correlation was shown between cellular MAAs concentration and growth rate. Our results suggest that photoprotection against UV-induced damage is characterized by short-term consumption of a-tocopherol and longer-term synthesis of MAAs. The UVBR damage/repair ratio during long-term exposure involves the combined action of several endogenous factors within the cell, with MAAs synthesis being the most effective factor related to photoprotection.</t>
  </si>
  <si>
    <t>[Hernando, Marcelo] Univ Moron, Fac Med, RA-1708 Buenos Aires, DF, Argentina; [Malanga, Gabriela; Puntarulo, Susana] Univ Buenos Aires, Phys Chem PRALIB, Sch Pharm &amp; Biochem, Buenos Aires, DF, Argentina; [Ferreyra, Gustavo] Inst Sci Mer ISMER, Rimouski, PQ G5L 3A1, Canada; [Ferreyra, Gustavo] Inst Antartico Argentino, Buenos Aires, DF, Argentina</t>
  </si>
  <si>
    <t>University of Buenos Aires; Instituto Antartico Argentino</t>
  </si>
  <si>
    <t>Hernando, M (corresponding author), Univ Moron, Fac Med, Cabildo 134, RA-1708 Buenos Aires, DF, Argentina.</t>
  </si>
  <si>
    <t>mphernando09@hotmail.com</t>
  </si>
  <si>
    <t>Ferreyra, Gustavo Adolfo/0000-0003-1953-5067</t>
  </si>
  <si>
    <t>University of Buenos Aires; ANPCyT; Antarctic Institute of Argentina; CONICET</t>
  </si>
  <si>
    <t>University of Buenos Aires(University of Buenos Aires); ANPCyT(ANPCyT); Antarctic Institute of Argentina; CONICET(Consejo Nacional de Investigaciones Cientificas y Tecnicas (CONICET))</t>
  </si>
  <si>
    <t>We would especially like to thank Oscar Gonzalez and Leonardo Cantoni, from the Antarctic Institute of Argentina, for fieldwork and laboratory support at Jubany station. Our thanks also to the personnel from the Alfred-Wegener-Institut (AWI), who shared equipment and results with us in the frame of the Argentinean-German Cooperation at Jubany-Dallmann in Potter Cove, Antarctica. This study was supported by grants from the University of Buenos Aires, ANPCyT, Antarctic Institute of Argentina and CONICET. G.F. is a career investigator from IAA and ISMER, G.M. and S.P. are career investigators from CONICET.</t>
  </si>
  <si>
    <t>10.3856/vol39-issue3-fulltext-1</t>
  </si>
  <si>
    <t>860WR</t>
  </si>
  <si>
    <t>WOS:000297979500001</t>
  </si>
  <si>
    <t>Freer, S</t>
  </si>
  <si>
    <t>Freer, Scott</t>
  </si>
  <si>
    <t>The Lives and Modernist Death of Captain Scott</t>
  </si>
  <si>
    <t>LIFE WRITING</t>
  </si>
  <si>
    <t>Captain Scott; D. H. Lawrence; the modernist sublime; film biopic</t>
  </si>
  <si>
    <t>LAWRENCE,D.H.</t>
  </si>
  <si>
    <t>This paper considers three representations of the life and death of Captain Robert Falcon Scott and his last expedition to the South Pole: his Journals (1913), D. H. Lawrence's rewriting in his novel Women in Love (1920), and the film Scott of the Antarctic (1948). The edited Journals preserved a military image of Scott befitting the Edwardian ideal of the gentleman-adventurer, facilitating a Christianised image of heroic self-sacrifice transfiguring death. Against this masochistic code of English masculinity, Lawrence models the death of Gerald Crich in the Alps on Scott's Antarctic death to expose the emotional failure of stoical manhood invested in muscular Christianity. Scott of the Antarctic realises ambivalently both the Edwardian and the Modernist versions of Captain Scott's life and death, reflecting the changing views on Scott's moral status. Ealing studios intended to convey parallels to the Dunkirk spirit of collective endurance. However, the film script, reflecting on post-war bereavement, also gives voice to the relational cost. Furthermore, through Ralph Vaughan Williams' score, the film continues Lawrence's critical response to Scott's quest for individual transcendence, by conveying the 'death-force' at the heart of the Antarctic sublime.</t>
  </si>
  <si>
    <t>[Freer, Scott] Open Univ, Milton Keynes, Bucks, England; [Freer, Scott] Univ Leicester, Leicester LE1 7RH, Leics, England; [Freer, Scott] De Montfort Univ, Leicester LE1 9BH, Leics, England</t>
  </si>
  <si>
    <t>Open University - UK; University of Leicester; De Montfort University</t>
  </si>
  <si>
    <t>Freer, S (corresponding author), Open Univ, Milton Keynes, Bucks, England.</t>
  </si>
  <si>
    <t>4 PARK SQUARE, MILTON PARK, ABINGDON OX14 4RN, OXFORDSHIRE, ENGLAND</t>
  </si>
  <si>
    <t>1448-4528</t>
  </si>
  <si>
    <t>LIFE WRIT</t>
  </si>
  <si>
    <t>Life Writ.</t>
  </si>
  <si>
    <t>10.1080/14484528.2011.579238</t>
  </si>
  <si>
    <t>Literature</t>
  </si>
  <si>
    <t>886CF</t>
  </si>
  <si>
    <t>WOS:000299827900006</t>
  </si>
  <si>
    <t>Andrews, AH; Ashford, JR; Brooks, CM; Krusic-Golub, K; Duhamel, G; Belchier, M; Lundstrom, CC; Cailliet, GM</t>
  </si>
  <si>
    <t>Andrews, A. H.; Ashford, J. R.; Brooks, C. M.; Krusic-Golub, K.; Duhamel, G.; Belchier, M.; Lundstrom, C. C.; Cailliet, G. M.</t>
  </si>
  <si>
    <t>Lead-radium dating provides a framework for coordinating age estimation of Patagonian toothfish (Dissostichus eleginoides) between fishing areas</t>
  </si>
  <si>
    <t>age bias; age validation; Chilean sea bass; connectivity; lead-210; longevity; Nototheniidae; radiometric age; radium-226</t>
  </si>
  <si>
    <t>ROUGHY HOPLOSTETHUS-ATLANTICUS; POPULATION-STRUCTURE; GROWTH; VALIDATION; LONGEVITY; CHEMISTRY; OTOLITHS; MAWSONI; OCEAN</t>
  </si>
  <si>
    <t>Patagonian toothfish (Dissostichus eleginoides) or 'Chilean sea bass' support a valuable and controversial fishery, yet their life history is not well understood and longevity estimates range from similar to 20 to &gt;50 years. In this study, lead-radium dating provided valid ages for juvenile to older adult groups, which were consistent with the counting of otolith growth zones in transverse otolith sections, and longevity estimates exceeding 30 years. Lead-radium dating revealed minor biases between the radiometric age and interpretation of growth zone counting for regional fishing areas monitored by two facilities, Center for Quantitative Fisheries Ecology (CQFE) and the Central Ageing Facility (CAF), using different age estimation techniques. For CQFE, under-ageing of similar to 3.3 years was observed for individuals with estimated ages under 20 years. For the CAF, ages were overestimated for young fish and underestimated for the oldest fish. Lead-radium dating detected underlying problems in coordinating age estimation between geographically separated fish stocks, and provided a framework to objectively assess otolith interpretation and growth modelling between laboratories based on age-validated data.</t>
  </si>
  <si>
    <t>[Andrews, A. H.] NOAA Fisheries, Pacific Isl Fisheries Sci Ctr, Aiea, HI 96701 USA; [Ashford, J. R.] Old Dominion Univ, Ctr Quantitat Fisheries Ecol, Norfolk, VA 23508 USA; [Brooks, C. M.; Cailliet, G. M.] Moss Landing Marine Labs, Moss Landing, CA 95039 USA; [Krusic-Golub, K.] Fish Ageing Serv Pty Ltd, Portarlington, Vic 3223, Australia; [Duhamel, G.] Museum Natl Hist Nat, Paris, France; [Belchier, M.] British Antarctic Survey, Nat Environm Res Council, Cambridge CB3 0ET, England; [Lundstrom, C. C.] Univ Illinois, Dept Geol, Urbana, IL 61801 USA</t>
  </si>
  <si>
    <t>National Oceanic Atmospheric Admin (NOAA) - USA; Old Dominion University; Moss Landing Marine Laboratories; Museum National d'Histoire Naturelle (MNHN); UK Research &amp; Innovation (UKRI); Natural Environment Research Council (NERC); NERC British Antarctic Survey; University of Illinois System; University of Illinois Urbana-Champaign</t>
  </si>
  <si>
    <t>Andrews, AH (corresponding author), NOAA Fisheries, Pacific Isl Fisheries Sci Ctr, 99-193 Aiea Hts Dr 417, Aiea, HI 96701 USA.</t>
  </si>
  <si>
    <t>allen.andrews@noaa.gov</t>
  </si>
  <si>
    <t>Andrews, Allen H/G-3686-2016; Andrews, Allen Hia/AAA-8554-2019</t>
  </si>
  <si>
    <t>Andrews, Allen H/0000-0002-9001-8305; Andrews, Allen Hia/0000-0002-9001-8305; Brooks, Cassandra/0000-0002-1397-0394</t>
  </si>
  <si>
    <t>National Science Foundation [0232000]; NERC [bas0100025] Funding Source: UKRI; Natural Environment Research Council [bas0100025] Funding Source: researchfish; Division Of Polar Programs; Directorate For Geosciences [0232000] Funding Source: National Science Foundation</t>
  </si>
  <si>
    <t>National Science Foundation(National Science Foundation (NSF)); NERC(UK Research &amp; Innovation (UKRI)Natural Environment Research Council (NERC)); Natural Environment Research Council(UK Research &amp; Innovation (UKRI)Natural Environment Research Council (NERC)); Division Of Polar Programs; Directorate For Geosciences(National Science Foundation (NSF)NSF - Directorate for Geosciences (GEO))</t>
  </si>
  <si>
    <t>We thank Donna Kline, Kenneth Coale of Moss Landing Marine Laboratories (MLML) and Cynthia Jones of Old Dominion University for assistance with developing this collaborative age validation project as a National Science Foundation project funded under project number 0232000. The radiometric work presented here was performed with the infrastructure laboratory support of MLML and the laboratory assistance of Donna Kline. Guillermo Moreno, an observer in the CCAMLR monitoring program, provided a set of otoliths used in the earliest stages of determining the application parameters. We acknowledge the contribution of fishery observers working on commercial fishing vessels operating on the Kerguelen Plateau and in the Heard and McDonald fishery for their collection efforts. The Australian Antarctic Division provided the otolith samples aged by the CAF. Thanks to Ed DeMartini and Chris Boggs for providing an internal NOAA review of this manuscript. Baie dankie to Paul Cowley (SAIAB, South Africa) for manuscript comments and support through the dissertation process for Allen Andrews. This manuscript is based on a dissertation chapter by Allen Andrews from Rhodes University.</t>
  </si>
  <si>
    <t>1448-6059</t>
  </si>
  <si>
    <t>10.1071/MF10225</t>
  </si>
  <si>
    <t>796WS</t>
  </si>
  <si>
    <t>WOS:000293084800001</t>
  </si>
  <si>
    <t>Benoit-Bird, KJ; Kuletz, K; Heppell, S; Jones, N; Hoover, B</t>
  </si>
  <si>
    <t>Benoit-Bird, Kelly J.; Kuletz, Kathy; Heppell, Scott; Jones, Nathan; Hoover, Brian</t>
  </si>
  <si>
    <t>Active acoustic examination of the diving behavior of murres foraging on patchy prey</t>
  </si>
  <si>
    <t>Foraging; Seabirds; Predator-prey; Acoustics</t>
  </si>
  <si>
    <t>THICK-BILLED MURRES; SOUTHEASTERN BERING-SEA; KRILL EUPHAUSIA-SUPERBA; ST-GEORGE ISLAND; PRIBILOF ISLANDS; ANTARCTIC KRILL; LOCAL ENHANCEMENT; SPATIAL-PATTERNS; TEMPORAL SCALES; MARINE PREDATOR</t>
  </si>
  <si>
    <t>During the 2008 and 2009 breeding seasons of murres Uria spp., we combined visual observations of these predators with active acoustics (sonar), fish trawls, zooplankton net tows, and hydrographic measurements in the area surrounding breeding colonies in the southeastern Bering Sea. We acoustically detected thousands of bubble trails that were strongly correlated with the number of visually detected murres, providing a new tool for quantitatively studying the foraging ecology of diving birds. At the regional scale, the number of acoustically detected bubble trails, which served as a proxy for diving murre abundance, was related to the combined availability and vertical accessibility of squid, krill, and pollock. There were, however, no clear relationships at this scale between diving murres and any individual prey taxon, highlighting the importance of prey diversity to these animals. Individual krill patches targeted by murres had higher krill density and were located shallower than the mean depth of krill patches, but were similar in total krill abundance and overall size. The diving depth of murres within krill patches was highly correlated to the depth of the upper edge of these patches, whereas murres found outside of krill patches showed a depth distribution similar to that of juvenile pollock. Throughout the study area, murres showed strong diel patterns in their diving behavior in response to the diel migrations of their prey. These results suggest that murres select prey with specific patch characteristics implying effective information gathering about prey by murres. The high proportion of diving murres in aggregations and their consistent inter-individual spacing support the hypothesis that intra-specific local enhancement may facilitate foraging in these predators.</t>
  </si>
  <si>
    <t>[Benoit-Bird, Kelly J.] Oregon State Univ, Coll Ocean &amp; Atmospher Sci, Corvallis, OR 97331 USA; [Kuletz, Kathy] US Fish &amp; Wildlife Serv, Anchorage, AK 99503 USA; [Heppell, Scott] Oregon State Univ, Dept Fisheries &amp; Wildlife, Corvallis, OR 97331 USA; [Jones, Nathan; Hoover, Brian] Moss Landing Marine Labs, Moss Landing, CA 95039 USA</t>
  </si>
  <si>
    <t>Oregon State University; United States Department of the Interior; US Fish &amp; Wildlife Service; Oregon State University; Moss Landing Marine Laboratories</t>
  </si>
  <si>
    <t>Benoit-Bird, KJ (corresponding author), Oregon State Univ, Coll Ocean &amp; Atmospher Sci, 104 COAS Adm Bldg, Corvallis, OR 97331 USA.</t>
  </si>
  <si>
    <t>kbenoit@coas.oregonstate.edu</t>
  </si>
  <si>
    <t>Hoover, Brian/0000-0003-1603-6932; Benoit-Bird, Kelly J./0000-0002-5868-0390</t>
  </si>
  <si>
    <t>North Pacific Research Board</t>
  </si>
  <si>
    <t>C. Waluk, G. Kowalke, L. Whitman, N. McIntosh, S. Archer-Kraft, and A. Dauble assisted in field work. J. Condiotty of Simrad, C. Wingard, T. Cowles, B. Emmett, M. Torres, C. Miller, M. J. Zirbel, R. Letelier, and M. McManus lent equipment used in the study. D. Griffith provided information for the design of the acoustic mount. C. Waluk and M. J. Zirbel conducted preliminary data analysis. K. Shearman engaged in valuable discussions about physical oceanographic data and processes. A. Trites facilitated collaboration among research teams. G. Hunt provided constructive feedback on the study design, helpful comments on an earlier draft of the manuscript, and encouragement throughout. The captains and crews of the FV 'Frosti' and the FV 'Gold Rush' provided exceptional field support. Funding was provided by the North Pacific Research Board as part of the Bering Sea Integrated Ecosystem Research Program (BSIERP); this is NPRB Publication Number 311 and BEST-BSIERP Bering Sea Project Publication Number 27.</t>
  </si>
  <si>
    <t>10.3354/meps09408</t>
  </si>
  <si>
    <t>865HS</t>
  </si>
  <si>
    <t>WOS:000298302500016</t>
  </si>
  <si>
    <t>Lowther, AD; Harcourt, RG; Hamer, DJ; Goldsworthy, SD</t>
  </si>
  <si>
    <t>Lowther, A. D.; Harcourt, R. G.; Hamer, D. J.; Goldsworthy, S. D.</t>
  </si>
  <si>
    <t>Creatures of habit: foraging habitat fidelity of adult female Australian sea lions</t>
  </si>
  <si>
    <t>Stable isotopes; Otariid; Niche specialisation; Sea lion; Whiskers; Tracking; Individual variation; Australian sea lion</t>
  </si>
  <si>
    <t>SOUTHERN ELEPHANT SEALS; ANTARCTIC FUR SEALS; AREA-RESTRICTED SEARCH; CENTRAL-PLACE FORAGER; STABLE-ISOTOPES; DIVING BEHAVIOR; SURFACE TEMPERATURES; SATELLITE TELEMETRY; OTARIA-FLAVESCENS; 1ST-PASSAGE TIME</t>
  </si>
  <si>
    <t>We examined the movement characteristics and seasonality of feeding behaviour for an endemic Australian otariid, the Australian sea lion Neophoca cinerea. By combining tracking data and stable isotope analysis of serially subsampled vibrissae from 20 adult females at 7 colonies, we were able to characterise individual foraging specialisation across 80% of the species range. Adult females expressed long-term temporal consistency in both foraging site (offshore vs. inshore) and prey selection. When seasonality in foraging behaviour was detected (n = 7), there was no consistency in variation of isotope ratios between individuals or colonies. Offshore-foraging sea lions fed at higher trophic levels than inshore foragers. Potentially, inshore foragers could be subdivided into those which targeted heterogeneously distributed seagrass meadows or calcarenite reef systems for different payoffs. This data highlights the importance of understanding individual specialisation and the dangers of generalising behaviour at the colony level. Individual specialisation in foraging behaviour may be a mechanism that reduces intra-specific competition, but its effectiveness will be a function of the temporal stability of individual differences. The present study is the first to identify multi-season consistency of individual foraging behaviour for any otariid. Given the long-term stability of adult female foraging behaviour, categorising individuals using a proxy measure such as whisker isotopic signature appears robust, economical, and appropriate. Such data is critical to modelling population response to anthropogenically driven fine-scale habitat modification.</t>
  </si>
  <si>
    <t>[Lowther, A. D.] Univ Adelaide, Adelaide, SA, Australia; [Lowther, A. D.; Goldsworthy, S. D.] S Australian Res &amp; Dev Inst Aquat Sci, W Beach, SA, Australia; [Harcourt, R. G.] Macquarie Univ, Grad Sch Environm, Marine Mammal Res Grp, N Ryde, NSW, Australia; [Hamer, D. J.] Australian Antarctic Div, Kingston, Tas, Australia</t>
  </si>
  <si>
    <t>University of Adelaide; Macquarie University; Australian Antarctic Division</t>
  </si>
  <si>
    <t>Lowther, AD (corresponding author), Univ Adelaide, Adelaide, SA, Australia.</t>
  </si>
  <si>
    <t>drew.lowther73@gmail.com</t>
  </si>
  <si>
    <t>Lowther, Andrew/0000-0003-4294-3157; Harcourt, Robert/0000-0003-4666-2934; Goldsworthy, Simon/0000-0003-4988-9085</t>
  </si>
  <si>
    <t>Department of Environment, Water, Heritage and the Arts' Australian Marine Mammal Centre; Australian Antarctic Division Commonwealth Environment Research Facilities (CERF); Sea World Research and Rescue Foundation; Holsworth Wildlife Research Endowment</t>
  </si>
  <si>
    <t>All sea lion handling and experimentation was performed under Department of Environment and Heritage scientific permit no. A24684-7 and University of Adelaide animal ethics permit no. S-010-2008. Research was funded through the Department of Environment, Water, Heritage and the Arts' Australian Marine Mammal Centre, Australian Antarctic Division Commonwealth Environment Research Facilities (CERF) program; Sea World Research and Rescue Foundation and the Holsworth Wildlife Research Endowment. We acknowledge the logistical assistance of the South Australian Department of Environment and Heritage rangers and the South Australian State Emergency Services. We also thank the 3 anonymous reviewers for feedback that improved the manuscript.</t>
  </si>
  <si>
    <t>10.3354/meps09392</t>
  </si>
  <si>
    <t>WOS:000298302500018</t>
  </si>
  <si>
    <t>Thresher, RE; Tilbrook, B; Fallon, S; Wilson, NC; Adkins, J</t>
  </si>
  <si>
    <t>Thresher, Ronald E.; Tilbrook, Bronte; Fallon, Stewart; Wilson, Nick C.; Adkins, Jess</t>
  </si>
  <si>
    <t>Effects of chronic low carbonate saturation levels on the distribution, growth and skeletal chemistry of deep-sea corals and other seamount megabenthos</t>
  </si>
  <si>
    <t>Anthozoa Echinoderm; Aragonite saturation horizon; Calcite saturation horizon; Gorgonacea; High-magnesium calcite; Mineralogy; Scleractinia</t>
  </si>
  <si>
    <t>OCEAN ACIDIFICATION; CLIMATE-CHANGE; WATER; CALCIFICATION; SEAWATER; CO2; DISSOCIATION; CONSTANTS; COMMUNITY; IMPACT</t>
  </si>
  <si>
    <t>Ocean acidification has been predicted to reduce the ability of marine organisms to produce carbonate skeletons, threatening their long-term viability and severely impacting marine ecosystems. Corals, as ecosystem engineers, have been identified as particularly vulnerable and important. To determine the sensitivity of corals and allied taxa to long-term exposure to very low carbonate concentrations, we examined the distribution and skeletal characteristics of coral taxa along a natural deep-sea concentration gradient on seamounts of SW Australia. Carbonate under-saturation had little evident effect on the depth distribution, growth or skeletal composition of live scleractinians or gorgonians, with corals growing, often abundantly, in waters as much as 20 to 30% under-saturated. Developmental anomalies in the deepest skeleton-forming anthozoan collected (an isidid gorgonian, at nearly 4 km depth) suggest an absolute low tolerance limit of about 40% under-saturation. Evidence for an effect of acidification on the accumulation of reef structure is ambiguous, with clear indications of dissolution of high-magnesium calcite (HMC) gorgonian skeletons at depths below 2300 m, but also abundant, old scleractinian skeletons well below the aragonite saturation horizon. The latter might be the result of ferromanganese deposition on exposed skeletons, which, however, may render them inhospitable for benthic organisms.</t>
  </si>
  <si>
    <t>[Thresher, Ronald E.] CSIRO Climate Adaptat Flagship, Hobart, Tas 7001, Australia; [Tilbrook, Bronte] CSIRO Wealth Oceans Flagship, Hobart, Tas 7001, Australia; [Tilbrook, Bronte] Antarctic Climate &amp; Ecosyst Cooperat Res Ctr, Hobart, Tas 7001, Australia; [Fallon, Stewart] Australian Natl Univ, Res Sch Earth Sci, Canberra, ACT 0200, Australia; [Wilson, Nick C.] CSIRO Proc Sci Engn, Clayton, Vic 3169, Australia; [Adkins, Jess] CALTECH, Pasadena, CA 91125 USA</t>
  </si>
  <si>
    <t>Commonwealth Scientific &amp; Industrial Research Organisation (CSIRO); Commonwealth Scientific &amp; Industrial Research Organisation (CSIRO); Antarctic Climate &amp; Ecosystems Cooperative Research Centre (ACE CRC); Australian National University; Commonwealth Scientific &amp; Industrial Research Organisation (CSIRO); California Institute of Technology</t>
  </si>
  <si>
    <t>Thresher, RE (corresponding author), CSIRO Climate Adaptat Flagship, GPO Box 1538, Hobart, Tas 7001, Australia.</t>
  </si>
  <si>
    <t>ron.thresher@csiro.au</t>
  </si>
  <si>
    <t>Adkins, Jess/GYI-8778-2022; Thresher, Ronald/C-7442-2009; Tilbrook, Bronte/W-4007-2019; Fallon, Stewart/G-6645-2011; Wilson, Nick/H-1228-2018</t>
  </si>
  <si>
    <t>Tilbrook, Bronte/0000-0001-9385-3827; Fallon, Stewart/0000-0002-8064-5903; Wilson, Nick/0000-0002-1644-164X</t>
  </si>
  <si>
    <t>National Science Foundation; Australian Department of Environment, Water, Heritage, and the Arts; Australian Climate Change Science Program; Australian Commonwealth Environmental Research Fund; Australian National Research Facility</t>
  </si>
  <si>
    <t>National Science Foundation(National Science Foundation (NSF)); Australian Department of Environment, Water, Heritage, and the Arts(Australian Government); Australian Climate Change Science Program; Australian Commonwealth Environmental Research Fund; Australian National Research Facility</t>
  </si>
  <si>
    <t>We thank E. Anagnostou, A. Beck, W. Cho, A. Gagnon, K. Gowlett-Holmes, S. John, A. Kennedy, H. Kippo, N. Meckler, D. Mills, D. Staples, A. Subhas and N. Thiagarajan; the crews of the autonomous underwater vehicle (AUV) 'ABE', the ROV 'Jason' and the RVs 'Thomas T. Thompson' and 'Southern Surveyor' for their professional assistance in the field; P. Alderslade, S. Cairns, D. Fautin, K. Gowlett-Holmes, F. McEnnulty and K. Moore for taxonomic assistance; A. Agron, K. Berry, E. Innocenti, C. MacRae and S. Peacock for the mineralogical and chemical analyses; R. Matear for discussions about historical shifts in the ASH; E. Butler for advice on measuring organic fractions in corals; M. Keith and the Woods Hole Advanced Imaging and Visualization Laboratory for photographic expertise; and N. Bax, J. Guinotte, R. Matear and 2 anonymous referees for comments on the manuscript. Components of this work were supported by the National Science Foundation; the Australian Department of Environment, Water, Heritage, and the Arts; the Australian Climate Change Science Program; the Australian Commonwealth Environmental Research Fund; and a grant of ship time by the Australian National Research Facility.</t>
  </si>
  <si>
    <t>10.3354/meps09400</t>
  </si>
  <si>
    <t>865HG</t>
  </si>
  <si>
    <t>Green Published, Bronze, Green Accepted</t>
  </si>
  <si>
    <t>WOS:000298301200007</t>
  </si>
  <si>
    <t>McKnight, A; Irons, DB; Allyn, AJ; Sullivan, KM; Suryan, RM</t>
  </si>
  <si>
    <t>McKnight, Aly; Irons, David B.; Allyn, Andrew J.; Sullivan, Kelsey M.; Suryan, Robert M.</t>
  </si>
  <si>
    <t>Winter dispersal and activity patterns of post-breeding black-legged kittiwakes Rissa tridactyla from Prince William Sound, Alaska</t>
  </si>
  <si>
    <t>Black-legged kittiwake; Rissa tridactyla; Geolocation; Activity sensor; Winter distribution; Winter activity; North Pacific</t>
  </si>
  <si>
    <t>BREEDING PHENOLOGY; BODY CONDITION; SOUTH-GEORGIA; SEABIRD; SUCCESS; GEOLOCATION; MIGRATION; BEHAVIOR; GULF; SEA</t>
  </si>
  <si>
    <t>As colony-specific wintering ecology of small and medium-sized seabirds is poorly understood, it has been generally assumed that winter conditions have the same effect on all individuals from any given colony. However, advances in global positioning technology now allow researchers to investigate movements of smaller seabirds. We tracked black-legged kittiwakes Rissa tridactyla using geolocator tags during the non-breeding season. Although kittiwakes as a group appear to be generalists with respect to overwintering strategy, our data indicate that individual birds are more specialized in their use of wintering habitat. Among birds tagged in the Gulf of Alaska, we identified 3 groups employing different wintering strategies: (1) resident birds that remain in the northern Gulf of Alaska; (2) coastal birds that remain within coastal and shelf waters but move as far south as California; and (3) pelagic birds that travel up to 1700 km offshore. Given that wintering conditions differ in widely spaced areas, the effects of winter on bird survival and body condition are likely not the same on all birds in a colony, as is often assumed. Activity data revealed that kittiwakes are almost entirely diurnal during the non-breeding season. We found significant differences in time allocation among wintering groups: birds that remained in the colony region spent less time loafing during the day and engaged in longer daytime flying and foraging bouts than birds that wintered farther from the colony. These differences suggest that wintering birds make trade-offs among travel distance, metabolic demands, and foraging quality.</t>
  </si>
  <si>
    <t>[McKnight, Aly; Irons, David B.] US Fish &amp; Wildlife Serv, Anchorage, AK 99503 USA; [Allyn, Andrew J.] Univ Massachusetts, Dept Nat Resource Conservat, Amherst, MA 01003 USA; [Sullivan, Kelsey M.] Maine Dept Inland Fisheries &amp; Wildlife, Bangor, ME 04401 USA; [Suryan, Robert M.] Oregon State Univ, Hatfield Marine Sci Ctr, Newport, OR 97365 USA</t>
  </si>
  <si>
    <t>United States Department of the Interior; US Fish &amp; Wildlife Service; University of Massachusetts System; University of Massachusetts Amherst; Oregon State University</t>
  </si>
  <si>
    <t>McKnight, A (corresponding author), US Fish &amp; Wildlife Serv, 1011 E Tudor Rd, Anchorage, AK 99503 USA.</t>
  </si>
  <si>
    <t>aly.mcknight@gmail.com</t>
  </si>
  <si>
    <t>Allyn, Andrew/0000-0002-1584-0198; Suryan, Robert/0000-0003-0755-8317</t>
  </si>
  <si>
    <t>Earthwatch Institute; US Fish and Wildlife Service</t>
  </si>
  <si>
    <t>Earthwatch Institute; US Fish and Wildlife Service(US Fish &amp; Wildlife Service)</t>
  </si>
  <si>
    <t>We conducted this work with financial support from the Earthwatch Institute and the US Fish and Wildlife Service. We completed the data collection and analysis in collaboration with the British Antarctic Survey, with considerable assistance from J. Fox. In addition, R. Orben and an anonymous reviewer provided valuable feedback on this paper. Finally, we thank the many technicians and volunteers who helped to capture and resight birds, especially A. Robbins, K. Brenneman, T. Sandberg-Diment, G. Zager, J. Albanese, N. Nelson, J. O'Donnell, R. Sandberg-Diment, R. Pond, J. Stanley, and D. Cushing.</t>
  </si>
  <si>
    <t>10.3354/meps09373</t>
  </si>
  <si>
    <t>WOS:000298301200018</t>
  </si>
  <si>
    <t>Hemery, LG; Galton-Fenzi, B; Améziane, N; Riddle, MJ; Rintoul, SR; Beaman, RJ; Post, AL; Eléaume, M</t>
  </si>
  <si>
    <t>Hemery, L. G.; Galton-Fenzi, B.; Ameziane, N.; Riddle, M. J.; Rintoul, S. R.; Beaman, R. J.; Post, A. L.; Eleaume, M.</t>
  </si>
  <si>
    <t>Predicting habitat preferences for Anthometrina adriani (Echinodermata) on the East Antarctic continental shelf</t>
  </si>
  <si>
    <t>Ecological niche; Optimal habitat; Antarctica; Crinoid; Anthometrina adriani; Ocean circulation model</t>
  </si>
  <si>
    <t>CRINOID PROMACHOCRINUS-KERGUELENSIS; SUITABILITY; CIRCULATION; ECOLOGY; ABSENCE; POPULATION; PENINSULA; BEHAVIOR; MODELS; BIRD</t>
  </si>
  <si>
    <t>The comatulid crinoid Anthometrina adriani is well represented among the suspension-feeding megaepibenthos from the continental shelf of the Dumont D'Urville Sea, Antarctica. Nearly 500 specimens were sampled during the Collaborative East Antarctic Marine Census expedition onboard the RV 'Aurora Australis' (December 2007 to January 2008), from 50 of the 87 stations over a 400 km(2) area. Abiotic environmental factors were measured and an ocean circulation model was used to generate near-bottom parameters. The ecological niche of A. adriani was described by using ecological-niche factor analysis and Mahalanobis distances factor analysis. An environmental suitability map (ESM) was developed to map the optimal habitat. A. adriani prefers moderately deep and relatively cold waters with moderate current velocity, and a substrate with low gravel content and biogenic carbonate. The ESM shows 4 optimal regions: the eastern side of the George V Basin, the eastern side of the Adelie Basin, the southern part of the Adelie Bank, and the coastal area between the Astrolabe and Mertz glaciers. The ecological niche for A. adriani appears very narrow, but the species is widely distributed across the Antarctic shell. It suggests that local changes in limiting factors have a strong local effect on the distribution of this species and that a total eradication of this species from the shelf would need an Antarctic-wide and synchronic change in these essential parameters. Modeling modifications in environmental conditions under different climate change scenarios could help predict the effect of such changes on the distribution of this selective species.</t>
  </si>
  <si>
    <t>[Hemery, L. G.; Ameziane, N.; Eleaume, M.] Museum Natl Hist Nat, BOREA UMR7208, F-75005 Paris, France; [Galton-Fenzi, B.; Rintoul, S. R.] Univ Tasmania, Antarctic Climate &amp; Ecosyst Cooperat Res Ctr, Hobart, Tas 7000, Australia; [Riddle, M. J.] Australian Antarctic Div, Kingston, Tas 7050, Australia; [Rintoul, S. R.] CSIRO Marine &amp; Atmospher Res, Hobart, Tas 7000, Australia; [Beaman, R. J.] James Cook Univ, Sch Earth &amp; Environm Sci, Cairns, Qld 4870, Australia; [Post, A. L.] Geosci Australia, Canberra, ACT 2601, Australia</t>
  </si>
  <si>
    <t>Centre National de la Recherche Scientifique (CNRS); Institut de Recherche pour le Developpement (IRD); Museum National d'Histoire Naturelle (MNHN); Sorbonne Universite; CNRS - Institute of Ecology &amp; Environment (INEE); Antarctic Climate &amp; Ecosystems Cooperative Research Centre (ACE CRC); University of Tasmania; Australian Antarctic Division; Commonwealth Scientific &amp; Industrial Research Organisation (CSIRO); James Cook University; Geoscience Australia</t>
  </si>
  <si>
    <t>Hemery, LG (corresponding author), Museum Natl Hist Nat, BOREA UMR7208, F-75005 Paris, France.</t>
  </si>
  <si>
    <t>lhemery@mnhn.fr</t>
  </si>
  <si>
    <t>Rintoul, Stephen R/A-1471-2012; Hemery, Lenaïg/AAA-5799-2021</t>
  </si>
  <si>
    <t>Rintoul, Stephen R/0000-0002-7055-9876; Hemery, Lenaïg/0000-0001-5337-4514; Galton-Fenzi, Benjamin Keith/0000-0003-1404-4103; Ameziane, Nadia/0000-0002-8546-9961; Post, Alexandra/0000-0002-6287-3283</t>
  </si>
  <si>
    <t>French national research agency ('ANR') [07-BLAN-0213-01]; Departement des Milieux et Peuplements Aquatiques at the Museum national d'Histoire naturelle in Paris; ATM 'Biodiversite actuelle et fossile; crises, stress, restaurations et panchronisme: le message systematique'; French polar institute IPEV; SCAR; Queensland Smart Futures Fellowship; Australian Government's Cooperative Research Centre (CRC) through the Antarctic Climate and Ecosystem CRC</t>
  </si>
  <si>
    <t>French national research agency ('ANR')(Agence Nationale de la Recherche (ANR)Norwegian Agency for Development Cooperation - NORAD); Departement des Milieux et Peuplements Aquatiques at the Museum national d'Histoire naturelle in Paris; ATM 'Biodiversite actuelle et fossile; crises, stress, restaurations et panchronisme: le message systematique'; French polar institute IPEV; SCAR; Queensland Smart Futures Fellowship; Australian Government's Cooperative Research Centre (CRC) through the Antarctic Climate and Ecosystem CRC(Australian GovernmentDepartment of Industry, Innovation and ScienceCooperative Research Centres (CRC) Programme)</t>
  </si>
  <si>
    <t>We thank the ANTFLOCKS project funded by the French national research agency ('ANR'; USAR no. 07-BLAN-0213-01). Funding parties also include the Departement des Milieux et Peuplements Aquatiques at the Museum national d'Histoire naturelle in Paris, the ATM 'Biodiversite actuelle et fossile; crises, stress, restaurations et panchronisme: le message systematique', the French polar institute IPEV and the SCAR. The RV 'Aurora Australis' V3 voyage 2007-2008 was part of the Collaborative East Antarctic Marine Census (CEAMARC) program, International Polar Year (IPY) project 53 of the Census of Antarctic Marine Life (CAML). We also thank P. Koubbi, A. Goarant and F. Penot for their help with the CEAMARC data. L.G.H. also acknowledges C. Calenge for guiding her first steps with 'adehabitat' and G. Vieilledent and A. Hemery for the choice of the ENFA and MADIFA among the large panel of available analyses. A.L.P. publishes with the permission of the Chief Executive Officer, Geoscience Australia. R.J.B. acknowledges a Queensland Smart Futures Fellowship for salary support. Support from the Australian Government's Cooperative Research Centre (CRC) program, through the Antarctic Climate and Ecosystem CRC, is also acknowledged. We also thank the 4 anonymous referees for constructively reviewing the manuscript.</t>
  </si>
  <si>
    <t>10.3354/meps09330</t>
  </si>
  <si>
    <t>862AA</t>
  </si>
  <si>
    <t>WOS:000298061000009</t>
  </si>
  <si>
    <t>Maas, AE; Elder, LE; Dierssen, HM; Seibel, BA</t>
  </si>
  <si>
    <t>Maas, Amy E.; Elder, Leanne E.; Dierssen, Heidi M.; Seibel, Brad A.</t>
  </si>
  <si>
    <t>Metabolic response of Antarctic pteropods (Mollusca: Gastropoda) to food deprivation and regional productivity</t>
  </si>
  <si>
    <t>Pteropod; Zooplankton; Antarctica; Metabolism; Feeding; Temperature</t>
  </si>
  <si>
    <t>TERRA-NOVA BAY; SOUTHERN-OCEAN; CLIONE-LIMACINA; EUPHAUSIA-SUPERBA; MCMURDO SOUND; ROSS SEA; PACIFIC SECTOR; VERTICAL FLUX; CLIMATE; IMPACT</t>
  </si>
  <si>
    <t>Pteropods are an abundant group of pelagic gastropods that, although temporally and spatially patchy in the Southern Ocean, can play an important role in food webs and biochemical cycles. We found that the metabolic rate in Limacina helicina antarctica is depressed (similar to 23 %) at lower mean chlorophyll a (chl a) concentrations in the Ross Sea. To assess the specific impact of food deprivation on these animals, we quantified aerobic respiration and ammonia (NH3) production for 2 dominant Antarctic pteropods, L. helicina antarctica and Clone limacina antarctica. Pteropods collected from sites west of Ross Island, Antarctica were held in captivity for a period of 1 to 13 d to determine their metabolic response to laboratory-induced food deprivation. L. helicina antarctica reduced oxygen consumption by similar to 20% after 4 d in captivity. Ammonia excretion was not significantly affected, suggesting a greater reliance on protein as a substrate for cellular respiration during starvation. The oxygen consumption rate of the gymnosome, C. limacina antarctica, was reduced by similar to 35% and NH3 excretion by similar to 55% after 4 d without prey. Our results indicate that there is a link between the large scale chl a concentrations of the Ross Sea and the baseline metabolic rate of pteropods which impacts these animals across multiple seasons.</t>
  </si>
  <si>
    <t>[Maas, Amy E.; Elder, Leanne E.; Seibel, Brad A.] Univ Rhode Isl, Dept Biol Sci, Kingston, RI 02881 USA; [Dierssen, Heidi M.] Univ Connecticut, Dept Marine Sci, Groton, CT 06340 USA</t>
  </si>
  <si>
    <t>University of Rhode Island; University of Connecticut</t>
  </si>
  <si>
    <t>Maas, AE (corresponding author), Univ Rhode Isl, Dept Biol Sci, Kingston, RI 02881 USA.</t>
  </si>
  <si>
    <t>amy.maas@gmail.com</t>
  </si>
  <si>
    <t>Maas, Amy/AAC-1181-2022</t>
  </si>
  <si>
    <t>Maas, Amy/0000-0002-3730-2876; Elder, Leanne/0000-0001-5244-9780</t>
  </si>
  <si>
    <t>Raytheon Polar Services; National Science Foundation Office of Polar Programs; McMurdo station; NSF [ANT-0538479]; University of Rhode Island; Rhode Island EPSCoR</t>
  </si>
  <si>
    <t>Raytheon Polar Services; National Science Foundation Office of Polar Programs(National Science Foundation (NSF)NSF - Directorate for Geosciences (GEO)); McMurdo station; NSF(National Science Foundation (NSF)); University of Rhode Island; Rhode Island EPSCoR</t>
  </si>
  <si>
    <t>We thank P. Walsh, C. Oviatt, K. Wishner, C. Thomber, and R. Bullock for their helpful mentorship, discussions, and comments on the manuscript. We are thankful for the assistance of P. Walsh, V. Fabry, T. Hall, D. Faber, L. Williams, L. Huber-Greene, R. Gonzales, G. Hofmann, J. Tollison, and B. Greene in the field and laboratory. We thank Raytheon Polar Services, the National Science Foundation Office of Polar Programs and the staff at McMurdo station for funding and field support. This research was supported by NSF grant ANT-0538479 to B.A.S and V. Fabry and additionally by the University of Rhode Island and the Rhode Island EPSCoR Fellowship to A.E.M.</t>
  </si>
  <si>
    <t>10.3354/meps09358</t>
  </si>
  <si>
    <t>WOS:000298061000011</t>
  </si>
  <si>
    <t>McIntyre, T; Ansorge, IJ; Bornemann, H; Plötz, J; Tosh, CA; Bester, MN</t>
  </si>
  <si>
    <t>McIntyre, Trevor; Ansorge, Isabelle J.; Bornemann, Horst; Ploetz, Joachim; Tosh, Cheryl A.; Bester, Marthan N.</t>
  </si>
  <si>
    <t>Elephant seal dive behaviour is influenced by ocean temperature: implications for climate change impacts on an ocean predator</t>
  </si>
  <si>
    <t>Climate change; Southern elephant seals; Foraging ecology; Marine mammals; Bio-logging; Marion Island</t>
  </si>
  <si>
    <t>PRINCE EDWARD ISLANDS; KING-GEORGE ISLAND; MIROUNGA-LEONINA; SOUTHERN-OCEAN; DIVING BEHAVIOR; FORAGING STRATEGIES; WATER TEMPERATURE; STABLE-ISOTOPES; ADULT MALE; DURATION</t>
  </si>
  <si>
    <t>The potential effects of ocean warming on marine predators are largely unknown, though the impact on the distribution of prey in vertical space may have far reaching impacts on diving predators such as southern elephant seals. We used data from satellite-tracked southern elephant seals from Marion Island to investigate the relationship between their dive characteristics (dive depths, dive durations and time-at-depth index values) and environmental variables (temperature at depth, depth of maximum temperature below 100 m, frontal zone and bathymetry) as well as other demographic and behavioural variables (migration stage, age-class, track day and vertical diel strategy). While other variables, such as bathymetry and vertical diel strategy also influenced dive depth, our results consistently indicated a significant influence of temperature at depth on dive depths. This relationship was positive for all groups of animals, indicating that seals dived to deeper depths when foraging in warmer waters. Female seals adjusted their dive depths proportionally more than males in warmer water. Dive durations were also influenced by temperature at depth, though to a lesser extent. Results from time-at-depth indices showed that both male and female seals spent less time at targeted dive depths in warmer water, and were presumably less successful foragers when diving in warmer water. Continued warming of the Southern Ocean may result in the distribution of prey for southern elephant seals shifting either poleward and/or to increasing depths. Marion Island elephant seals are expected to adapt their ranging and diving behaviour accordingly, though such changes may result in greater physiological costs associated with foraging.</t>
  </si>
  <si>
    <t>[McIntyre, Trevor; Tosh, Cheryl A.; Bester, Marthan N.] Univ Pretoria, Mammal Res Inst, Dept Zool &amp; Entomol, ZA-0028 Hatfield, South Africa; [Ansorge, Isabelle J.] Univ Cape Town, Marine Res Inst, Dept Oceanog, ZA-7701 Rondebosch, South Africa; [Bornemann, Horst; Ploetz, Joachim] Alfred Wegener Inst Polar &amp; Marine Res, D-27515 Bremerhaven, Germany</t>
  </si>
  <si>
    <t>University of Pretoria; University of Cape Town; Helmholtz Association; Alfred Wegener Institute, Helmholtz Centre for Polar &amp; Marine Research</t>
  </si>
  <si>
    <t>McIntyre, T (corresponding author), Univ Pretoria, Mammal Res Inst, Dept Zool &amp; Entomol, Private Bag X20, ZA-0028 Hatfield, South Africa.</t>
  </si>
  <si>
    <t>tmcintyre@zoology.up.ac.za</t>
  </si>
  <si>
    <t>McIntyre, Trevor/E-6846-2010; ANSORGE, ISABELLE/AAY-7396-2020; Tosh, Cheryl/D-5623-2016; Bester, Marthán N/E-5387-2010</t>
  </si>
  <si>
    <t>McIntyre, Trevor/0000-0001-8395-7550; Tosh, Cheryl/0000-0003-0243-5422; Ansorge, Isabelle/0000-0001-7071-8147</t>
  </si>
  <si>
    <t>Alfred Wegener Institute for Polar and Marine Research (Germany); Department of Science and Technology through the National Research Foundation (South Africa); South African National Antarctic Programme</t>
  </si>
  <si>
    <t>G. Hofmeyr, B. Stewart, P. Radzilani, N. de Bruyn, C. Oosthuizen, M. Phalanndwa, R. Reisinger and T. Mufanadzo are gratefully acknowledged for their assistance with the deployments of satellite tags. M. Biuw generously provided R codes (and helpful assistance) for the dive classifications and the use of the maptools package. The Alfred Wegener Institute for Polar and Marine Research (Germany), the Department of Science and Technology through the National Research Foundation (South Africa) and the South African National Antarctic Programme provided financial and logistical support. Much of this research was carried out under the South Africa / Germany part of the project MEOP (Marine Mammals Exploring the Oceans Pole to Pole), carried out as part of the International Polar Year. We also thank 2 anonymous reviewers for their valuable comments that greatly improved this manuscript.</t>
  </si>
  <si>
    <t>10.3354/meps09383</t>
  </si>
  <si>
    <t>WOS:000298061000021</t>
  </si>
  <si>
    <t>Emmerson, L; Pike, R; Southwell, C</t>
  </si>
  <si>
    <t>Emmerson, Louise; Pike, Rhonda; Southwell, Colin</t>
  </si>
  <si>
    <t>Reproductive consequences of environment-driven variation in Adelie penguin breeding phenology</t>
  </si>
  <si>
    <t>Breeding phenology; Breeding success; Colony latitude; Adelie penguins; Environmental influences</t>
  </si>
  <si>
    <t>PYGOSCELIS-ADELIAE; EUDYPTULA-MINOR; CLIMATE-CHANGE; VARIABILITY; SUCCESS; KRILL; PARAMETERS; RESPONSES; VICTORIA; BIRDS</t>
  </si>
  <si>
    <t>Adelie penguins Pygoscelis adeliae exhibit phenological variability across their geographic range due to fixed and variable forcing factors acting differentially on populations. Shifts in breeding phenology can be indicative of environmental change when cues for breeding initiation are tightly linked with environmental conditions. Adelie penguins on opposite sides of Antarctica display contrasting trends in clutch initiation dates, with different explanations of underlying causes. To make comparisons possible with a third significant Adelie penguin population region, we examined temporal trends and driving factors of breeding phenology at Bechervaise Island in East Antarctica. We have extended existing knowledge by examining how phenological dates are related throughout a breeding season, as well as the reproductive consequences of phenological variation. In contrast to other sites, we saw no evidence at this site of shifts towards early or delayed arrival or clutch initiation. Arrival, clutch initiation dates and the length of the incubation period had different environmental forcing factors, which explained up to 36% of the temporal variability. Penguins had a reduced courtship and egg-lay period when their arrival was delayed, and this led to later clutch initiation, later parent departure for foraging trips and later chick hatch. The phenological variations recorded here were not detrimental to chick-rearing. In particular, a delay in the start of breeding activities did not result in poor reproductive success. This indicates the importance of other factors for chick survival. Inter-annual phenological variability at this location is compared with that at other locations to further develop the colony latitude-breeding phenology relationship for Adelie penguins.</t>
  </si>
  <si>
    <t>[Emmerson, Louise; Pike, Rhonda; Southwell, Colin] Australian Antarctic Div, Dept Sustainabil Environm Water Populat &amp; Communi, Kingston, Tas 7050, Australia</t>
  </si>
  <si>
    <t>Emmerson, L (corresponding author), Australian Antarctic Div, Dept Sustainabil Environm Water Populat &amp; Communi, Channel Highway, Kingston, Tas 7050, Australia.</t>
  </si>
  <si>
    <t>louise.emmerson@aad.gov.au</t>
  </si>
  <si>
    <t>Antarctic Science Advisory Committee [2722]</t>
  </si>
  <si>
    <t>Antarctic Science Advisory Committee</t>
  </si>
  <si>
    <t>We thank the many dedicated field teams at Bechervaise Island, and especially J. Clarke, M. Tierney, L. Irvine and K. Kerry, the latter of whom initiated the penguin monitoring program. B. Raymond (Australian Antarctic Data Centre) provided daily sea-ice and SST data, and N. Adams (Australian Bureau of Meteorology) provided daily snow data. We thank the various engineers working on the project. A. Townsend wrote initial database queries. S. Nicol provided useful comments on the manuscript and C. Barbraud offered insight on data interpretation. All procedures on penguins were approved by the Australian Antarctic Division's Animal Ethics Committee. This investigation was supported by Antarctic Science Advisory Committee project no. 2722.</t>
  </si>
  <si>
    <t>10.3354/meps09265</t>
  </si>
  <si>
    <t>839TK</t>
  </si>
  <si>
    <t>WOS:000296391900017</t>
  </si>
  <si>
    <t>Cass, CJ; Wakeham, SG; Daly, KL</t>
  </si>
  <si>
    <t>Cass, Christine J.; Wakeham, Stuart G.; Daly, Kendra L.</t>
  </si>
  <si>
    <t>Lipid composition of tropical and subtropical copepod species of the genus Rhincalanus (Copepoda: Eucalanidae): a novel fatty acid and alcohol signature</t>
  </si>
  <si>
    <t>Rhincalanus spp.; Copepod; Lipid; Fatty acid; Fatty alcohol; Sterol</t>
  </si>
  <si>
    <t>GULF-OF-CALIFORNIA; WAX ESTERS; ANTARCTIC COPEPODS; VERTICAL-DISTRIBUTION; CALANUS-HYPERBOREUS; MARINE COPEPODS; TROPHIC MARKERS; C-FINMARCHICUS; RED-SEA; ZOOPLANKTON</t>
  </si>
  <si>
    <t>Rhincalanus nasutus, R. rostrifrons, and R. cornutus are primarily found in subtropical and tropical waters and accumulate large lipid stores, an uncommon feature in low-latitude copepods. While R. nasutus fatty acid and alcohol profiles have been examined previously, little is known about lipids in R. rostrifrons or R. cornutus. Lipid profiles for wax ester, triacylglycerol, phospholipid, free fatty acid, sterol, and free fatty alcohol fractions were determined for these 3 species collected from the eastern tropical north Pacific, Gulf of California, and Gulf of Mexico. Storage lipids, primarily wax esters, were the dominant component (&gt;88%) of total lipid in all 3 Rhincalanus species. R. nasutus, however, had distinctly different storage lipid fatty acid and alcohol profiles, with primarily 16: 1(n-7)/18:1(n-9) fatty acids and 14:0/16:0 fatty alcohols, while R. cornutus and R. rostrifrons accumulated 14: 0/16: 0 fatty acids and 16:1/18:1 fatty alcohols. Species differences also were observed in sterol profiles, with R. rostrifrons having a cholesterol content of 75 to 76% versus 85 to 90% in R. nasutus and R. cornutus. The remainder of the sterol fraction was largely composed of 22-dehydrocholesterol in all species. In all 3 species, phospholipid fractions were dominated by 22:6(n-3), 16: 0, 18: 0, 20: 5(n-3), and 18: 1(n-9) fatty acids. The results of the present study suggest that genetic predisposition significantly governs lipid profiles, particularly storage lipids, within this genus. The storage lipid profiles observed in R. cornutus and R. rostrifrons were unique from their congeners and have not been reported previously for other copepod species.</t>
  </si>
  <si>
    <t>[Cass, Christine J.; Daly, Kendra L.] Univ S Florida, Coll Marine Sci, St Petersburg, FL 33701 USA; [Cass, Christine J.] Humboldt State Univ, Dept Oceanog, Arcata, CA 95521 USA; [Wakeham, Stuart G.] Skidaway Inst Oceanog, Savannah, GA 31411 USA; [Wakeham, Stuart G.] Univ Washington, Sch Oceanog, Seattle, WA 98195 USA</t>
  </si>
  <si>
    <t>State University System of Florida; University of South Florida; California State University System; California State Polytechnic University, Humboldt; University System of Georgia; University of Georgia; Skidaway Institute of Oceanography; University of Washington; University of Washington Seattle</t>
  </si>
  <si>
    <t>Cass, CJ (corresponding author), Univ S Florida, Coll Marine Sci, St Petersburg, FL 33701 USA.</t>
  </si>
  <si>
    <t>christine.cass@humboldt.edu</t>
  </si>
  <si>
    <t>National Science Foundation's Division of Ocean Sciences (NSF-OCE) [0526545]; Directorate For Geosciences; Division Of Ocean Sciences [0526545] Funding Source: National Science Foundation</t>
  </si>
  <si>
    <t>National Science Foundation's Division of Ocean Sciences (NSF-OCE)(National Science Foundation (NSF)); Directorate For Geosciences; Division Of Ocean Sciences(National Science Foundation (NSF)NSF - Directorate for Geosciences (GEO))</t>
  </si>
  <si>
    <t>Scientific funding for this project was provided by National Science Foundation's Division of Ocean Sciences (NSF-OCE) grant #0526545. We thank Dr. B. Seibel for allowing sample collection during his work in the Gulf of California (NSF-OCE #0526493), and Dr. J. Torres for providing cruise time in the Gulf of Mexico. We also thank the captains and crews of the RVs 'Knorr', 'New Horizon', 'Seward Johnson', and 'Suncoaster' for their support. We acknowledge the assistance of Dr. K. Wishner, Dr. B. Seibel, Dr. M. B. Olson, S. Habtes, M. Dietz, L. Elder, A. Maas, R. Williams, and D. Outram in collection of the copepods used for this study. Dr. E. Van Vleet assisted in aspects of lipid analyses. We also acknowledge the comments of our anonymous reviewers who provided useful feedback on this manuscript.</t>
  </si>
  <si>
    <t>10.3354/meps09324</t>
  </si>
  <si>
    <t>835WR</t>
  </si>
  <si>
    <t>WOS:000296068200010</t>
  </si>
  <si>
    <t>Martin, C; Bentaleb, I; Steelandt, S; Guinet, C</t>
  </si>
  <si>
    <t>Martin, Celine; Bentaleb, Ilham; Steelandt, Stephanie; Guinet, Christophe</t>
  </si>
  <si>
    <t>Stable carbon and nitrogen isotope variations in canine dentine growth layers of Kerguelen southern elephant seals</t>
  </si>
  <si>
    <t>Mirounga leonina; Dentine delta C-13 and delta N-15; Trophic level; Foraging habitat</t>
  </si>
  <si>
    <t>MIROUNGA-LEONINA; JUVENILE SOUTHERN; PLANKTON DELTA-C-13; ORGANIC-MATTER; FORAGING AREAS; SURFACE-WATER; OCEAN; DIET; FRACTIONATION; PREDATORS</t>
  </si>
  <si>
    <t>Foraging behaviour of mammals, namely the change in distribution and trophic levels from juvenile stage to adulthood, can be investigated by measuring delta C-13 and delta N-15 stable isotopes for layers deposited in a growing tooth. For the first time, we describe geographic differences in the ontogeny of foraging strategies and in the niche partitioning process according to sex and age of a highly sexually dimorphic species: the southern elephant seal Mirounga leonina. Canines from 8 males and 6 females were analysed for delta C-13 and delta N-15 stable isotope signatures. To assess intra-individual variability, instead of analysing collagen we analysed the bulk dentine within each of the 4 growth layers deposited annually. The delta C-13 signature revealed that, in individuals of 1 to 4 yr of age, teeth of both males and females exhibited large intra-individual variation in delta C-13, suggesting that juveniles were foraging over a broad range of marine habitats encompassing both sub-Antarctic and Antarctic waters. Four out of the 6 teeth taken from females were collected on individuals younger than 4 yr, preventing investigation of longer-term changes. A delta C-13 pattern emerged for males older than 4 yr: individuals became resident to either a sub-Antarctic (-17%) or an Antarctic (-20%, both values reported as deviations from the Vienna PeeDee Belemnite standard) foraging habitat, with a decrease in intra-individual variability. Up to the age of 4 yr, juvenile males were at a slightly higher trophic level than juvenile females, but by the age of 4 yr, while their delta C-13 signature revealed that they were faithful to their foraging habitat, males exhibited a significant increase in their trophic levels, as shown by their delta N-15 signature.</t>
  </si>
  <si>
    <t>[Martin, Celine; Bentaleb, Ilham; Steelandt, Stephanie] Univ Montpellier 2, Inst Sci Evolut, CNRS, IRD, F-34095 Montpellier 5, France; [Steelandt, Stephanie] Univ Laval, Dept Geog, Quebec City, PQ G1V 0A6, Canada; [Guinet, Christophe] Ctr Etud Biol Chize, F-79360 Villiers En Bois, France</t>
  </si>
  <si>
    <t>Centre National de la Recherche Scientifique (CNRS); Institut de Recherche pour le Developpement (IRD); Universite de Montpellier; Laval University</t>
  </si>
  <si>
    <t>Martin, C (corresponding author), Univ Montpellier 2, Inst Sci Evolut, CNRS, IRD, Pl Eugene Bataillon,CC061, F-34095 Montpellier 5, France.</t>
  </si>
  <si>
    <t>celine.martin@univ-montp2.fr</t>
  </si>
  <si>
    <t>Guinet, Christophe/AAR-8457-2020; Bentaleb, Ilham/AAD-8137-2019</t>
  </si>
  <si>
    <t>Bentaleb, Ilham/0000-0002-6023-7929</t>
  </si>
  <si>
    <t>Agence Nationale pour la Recherche; Total Fondation; Institut Polaire Francais Paul Emile Victor [109]</t>
  </si>
  <si>
    <t>Agence Nationale pour la Recherche(Agence Nationale de la Recherche (ANR)); Total Fondation; Institut Polaire Francais Paul Emile Victor</t>
  </si>
  <si>
    <t>This project was conducted as part of the Investigation of the vulnerability of the Productivity of the Southern Ocean Subsystems to climate change: the southern elephant seal Assessment from mid to high Latitudes (ANR-VMC IPSOS-SEAL). We are thankful to the Agence Nationale pour la Recherche and the Total Fondation for their financial support. This study is part of a national research program, supported by the Institut Polaire Francais Paul Emile Victor (Program no. 109, contact H. Weimerskirch). We are thankful to M. Authier and 2 anonymous reviewers for their comments on an earlier version of this paper. We are very grateful to all who participated in the fieldwork, including collection of the elephant seal teeth. Publication ISE-M no. ISEM 2011-079.</t>
  </si>
  <si>
    <t>10.3354/meps09331</t>
  </si>
  <si>
    <t>WOS:000296068200023</t>
  </si>
  <si>
    <t>González-Solís, J; Smyrli, M; Militao, T; Gremillet, D; Tveraa, T; Phillips, RA; Boulinier, T</t>
  </si>
  <si>
    <t>Gonzalez-Solis, Jacob; Smyrli, Maria; Militao, Teresa; Gremillet, David; Tveraa, Torkild; Phillips, Richard A.; Boulinier, Thierry</t>
  </si>
  <si>
    <t>Combining stable isotope analyses and geolocation to reveal kittiwake migration</t>
  </si>
  <si>
    <t>Intrinsic markers; Tracking; Seabirds; Wintering grounds; Black-legged kittiwake</t>
  </si>
  <si>
    <t>BLACK-LEGGED KITTIWAKES; FOOD-WEB; RISSA-TRIDACTYLA; TROPHIC RELATIONSHIPS; FORAGING AREAS; BARENTS SEA; SUMMER DIET; NORTH-SEA; SEABIRDS; CARBON</t>
  </si>
  <si>
    <t>Determining migratory strategies of seabirds is still a major challenge due to their relative inaccessibility. Small geolocators are improving this knowledge, but not all birds can be tracked. Stable isotope ratios in feathers can help us to understand migration, but we still have insufficient baseline knowledge for linking feather signatures to movements amongst distinct water masses. To understand the migration strategies of kittiwakes Rissa tridactyla and the link between stable isotopes in feathers and the areas in which these were grown, we tracked 6 kittiwakes from Hornoya, Norway, with light level geolocators over 1 yr. Then we analysed the stable isotopes of carbon and nitrogen in their 1st and 7th primary feathers as well as in the 1st, 3rd, 5th, 7th and 10th primaries of 12 birds found freshly dead in the same breeding colony. After breeding, all tracked birds moved east of the Svalbard Archipelago and subsequently migrated to the Labrador Sea. Thereafter, birds showed individual variation in migration strategies: 3 travelled to the NE Atlantic, whereas the others remained in the Labrador Sea until the end of the wintering period. Changes in stable isotope signatures from the 1st to the 10th primary feathers corresponded well to the sequence of movements during migration and the area in which we inferred that each feather was grown. Thus, by combining information on moult patterns and tracking data, we demonstrate that stable isotope analysis of feathers can be used to trace migratory movements of seabirds.</t>
  </si>
  <si>
    <t>[Gonzalez-Solis, Jacob; Smyrli, Maria; Militao, Teresa] Univ Barcelona, Inst Recerca Biodiversitat, E-08028 Barcelona, Spain; [Gonzalez-Solis, Jacob; Smyrli, Maria; Militao, Teresa] Univ Barcelona, Dept Biol Anim, E-08028 Barcelona, Spain; [Gremillet, David; Boulinier, Thierry] CNRS, Ctr Ecol Fonct &amp; Evolut, UMR 5175, F-34033 Montpellier, France; [Gremillet, David; Tveraa, Torkild] Univ Cape Town, Percy FitzPatrick Inst, DST NRF Ctr Excellence, ZA-7701 Rondebosch, South Africa; [Tveraa, Torkild; Phillips, Richard A.] NINA, Dept Arctic Ecol, N-9296 Tromso, Norway; [Phillips, Richard A.] British Antarctic Survey, Nat Environm Res Council, Cambridge CB3 0ET, England</t>
  </si>
  <si>
    <t>University of Barcelona; University of Barcelona;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National Research Foundation - South Africa; University of Cape Town; Norwegian Institute Nature Research; UK Research &amp; Innovation (UKRI); Natural Environment Research Council (NERC); NERC British Antarctic Survey</t>
  </si>
  <si>
    <t>González-Solís, J (corresponding author), Univ Barcelona, Inst Recerca Biodiversitat, E-08028 Barcelona, Spain.</t>
  </si>
  <si>
    <t>jgsolis@ub.edu</t>
  </si>
  <si>
    <t>Gonzalez-Solis, Jacob/C-3942-2008; González-Solís, Jacob/AAB-1161-2019; Militao, Teresa/AAA-6151-2019; Gremillet, David/W-1946-2018</t>
  </si>
  <si>
    <t>Gonzalez-Solis, Jacob/0000-0002-8691-9397; Militao, Teresa/0000-0002-2862-1592; BOULINIER, Thierry/0000-0002-5898-7667; Gremillet, David/0000-0002-7711-9398</t>
  </si>
  <si>
    <t>French Polar Institute (IPEV) [0333]; Centre National de la Recherche Scientifique (CNRS); Ministerio de Ciencia e Innovacion [CGL2009-11278/BOS]; Fondos FEDER; Fundacao para a Ciencia e Tecnologia [SFRH/BD/47467/2008]; Natural Environment Research Council [bas0100025] Funding Source: researchfish; NERC [bas0100025] Funding Source: UKRI; Fundação para a Ciência e a Tecnologia [SFRH/BD/47467/2008] Funding Source: FCT</t>
  </si>
  <si>
    <t>French Polar Institute (IPEV); Centre National de la Recherche Scientifique (CNRS)(Centre National de la Recherche Scientifique (CNRS)); Ministerio de Ciencia e Innovacion(Instituto de Salud Carlos IIISpanish Government); Fondos FEDER(European Union (EU)); Fundacao para a Ciencia e Tecnologia(Fundacao para a Ciencia e a Tecnologia (FCT)); Natural Environment Research Council(UK Research &amp; Innovation (UKRI)Natural Environment Research Council (NERC)); NERC(UK Research &amp; Innovation (UKRI)Natural Environment Research Council (NERC)); Fundação para a Ciência e a Tecnologia(Fundacao para a Ciencia e a Tecnologia (FCT))</t>
  </si>
  <si>
    <t>We thank E. Gomez-Diaz, K. McCoy and R. Spann for help at different stages of the work. This work benefited from support by the French Polar Institute (IPEV, programme no. 0333), the Centre National de la Recherche Scientifique (CNRS) and through the project CGL2009-11278/BOS from Ministerio de Ciencia e Innovacion and Fondos FEDER. We also thank Fylkesmannen i Finnmark and Kystverket (Norway) for allowing us to carry out this work on Hornoya. T.M. was supported by a PhD grant from the Fundacao para a Ciencia e Tecnologia (SFRH/BD/47467/2008).</t>
  </si>
  <si>
    <t>U274</t>
  </si>
  <si>
    <t>10.3354/meps09233</t>
  </si>
  <si>
    <t>810YE</t>
  </si>
  <si>
    <t>WOS:000294165700019</t>
  </si>
  <si>
    <t>Kopp, M; Peter, HU; Mustafa, O; Lisovski, S; Ritz, MS; Phillips, RA; Hahn, S</t>
  </si>
  <si>
    <t>Kopp, Matthias; Peter, Hans-Ulrich; Mustafa, Osama; Lisovski, Simeon; Ritz, Markus S.; Phillips, Richard A.; Hahn, Steffen</t>
  </si>
  <si>
    <t>South polar skuas from a single breeding population overwinter in different oceans though show similar migration patterns</t>
  </si>
  <si>
    <t>Migratory connectivity; Annual cycle; Seabird; Antarctic; Pacific; Trans-equatorial; Geolocator</t>
  </si>
  <si>
    <t>WINTER; PRODUCTIVITY; TRACKING; INSIGHTS; NORTH; BIRD</t>
  </si>
  <si>
    <t>Seabirds in seasonal environments are often long-distance migrants and, for many species and populations, their ranges throughout the non-breeding period are unknown. As conditions during the non-breeding season often affect subsequent performance, the choice of migration strategy can have major implications for timing of breeding and success and, ultimately, population dynamics. We tracked south polar skuas Catharacta maccormicki from a single breeding population at King George Island in the South Shetland Islands (Antarctica). Overall, 27 birds (69%) migrated to the northern Atlantic (3 regions), 10 birds (26%) to the northern Pacific Ocean (2 regions), and 2 birds wintered in the southern hemisphere. Individuals tracked in consecutive non-breeding seasons chose the same ocean for wintering. Despite migrating to different oceans, birds showed a similar figure-of-eight flight pattern and equivalent residency periods in the main wintering areas. In addition, 87% of the migrants used terminal stop-over sites off South America shortly before returning to the breeding site. High diversity of migration patterns may buffer south polar skuas from climate change and other anthropogenic threats.</t>
  </si>
  <si>
    <t>[Kopp, Matthias; Peter, Hans-Ulrich; Mustafa, Osama; Lisovski, Simeon; Ritz, Markus S.] Univ Jena, Inst Ecol, D-07743 Jena, Germany; [Mustafa, Osama] Thuringian Inst Sustainabil &amp; Climate Protect, D-07743 Jena, Germany; [Ritz, Markus S.] Senckenberg Museum Nat Hist, D-02826 Gorlitz, Germany; [Phillips, Richard A.] British Antarctic Survey, Nat Environm Res Council, Cambridge CB3 0ET, England; [Hahn, Steffen] Swiss Ornithol Inst, CH-6204 Sempach, Switzerland</t>
  </si>
  <si>
    <t>Friedrich Schiller University of Jena; Senckenberg Gesellschaft fur Naturforschung (SGN); UK Research &amp; Innovation (UKRI); Natural Environment Research Council (NERC); NERC British Antarctic Survey; Swiss Ornithological Institute</t>
  </si>
  <si>
    <t>Peter, HU (corresponding author), Univ Jena, Inst Ecol, D-07743 Jena, Germany.</t>
  </si>
  <si>
    <t>hans-ulrich@uni-jena.de</t>
  </si>
  <si>
    <t>Lisovski, Simeon/I-2412-2012; Ritz, Markus S./A-5321-2008; Lisovski, Simeon/AAD-4201-2019</t>
  </si>
  <si>
    <t>Mustafa, Osama/0000-0002-1548-0647; Lisovski, Simeon/0000-0002-6399-0035</t>
  </si>
  <si>
    <t>DFG [PE 454/16]; NERC [bas0100025] Funding Source: UKRI; Natural Environment Research Council [bas0100025] Funding Source: researchfish</t>
  </si>
  <si>
    <t>DFG(German Research Foundation (DFG)); NERC(UK Research &amp; Innovation (UKRI)Natural Environment Research Council (NERC)); Natural Environment Research Council(UK Research &amp; Innovation (UKRI)Natural Environment Research Council (NERC))</t>
  </si>
  <si>
    <t>This project was funded by the DFG (PE 454/16) and supported by private sponsors. This paper represents a contribution to the British Antarctic Ecosystems programme. A. Frohlich and J. Esefeld helped in the field.</t>
  </si>
  <si>
    <t>10.3354/meps09229</t>
  </si>
  <si>
    <t>WOS:000294165700020</t>
  </si>
  <si>
    <t>Staniland, IJ; Morton, A; Robinson, SL; Malone, D; Forcada, J</t>
  </si>
  <si>
    <t>Staniland, I. J.; Morton, A.; Robinson, S. L.; Malone, D.; Forcada, J.</t>
  </si>
  <si>
    <t>Foraging behaviour in two Antarctic fur seal colonies with differing population recoveries</t>
  </si>
  <si>
    <t>Antarctic fur seal; Arctocephalus gazella; Foraging; GAMM; South Georgia; Niche width; Myctophid; Krill; Euphausia superba; Intraspecific competition</t>
  </si>
  <si>
    <t>KRILL EUPHAUSIA-SUPERBA; CENTRAL-PLACE FORAGER; ARCTOCEPHALUS-GAZELLA; SOUTH-GEORGIA; INTERANNUAL VARIABILITY; DIVING BEHAVIOR; PUP PRODUCTION; TIME BUDGETS; SCOTIA SEA; DIET</t>
  </si>
  <si>
    <t>We compared Antarctic fur seals Arctocephalus gazella breeding at 2 contrasting sites on South Georgia: one high density colony at Bird Island and one lower density colony at Cooper Bay. The population at Cooper Bay was considerably smaller than that at Bird Island despite ample suitable breeding area being available. At Cooper Bay, female seals were longer but weighed less than those breeding at Bird Island and, whilst both maintained the same rate of female pup growth, male pups grew faster at Cooper Bay. Although Bird Island seals dived deeper, they dived less often than Cooper Bay seals so that both populations spent comparable amounts of time in the bottom phase of dives actively foraging. Longer distance oceanic foraging trips that were observed at Bird Island were almost entirely absent from Cooper Bay. Both populations fed on Antarctic krill, but there was an absence of myctophid prey in the diet of seals at Cooper Bay. Evidence suggests that the favoured myctophid prey of fur seals at South Georgia, Protomyctophum choriodon, are absent from the colder waters around the south-east of the island. We propose that, if these energy-rich prey are unavailable in this region then seals at Cooper Bay may find it hard to offset the increased costs of foraging trips with longer duration and distance. This potentially reduced niche width means that the Cooper Bay population may be less buffered against environmental variability. Although food resources appeared to be sufficient during the period of our study, the south-eastern region of South Georgia has increased variability in food resources that, coupled with a smaller area in which to forage, might explain the reduced population size compared to the north-eastern end of the island.</t>
  </si>
  <si>
    <t>[Staniland, I. J.; Morton, A.; Robinson, S. L.; Malone, D.; Forcada, J.] British Antarctic Survey, Cambridge CB3 0ET, England</t>
  </si>
  <si>
    <t>Staniland, IJ (corresponding author), British Antarctic Survey, Madingley Rd, Cambridge CB3 0ET, England.</t>
  </si>
  <si>
    <t>ijst@bas.ac.uk</t>
  </si>
  <si>
    <t>Forcada, Jaume/GYU-0677-2022; Staniland, Iain/I-4725-2012</t>
  </si>
  <si>
    <t>Staniland, Iain/0000-0003-2736-9134</t>
  </si>
  <si>
    <t>Natural Environment Research Council [bas0100025] Funding Source: researchfish; NERC [bas0100025] Funding Source: UKRI</t>
  </si>
  <si>
    <t>10.3354/meps09201</t>
  </si>
  <si>
    <t>802TC</t>
  </si>
  <si>
    <t>WOS:000293532900014</t>
  </si>
  <si>
    <t>Augé, AA; Chilvers, BL; Moore, AB; Davis, LS</t>
  </si>
  <si>
    <t>Auge, A. A.; Chilvers, B. L.; Moore, A. B.; Davis, L. S.</t>
  </si>
  <si>
    <t>Foraging behaviour indicates marginal marine habitat for New Zealand sea lions: remnant versus recolonising populations</t>
  </si>
  <si>
    <t>Phocarctos hookeri; Pinnipeds; Spatial; Marginal; Satellite tracking; Marine conservation</t>
  </si>
  <si>
    <t>ANTARCTIC FUR SEALS; CENTRAL-PLACE FORAGER; PHOCARCTOS-HOOKERI; SEASONAL-CHANGES; PUP PRODUCTION; ABUNDANCE; DIET; MANAGEMENT; CONSERVATION; LOCATIONS</t>
  </si>
  <si>
    <t>The New Zealand sea lion Phocarctos hookeri historically bred on the New Zealand mainland (South and North Islands). Subsistence hunting and later commercial sealing reduced its distribution to 3 breeding areas at the spatial edges of its historical distribution range, in the Auckland Islands (AI) and on Campbell Island. Here, we present foraging areas and foraging trips of female New Zealand sea lions from the Otago Peninsula, where a recolonising population has been found in the core of the historical range of the species. We compare the results with data from the AI in order to assess the theory that the spatial margin of a species' distribution represents the lower end of habitat suitability. Female New Zealand sea lions at Otago had significantly smaller foraging ranges than females at the AI (mean 65% Kernel ranges: 47 +/- 25 km(2) versus 687 +/- 109 km(2)), made shorter foraging trips (mean 11.8 +/- 2.3 h versus 66.2 +/- 4.2 h), and spent 40% less time at sea overall. Juvenile females at Otago from age 2 onwards could access foraging grounds used by adult females nursing pups; this is unlikely to be the case at the AI due to the large distances and associated depths of foraging grounds. Our study illustrates the theory that spatial marginality is related to habitat marginality. Existing management measures to mitigate the impact of bycatch in fisheries on declining remnant colonies around the AI were modelled based on populations exploiting optimal habitat. They should now integrate this new information.</t>
  </si>
  <si>
    <t>[Auge, A. A.; Davis, L. S.] Univ Otago, Dept Zool, Dunedin 9016, New Zealand; [Chilvers, B. L.] Univ Otago, Sch Surveying, Dunedin 9016, New Zealand; [Moore, A. B.] Dept Conservat, Aquat &amp; Threats Unit, Wellington 6011, New Zealand</t>
  </si>
  <si>
    <t>University of Otago; University of Otago</t>
  </si>
  <si>
    <t>Augé, AA (corresponding author), Univ Otago, Dept Zool, Dunedin 9016, New Zealand.</t>
  </si>
  <si>
    <t>amelie.auge@gmail.com</t>
  </si>
  <si>
    <t>Davis, Lloyd/HJI-3533-2023; Chilvers, B. Louise/AAV-1965-2021</t>
  </si>
  <si>
    <t>Chilvers, B. Louise/0000-0002-7657-4217</t>
  </si>
  <si>
    <t>DOC Aquatic and Threats Unit, Wellington; University of Otago, Dunedin</t>
  </si>
  <si>
    <t>We thank particularly Jim Fyfe (DOC coastal Otago) and Nathan McNally for their logistic support and help in the field, and many more people who helped during sea lion captures, especially Jacinda Amey, and the vets Katja Geschke (Wellington Zoo) and Kerri Morgan (Massey University). The New Zealand Sea Lion Trust is acknowledged for keeping track of the individuals of the Otago population. This work was conducted under a permit from the DOC coastal Otago, and ethic approvals from the DOC Animal Ethic Committee (DOC AEC 174) and from the University of Otago Animal Ethic Committee (IDAO AEC 72107001). This study was funded in collaboration between DOC Aquatic and Threats Unit, Wellington, and the University of Otago, Dunedin. Thanks to Chris Muller, Simon Childerhouse and 3 anonymous reviewers for suggestions and improvements on an earlier version of this manuscript.</t>
  </si>
  <si>
    <t>10.3354/meps09176</t>
  </si>
  <si>
    <t>784NE</t>
  </si>
  <si>
    <t>WOS:000292163200021</t>
  </si>
  <si>
    <t>Carroll, E; Patenaude, N; Alexander, A; Steel, D; Harcourt, R; Childerhouse, S; Smith, S; Bannister, J; Constantine, R; Baker, CS</t>
  </si>
  <si>
    <t>Carroll, E.; Patenaude, N.; Alexander, A.; Steel, D.; Harcourt, R.; Childerhouse, S.; Smith, S.; Bannister, J.; Constantine, R.; Baker, C. Scott</t>
  </si>
  <si>
    <t>Population structure and individual movement of southern right whales around New Zealand and Australia</t>
  </si>
  <si>
    <t>Southern right whale; Eubalaena australis; mtDNA; Microsatellite; Population structure</t>
  </si>
  <si>
    <t>MITOCHONDRIAL-DNA DIVERSITY; EUBALAENA-AUSTRALIS; MICROSATELLITE LOCI; GENETIC DIFFERENTIATION; GENOTYPING ERRORS; HUMPBACK WHALES; BIOPSY SYSTEM; SOFTWARE; NORTH; VALIDATION</t>
  </si>
  <si>
    <t>During the last 2 centuries, southern right whales Eubalaena australis were hunted to near extinction, and an estimated 150 000 were killed by pre-industrial whaling in the 19th century and illegal Soviet whaling in the 20th century. Here we focus on the coastal calving grounds of Australia and New Zealand (NZ), where previous work suggests 2 genetically distinct stocks of southern right whales are recovering. Historical migration patterns and spatially variable patterns of recovery suggest each of these stocks are subdivided into 2 stocks: (1) NZ, comprising NZ subantarctic (NZSA) and mainland NZ (MNZ) stocks; and (2) Australia, comprising southwest and southeast stocks. We expand upon previous work to investigate population subdivision by analysing over 1000 samples collected at 6 locations across NZ and Australia, although sample sizes were small from some locations. Mitochondrial DNA (mtDNA) control region haplotypes (500 bp) and microsatellite genotypes (13 loci) were used to identify 707 individual whales and to test for genetic differentiation. For the first time, we documented the movement of 7 individual whales between the NZSA and MNZ based on the matching of multilocus genotypes. Given the current and historical evidence, we hypothesise that individuals from the NZ subantarctic are slowly recolonising MNZ, where a former calving ground was extirpated. We also suggest that southeast Australian right whales represent a remnant stock, distinct from the southwest Australian stock, based on significant differentiation in mtDNA haplotype frequencies (F-ST = 0.15, p &lt; 0.01; Phi(ST) = 0.12, p = 0.02) and contrasting patterns of recovery. In comparison with significant differences in mtDNA haplotype frequencies found between the 3 proposed stocks (overall F-ST = 0.07, Phi(ST) = 0.12, p &lt; 0.001), we found no significant differentiation in microsatellite loci (overall F-ST = 0.004, G'(ST) = 0.019, p = 0.07), suggesting ongoing or recent historical reproductive interchange.</t>
  </si>
  <si>
    <t>[Carroll, E.; Alexander, A.; Constantine, R.; Baker, C. Scott] Univ Auckland, Sch Biol Sci, Lab Mol Ecol &amp; Evolut, Auckland 1010, New Zealand; [Patenaude, N.] LGL Ltd, Environm Res Associates, King City, ON L7B 1A6, Canada; [Alexander, A.; Steel, D.; Baker, C. Scott] Oregon State Univ, Hatfield Marine Sci Ctr, Marine Mammal Inst, Newport, OR 97365 USA; [Alexander, A.; Steel, D.; Baker, C. Scott] Oregon State Univ, Hatfield Marine Sci Ctr, Dept Fisheries &amp; Wildlife, Newport, OR 97365 USA; [Harcourt, R.] Macquarie Univ, Grad Sch Environm, Marine Mammal Res Grp, Sydney, NSW 2109, Australia; [Childerhouse, S.] Australian Marine Mammal Ctr, Australian Antarctic Div, DSEWPC, Kingston, Tas 7050, Australia; [Smith, S.] New Zealand Dept Conservat, Aquat &amp; Threats Unit, Wellington 6143, New Zealand; [Bannister, J.] Western Australian Museum, Welshpool DC, WA 6986, Australia</t>
  </si>
  <si>
    <t>University of Auckland; Oregon State University; Oregon State University; Macquarie University; Australian Antarctic Division; Western Australian Museum</t>
  </si>
  <si>
    <t>Carroll, E (corresponding author), Univ Auckland, Sch Biol Sci, Lab Mol Ecol &amp; Evolut, Auckland 1010, New Zealand.</t>
  </si>
  <si>
    <t>ecar026@aucklanduni.ac.nz</t>
  </si>
  <si>
    <t>Carroll, Emma/U-9133-2019</t>
  </si>
  <si>
    <t>Carroll, Emma/0000-0003-3193-7288; Harcourt, Robert/0000-0003-4666-2934; Alexander, Alana/0000-0002-6456-7757; Steel, Debbie/0000-0001-5898-2850; Constantine, Rochelle/0000-0003-3260-539X</t>
  </si>
  <si>
    <t>Whale and Dolphin Conservation Society; US Department of State; Auckland University Research Council; New Zealand Marsden Fund; Blue Planet Marine; Brian Skerry Photography; Holsworth Wildlife Research endowment; National Geographic, the Winifred Violet Scott Estate Research Grant Fund; DOC; Marsden Fund of New Zealand; Heseltine Trust; OMV New Zealand Ltd.; Tertiary Education Commission</t>
  </si>
  <si>
    <t>Whale and Dolphin Conservation Society; US Department of State; Auckland University Research Council; New Zealand Marsden Fund(Royal Society of New ZealandMarsden Fund (NZ)); Blue Planet Marine; Brian Skerry Photography; Holsworth Wildlife Research endowment; National Geographic, the Winifred Violet Scott Estate Research Grant Fund(National Geographic Society); DOC; Marsden Fund of New Zealand(Royal Society of New ZealandMarsden Fund (NZ)); Heseltine Trust; OMV New Zealand Ltd.; Tertiary Education Commission</t>
  </si>
  <si>
    <t>Samples were collected under New Zealand Department of Conservation (DOC) Marine Mammal Research permit and University of Auckland Animal Ethics Committee approved protocol (to C. S. B.) in the Auckland Islands. Biopsy sampling in Western Australia was undertaken under permit from the Western Australian Department of Conservation and Land Management, with approval from the Animal Ethics Committee, Murdoch University. Samples in South Australia, Victoria and New South Wales were collected under the Environment Protection and Biodiversity Conservation Act 1999 Cetacean permits E2002/0035, 20080001; Macquarie University Animal Ethics Committee 2001/007, 2002/015 and 2007/013; SA Department of Environment and Heritage (DEH SA) Scientific Permit W24463; SA Wildlife Ethics Committee 13/2001; Natural Resources and Environment Vic research permits 10001108, 10002043, 10002922 and 10004512; and NSW Scientific Licence A3023 and S10766. The 1995 to 1998 Auckland Islands field trips were funded by the Whale and Dolphin Conservation Society, the US Department of State (Program for Cooperative US/New Zealand Antarctic Research), the Auckland University Research Council and the New Zealand Marsden Fund. The 2006 to 2008 New Zealand subantarctic field trips were funded by Blue Planet Marine, Brian Skerry Photography, Holsworth Wildlife Research endowment, the Marine Conservation Action Fund, National Geographic, the Winifred Violet Scott Estate Research Grant Fund and DOC. Logistic support was given by the Southland DOC Conservancy, University of Auckland and the Australian Antarctic Division. Thanks are extended to the captains and crews of the 'Maia' and the 'Evohe' for their help and support in the field. Field work and sample collection in Australia was supported by the Scott Foundation (estate of the late W. V. Scott), the Western Australian Museum, Environment Australia, the Australian Marine Mammal Centre, Department of Environment, Heritage and the Arts, M. Watson, I. Westhorpe and staff of the Department of Sustainability and Environment Victoria and Pirvic, C. Halstead and staff of DEH SA, K. Bilgmann, students from the Marine Mammal Re search Group at Macquarie University and staff of the Department of Environment, Climate Change and Water NSW. We thank Rob Suisted, formerly of DOC, for initiating the study of right whales around the NZ mainland. Around the New Zealand mainland, sample collection was made possible by D. Engelhaupt and DOC staff, including R. Cole, J. Fyfe, P. McClelland, P. Brady, H. Kettles, J. Quirk, D. Neale, B. Williams, M. Morrissey and M. Ogle. Laboratory work was funded by the Marsden Fund of New Zealand, DOC, the Heseltine Trust and an OMV New Zealand Ltd. Scholarship (to E. C.). We thank P. Tsai and R. Fewster for help with population structure analyses. E. C. was supported by a Tertiary Education Commission Top Achiever Scholarship.</t>
  </si>
  <si>
    <t>U578</t>
  </si>
  <si>
    <t>10.3354/meps09145</t>
  </si>
  <si>
    <t>WOS:000292163200022</t>
  </si>
  <si>
    <t>Teixidó, N; Albajes-Eizagirre, A; Bolbo, D; Le Hir, E; Demestre, M; Garrabou, J; Guigues, L; Gili, JM; Piera, J; Prelot, T; Soria-Frisch, A</t>
  </si>
  <si>
    <t>Teixido, Nuria; Albajes-Eizagirre, Anton; Bolbo, Didier; Le Hir, Emilie; Demestre, Montse; Garrabou, Joaquim; Guigues, Laurent; Gili, Josep-Maria; Piera, Jaume; Prelot, Thomas; Soria-Frisch, Aureli</t>
  </si>
  <si>
    <t>Hierarchical segmentation-based software for cover classification analyses of seabed images (Seascape)</t>
  </si>
  <si>
    <t>Area cover; Benthic communities; Digital photography; Image analysis; Hierarchical segmentation</t>
  </si>
  <si>
    <t>MULTIVARIATE-ANALYSIS; COMMUNITY STRUCTURE; SPATIAL PATTERN; CORAL; POINT; DISTURBANCE; ABUNDANCE; DYNAMICS; IMPACT; REEFS</t>
  </si>
  <si>
    <t>An important aspect of marine research is to quantify the areal coverage of benthic communities. It is technically feasible to efficiently obtain images of marine environments at different depths and benthic habitats over large spatial and temporal scales. Currently, there is a large and growing library of digital images to analyze, representing a valuable benthic ecological archive. Benthic coverage is the basis of studies on biodiversity, characterization of communities and evaluation of changes over temporal and spatial scales. However, there is still a lack of automatic or semi-automatic analytical methods for deriving ecologically relevant data from these images. We introduce a software program named Seascape to obtain semi-automatically segmented images (patch outlines) from underwater photographs of benthic communities, where each individual patch (species/categories) is routinely associated to its area cover and perimeter. Seascape is an analog to the classical and better known discipline of landscape ecology approach, which focuses on the concept that communities can be observed as a patch mosaic at any scale. The process starts with a hierarchical segmentation, using a color space criteria adapted to the problem of segmenting complex benthic images. As an endproduct, we obtain a set of images segmented into classified homogenous regions at different resolution levels (hierarchical segmentation). To illustrate the versatility and capacity of Seascape, we analyzed 4 digital images from different habitats and depths: coral reefs (Pacific Ocean), coralligenous communities (NW Mediterranean Sea), deep-water coral reefs (NW Mediterranean Sea) and the Antarctic continental shelf (Weddell Sea). The development of this semi-automatic outline tool and its use for classification constitute an important step forward in the analysis and processing time of underwater seabed images at any scale.</t>
  </si>
  <si>
    <t>[Teixido, Nuria] CSIC, CEAB, Blanes 17300, Girona, Spain; [Teixido, Nuria; Demestre, Montse; Garrabou, Joaquim; Gili, Josep-Maria] CSIC, ICM, E-08003 Barcelona, Spain; [Teixido, Nuria] Univ Barcelona, Dept Ecol, Fac Biol, E-08028 Barcelona, Spain; [Albajes-Eizagirre, Anton; Soria-Frisch, Aureli] Starlab, Barcelona 08022, Spain; [Bolbo, Didier; Prelot, Thomas] IGN, Lab MATIS, F-94165 St Mande, France; [Le Hir, Emilie] Inst Geog Natl, F-31521 Ramonville St Agne, France; [Guigues, Laurent] INSA, CREATIS, INSERM, CNRS,UMR 5515,U630, F-69621 Villeurbanne, France; [Piera, Jaume] CSIC, UTM, E-08003 Barcelona, Spain</t>
  </si>
  <si>
    <t>Consejo Superior de Investigaciones Cientificas (CSIC); CSIC - Centre d'Estudis Avancats de Blanes (CEAB); Consejo Superior de Investigaciones Cientificas (CSIC); CSIC - Centro Mediterraneo de Investigaciones Marinas y Ambientales (CMIMA); CSIC - Instituto de Ciencias del Mar (ICM); University of Barcelona; Universite Gustave-Eiffel; Centre National de la Recherche Scientifique (CNRS); Institut National des Sciences Appliquees de Lyon - INSA Lyon; Institut National de la Sante et de la Recherche Medicale (Inserm); Consejo Superior de Investigaciones Cientificas (CSIC); CSIC - Centro Mediterraneo de Investigaciones Marinas y Ambientales (CMIMA); CSIC - Unidad de Tecnologia Marina (UTM)</t>
  </si>
  <si>
    <t>Teixidó, N (corresponding author), CSIC, CEAB, Acces Cala St Francesc 14, Blanes 17300, Girona, Spain.</t>
  </si>
  <si>
    <t>nteixido@icm.csic.es</t>
  </si>
  <si>
    <t>Soria-Frisch, Aureli/JVN-4550-2024; Demestre, Montserrat/M-1719-2014; Piera, Jaume/I-1152-2015</t>
  </si>
  <si>
    <t>Soria-Frisch, Aureli/0000-0002-4704-927X; Demestre, Montserrat/0000-0003-2866-4821; Albajes-Eizagirre, Anton/0000-0001-7767-6568; Teixido, Nuria/0000-0001-9286-2852; Piera, Jaume/0000-0001-5818-9836</t>
  </si>
  <si>
    <t>Agence National de la Recherche, France; Marie Curie Reintegration [207632]; Spanish Ministry of Science and Innovation [CTM2009-06027-E/MAR]; TOTAL Foundation; I3P-CSIC; Beatriu Pinos [2009-BP-B-00263]</t>
  </si>
  <si>
    <t>Agence National de la Recherche, France(Agence Nationale de la Recherche (ANR)); Marie Curie Reintegration(European Union (EU)); Spanish Ministry of Science and Innovation(Spanish Government); TOTAL Foundation(Total SA); I3P-CSIC; Beatriu Pinos</t>
  </si>
  <si>
    <t>This work was funded by the Medchange project (Agence National de la Recherche, France), the Marie Curie Reintegration Grant Mechanisms (FP7-No. 207632), the Spanish Ministry of Science and Innovation (CTM2009-06027-E/MAR) and TOTAL Foundation (MedDiversa Project). N.T. was partially funded by I3P-CSIC and Beatriu Pinos contracts (2009-BP-B-00263). The authors thank Dr. J. Smith, Scripps Institution of Oceanography, and IFM-GEOMAR for the shallow and deep-water coral reef images, respectively. We thank Drs. E. Ballesteros, J. Maragos and M. J. Uriz for taxonomic assistance. Three anonymous reviewers provided valuable comments on an earlier draft. N.T. thanks W. Arntz, P. Erwin, E. Cebrian, C. Linares, T. Teixido, P. Pena and M. Belzunces for critical reading and fruitful discussions.</t>
  </si>
  <si>
    <t>10.3354/meps09127</t>
  </si>
  <si>
    <t>781SF</t>
  </si>
  <si>
    <t>WOS:000291953100004</t>
  </si>
  <si>
    <t>Park, JI; Kang, CK; Suh, HL</t>
  </si>
  <si>
    <t>Park, Jeong-In; Kang, Chang-Keun; Suh, Hae-Lip</t>
  </si>
  <si>
    <t>Ontogenetic diet shift in the euphausiid Euphausia pacifica quantified using stable isotope analysis</t>
  </si>
  <si>
    <t>Euphausia pacifica; Ontogenetic diet shift; Stable isotope analysis; East Sea; Sea of Japan; Trophic level; Copepod carcass; Neocalanus cristatus</t>
  </si>
  <si>
    <t>FOOD-WEB; ANTARCTIC KRILL; NITROGEN ISOTOPES; CARBON ISOTOPES; NORTH PACIFIC; LARVAL KRILL; JAPAN SEA; SUPERBA; PREY; DELTA-N-15</t>
  </si>
  <si>
    <t>The euphausiid Euphausia pacifica is an omnivorous species of plankton that has been implicated in important food web processes such as the lengthening of food chains and the restructuring of community dynamics and energy transfer. We used carbon and nitrogen stable isotopes (delta C-13 and delta N-15) to quantify the ontogenetic diet shift in E. pacifica in the East Sea (Japan Sea or Sea of Japan). Analyses revealed that delta N-15 values of adults (4.17 +/- 0.10%) were significantly lower than those of juveniles (5.40 +/- 0.30%), reflecting a shift in the diet of E. pacifica adults towards copepod Neocalanus cristatus carcasses, which have been suggested to drift throughout the year in the epipelagic layer of the East Sea. This suggests a trend toward increasing detritivory with maturity, which is not consistent with the results of previous conventional approaches to diet analysis in E. pacifica. Our results should be useful to modelers concerned with quantifying the effects of E. pacifica on energy transfer in marine food chains.</t>
  </si>
  <si>
    <t>[Park, Jeong-In; Suh, Hae-Lip] Chonnam Natl Univ, Dept Oceanog, Kwangju 500757, South Korea; [Kang, Chang-Keun] Pohang Univ Sci &amp; Technol, Sch Environm Sci &amp; Engn, Pohang 790784, South Korea</t>
  </si>
  <si>
    <t>Chonnam National University; Pohang University of Science &amp; Technology (POSTECH)</t>
  </si>
  <si>
    <t>Suh, HL (corresponding author), Chonnam Natl Univ, Dept Oceanog, Kwangju 500757, South Korea.</t>
  </si>
  <si>
    <t>suhhl@chonnam.ac.kr</t>
  </si>
  <si>
    <t>Suh, Hae-Lip/B-5528-2011; Kang, Chang-Keun/GLR-8512-2022</t>
  </si>
  <si>
    <t>Ministry of Land, Transport and Maritime Affairs</t>
  </si>
  <si>
    <t>Ministry of Land, Transport and Maritime Affairs(Ministry of Land, Transport and Maritime Affairs (MLTM), Republic of Korea)</t>
  </si>
  <si>
    <t>We thank the captain and crew of the RV 'Professor Gagarinskiy' for assistance with collection of samples. This work was supported by the Korea EAST-I program of the Ministry of Land, Transport and Maritime Affairs.</t>
  </si>
  <si>
    <t>10.3354/meps09091</t>
  </si>
  <si>
    <t>765CX</t>
  </si>
  <si>
    <t>WOS:000290682100010</t>
  </si>
  <si>
    <t>Neal, L; Hardy, SLM; Smith, CR; Glover, AG</t>
  </si>
  <si>
    <t>Neal, L.; Hardy, S. L. Mincks; Smith, C. R.; Glover, A. G.</t>
  </si>
  <si>
    <t>Polychaete species diversity on the West Antarctic Peninsula deep continental shelf</t>
  </si>
  <si>
    <t>Marine benthos; Southern Ocean; Biodiversity; Polychaeta; Annelida; Aurospio</t>
  </si>
  <si>
    <t>LATITUDINAL GRADIENTS; RICHNESS ESTIMATORS; WEDDELL SEA; ROSS SEA; PATTERNS; BIODIVERSITY; COMMUNITY; ABUNDANCE; SEDIMENTS; HYPOTHESIS</t>
  </si>
  <si>
    <t>We assessed macrofaunal polychaete species diversity on the West Antarctic Peninsula at mean depths of 500 to 600 m along a cross-shelf transect near Anvers Island, Antarctica. Fifteen megacore samples from 3 sites were analysed to species level, revealing 78 polychaete species of which several are new to science. Quantitative samples allowed an assessment of species abundances and the relative contribution of dominance to overall species diversity. The composition of the assemblages varied across the shelf: the 2 outermost stations on the transect were relatively similar but differed from the innermost station, which had higher diversity and major differences in species composition, possibly linked to changes in the sediment characteristics and degree of food availability. Species diversity, measured by rarefaction, evenness and species richness estimators, was similar to values reported at other bathyal settings and slightly higher than that reported from the Arctic shelf, but in general lower than that reported at temperate and tropical abyssal sites. Dominance was much higher at Antarctic deep-shelf sites in comparison to temperate bathyal and abyssal sites.</t>
  </si>
  <si>
    <t>[Neal, L.; Glover, A. G.] Nat Hist Museum, Dept Zool, London SW7 5BD, England; [Hardy, S. L. Mincks] Univ Alaska, Sch Fisheries &amp; Ocean Sci, Fairbanks, AK 99775 USA; [Smith, C. R.] Univ Hawaii, Dept Oceanog, Honolulu, HI 96822 USA</t>
  </si>
  <si>
    <t>Natural History Museum London; University of Alaska System; University of Alaska Fairbanks; University of Hawaii System</t>
  </si>
  <si>
    <t>Glover, AG (corresponding author), Nat Hist Museum, Dept Zool, Cromwell Rd, London SW7 5BD, England.</t>
  </si>
  <si>
    <t>a.glover@nhm.ac.uk</t>
  </si>
  <si>
    <t>National Science Foundation, Office of Polar Programs; Royal Society (UK)</t>
  </si>
  <si>
    <t>National Science Foundation, Office of Polar Programs(National Science Foundation (NSF)NSF - Directorate for Geosciences (GEO)); Royal Society (UK)(Royal Society)</t>
  </si>
  <si>
    <t>We acknowledge the outstanding support at sea of the many participants in the FOODBANCS project, the personnel from Raytheon Polar Services and the Masters and crew of the NSF Antarctic research vessels 'Laurence M. Gould' and 'Nathaniel B. Palmer'. A. Thurber assisted with sorting megacore samples in the laboratory. We are grateful to B. Ebbe and H. Feder for the loan of published raw data sets. The FOODBANCS Project was supported by grants from the National Science Foundation, Office of Polar Programs, to C. R. S. and D. J. DeMaster; this study was also supported by a grant from the Royal Society (UK). This is contribution 8134 from SOEST, University of Hawaii at Manoa.</t>
  </si>
  <si>
    <t>10.3354/meps09012</t>
  </si>
  <si>
    <t>WOS:000290248800009</t>
  </si>
  <si>
    <t>Mooney, BD; Dorantes-Aranda, JJ; Place, AR; Hallegraeff, GM</t>
  </si>
  <si>
    <t>Mooney, Ben D.; Dorantes-Aranda, Juan Jose; Place, Allen R.; Hallegraeff, Gustaaf M.</t>
  </si>
  <si>
    <t>Ichthyotoxicity of gymnodinioid dinoflagellates: PUFA and superoxide effects in sheepshead minnow larvae and rainbow trout gill cells</t>
  </si>
  <si>
    <t>Kareniaceae; Ichthyotoxicity; Octadecapentaenoic acid; OPA; Polyunsaturated fatty acid; PUFA; Superoxide</t>
  </si>
  <si>
    <t>POLYUNSATURATED FATTY-ACIDS; CULTURED MARINE DINOFLAGELLATE; CHATTONELLA-MARINA; OCTADECAPENTAENOIC ACID; TOXIC DINOFLAGELLATE; STEROL COMPOSITION; CF. MIKIMOTOI; FISH CELLS; KARENIACEAE; ALGA</t>
  </si>
  <si>
    <t>While 24 h exposure of sheepshead minnow fish larvae to purified monogalactosyl diglyceride (MGDG) lipids, containing octadecapentaenoic acid (OPA) exclusively or as a mixture of octadecatetraenoic acid, eicosapentaenoic acid, and OPA (OTA-EPA-OPA), caused sluggish swimming and gulping, it produced no mortalities even at concentrations up to 120 mg l-1. In contrast, comparable concentrations and exposure times caused significant reductions in viability of rainbow trout gill cells. Pure EPA was the most harmful to gill cells (up to 98.5% viability loss in 60 h) followed by OPA-rich MGDG (45% loss), with OTA-rich MGDG (37% loss) the least toxic. OPA-pure MGDG was non-toxic to rainbow trout gill cells; however, surprisingly, pure palmitic acid was harmful (40% viability loss), and we conclude that gill cell line toxicity of the OPA-rich MGDG fraction was caused by admixture with palmitic acid. Screening of 15 Kareniaceae dinoflagellate species demonstrated that these species are low (on average 10 times less) producers of superoxide compared to the ichthyotoxic raphidophyte Chattonella marina. No mortality of sheepshead minnow fish larvae occurred when exposed to superoxide alone or superoxide combined with either OPA-rich MGDG or OTA-rich MGDG. Superoxide showed a slight impact on viability of rainbow trout gill cells. In conclusion, synergistic interactions between free fatty acids and reactive oxygen species as previously claimed for raphidophytes could not be confirmed. Gill damaging effects from EPA were conclusively demonstrated, however; when these co-occurred with OTA, a higher loss of viability was observed (up to 37%), suggesting a magnified toxic effect. Contradictory literature claims as to the ichthyotoxicity of OPA (nontoxic in our work) may relate to the presence of chemical impurities.</t>
  </si>
  <si>
    <t>[Mooney, Ben D.; Dorantes-Aranda, Juan Jose; Hallegraeff, Gustaaf M.] Univ Tasmania, Inst Marine &amp; Antarctic Studies, Hobart, Tas 7001, Australia; [Place, Allen R.] Univ Maryland, Ctr Environm Sci, Inst Marine &amp; Environm Technol, Baltimore, MD 21202 USA</t>
  </si>
  <si>
    <t>University of Tasmania; University System of Maryland; University of Maryland Baltimore; University of Maryland Center for Environmental Science; Institute of Marine &amp; Environmental Technology</t>
  </si>
  <si>
    <t>Mooney, BD (corresponding author), Univ Tasmania, Inst Marine &amp; Antarctic Studies, Private Bag 55, Hobart, Tas 7001, Australia.</t>
  </si>
  <si>
    <t>ben.mooney@utas.edu.au</t>
  </si>
  <si>
    <t>Place, Allen R/F-9267-2013; Dorantes-Aranda, Juan Jose/J-7737-2014; Hallegraeff, Gustaaf/C-8351-2013</t>
  </si>
  <si>
    <t>Hallegraeff, Gustaaf/0000-0001-8464-7343; Dorantes-Aranda, Juan J./0000-0003-1513-6501</t>
  </si>
  <si>
    <t>Australian Research Council [DP0557820, DP0880298]; Australian-American Fulbright Commission; National Oceanic and Atmospheric Administration [NA04NO-S4780276]; Centers for Disease Control and Prevention [U50/CCU 323376]; Maryland Department of Health and Mental Hygiene; CONACyT [190179]; DGRI-SEP; Australian Research Council [DP0880298, DP0557820] Funding Source: Australian Research Council</t>
  </si>
  <si>
    <t>Australian Research Council(Australian Research Council); Australian-American Fulbright Commission; National Oceanic and Atmospheric Administration(National Oceanic Atmospheric Admin (NOAA) - USA); Centers for Disease Control and Prevention(United States Department of Health &amp; Human ServicesCenters for Disease Control &amp; Prevention - USA); Maryland Department of Health and Mental Hygiene; CONACyT(Consejo Nacional de Ciencia y Tecnologia (CONACyT)); DGRI-SEP; Australian Research Council(Australian Research Council)</t>
  </si>
  <si>
    <t>This paper is dedicated to the pioneering work on PUFA ichthyotoxicity by the late Dr. Patrick Gentien. The work represents part of the PhD work of B. D. M. and J.J.D.-A. and was supported by Australian Research Council Discovery Projects DP0557820 and DP0880298. We thank H. Bond at the School of Plant Science, University of Tasmania, for culturing assistance. From the UMBI Center of Marine Biotechnology N. Krupatkina provided advice on fish bioassays. B. D. M. acknowledges the support of the Australian-American Fulbright Commission as the Inaugural Tasmanian Fulbright Scholar. This paper is partially a result of research funded by the National Oceanic and Atmospheric Administration Coastal Ocean Program under award #NA04NO-S4780276 to University of Maryland Biotechnology Institute and Grant # U50/CCU 323376, Centers for Disease Control and Prevention and the Maryland Department of Health and Mental Hygiene. The authors also thank G. Woods, C. Tovar, and R. Gasperini from the Menzies Research Institute, University of Tasmania, for technical and facilities support for the gill cell line assays, and D. Evans and V. Hecht from the School of Plant Science, University of Tasmania, for facilities support. J.J.D.-A. was financed by the fellowships CONACyT 190179 and DGRI-SEP.</t>
  </si>
  <si>
    <t>10.3354/meps09036</t>
  </si>
  <si>
    <t>WOS:000288984400016</t>
  </si>
  <si>
    <t>Yamamoto, T; Takahashi, A; Oka, N; Iida, T; Katsumata, N; Sato, K; Trathan, PN</t>
  </si>
  <si>
    <t>Yamamoto, Takashi; Takahashi, Akinori; Oka, Nariko; Iida, Takahiro; Katsumata, Nobuhiro; Sato, Katsufumi; Trathan, Philip N.</t>
  </si>
  <si>
    <t>Foraging areas of streaked shearwaters in relation to seasonal changes in the marine environment of the Northwestern Pacific: inter-colony and sex-related differences</t>
  </si>
  <si>
    <t>Streaked shearwaters; Northwestern Pacific; Seasonal change; Foraging; Kuroshio; Sex-related difference; Pre-laying</t>
  </si>
  <si>
    <t>ANCHOVY ENGRAULIS-JAPONICUS; WESTERN NORTH PACIFIC; SARDINE SARDINOPS-MELANOSTICTUS; INTRA-SPECIFIC COMPETITION; SAURY COLOLABIS-SAIRA; KUROSHIO EXTENSION; FRONTAL DISTURBANCES; CALONECTRIS-LEUCOMELAS; SURFACE TEMPERATURE; TRANSITION REGION</t>
  </si>
  <si>
    <t>As the spatial distribution of marine organisms is often affected by seasonal changes, pelagic seabirds may change their foraging areas in response to seasonal changes in the marine environment. Here, we examined the foraging area of streaked shearwaters Calonectris leucomelas, breeding at Sangan (SA) and Mikura Islands (MK), Japan, from spring to summer during pre-laying and incubation periods. Those colonies are located at the north and south of the Northwestern Pacific's Kuroshio-Oyashio transition area where high seasonal temperature changes are observed, and where, consequently, birds may show comparable responses to such changes. Our results showed that streaked shearwaters from both colonies shifted their foraging areas northwards as the season progressed. The seasonal shift of foraging areas appeared to coincide with the movement pattern of pelagic fishes that migrate northward in association with the increase in water temperature. However, the pattern of seasonal movement differed between the 2 colonies; shearwaters from SA moved their foraging area along the coastal area of the Kuroshio-Oyashio transition, while those from MK moved along the Kuroshio Extension. Our results also indicated sex-related differences in this general pattern: females showed clear seasonal changes in foraging area, while males did not. During the pre-laying period males returned to the colony frequently to defend their nests or mates, and spent less time at sea. Our results suggest that streaked shearwaters changed their foraging areas in response to seasonal changes in the marine environment, although colony location and sex-related differences in reproductive roles may constrain the birds' responses to seasonal change.</t>
  </si>
  <si>
    <t>[Yamamoto, Takashi; Takahashi, Akinori; Iida, Takahiro] Grad Univ Adv Studies, Dept Polar Sci, Tokyo 1908518, Japan; [Takahashi, Akinori; Iida, Takahiro] Natl Inst Polar Res, Tokyo 1908518, Japan; [Oka, Nariko] Yamashina Inst Ornithol, Chiba 2701145, Japan; [Katsumata, Nobuhiro; Sato, Katsufumi] Univ Tokyo, Atmosphere &amp; Ocean Res Inst, Int Coastal Res Ctr, Otsuchi, Iwate 0281102, Japan; [Trathan, Philip N.] British Antarctic Survey, Nat Environm Res Council, Cambridge CB3 0ET, England</t>
  </si>
  <si>
    <t>Graduate University for Advanced Studies - Japan; Research Organization of Information &amp; Systems (ROIS); National Institute of Polar Research (NIPR) - Japan; University of Tokyo; UK Research &amp; Innovation (UKRI); Natural Environment Research Council (NERC); NERC British Antarctic Survey</t>
  </si>
  <si>
    <t>Yamamoto, T (corresponding author), Grad Univ Adv Studies, Dept Polar Sci, 10-3 Midori Cho, Tokyo 1908518, Japan.</t>
  </si>
  <si>
    <t>taka.y@nipr.ac.jp</t>
  </si>
  <si>
    <t>JSPS [19651100, 19255001]; Ministry of Education, Culture, Sports, Science and Technology-Japan; Natural Environment Research Council [bas0100025] Funding Source: researchfish; NERC [bas0100025] Funding Source: UKRI; Grants-in-Aid for Scientific Research [19651100, 19255001, 20241001] Funding Source: KAKEN</t>
  </si>
  <si>
    <t>JSPS(Ministry of Education, Culture, Sports, Science and Technology, Japan (MEXT)Japan Society for the Promotion of Science); Ministry of Education, Culture, Sports, Science and Technology-Japan(Ministry of Education, Culture, Sports, Science and Technology, Japan (MEXT)); Natural Environment Research Council(UK Research &amp; Innovation (UKRI)Natural Environment Research Council (NERC)); NERC(UK Research &amp; Innovation (UKRI)Natural Environment Research Council (NERC)); Grants-in-Aid for Scientific Research(Ministry of Education, Culture, Sports, Science and Technology, Japan (MEXT)Japan Society for the Promotion of ScienceGrants-in-Aid for Scientific Research (KAKENHI))</t>
  </si>
  <si>
    <t>We are very grateful to the late S. Kurimoto and N. Miura for logistical support, and to the staff of the International Coastal Research Center, Atmosphere and Ocean Research Institute, University of Tokyo, for their kind support in the field. We also thank S. Watanabe, K. Watanabe, Y. Hirose, T. Fukuda, S. Sasaki, K. Tamori, D. Ochi, and S. Hirose for their assistance in the field. Our thanks to K. Matsumoto for allowing us to access dietary data of streaked shearwaters, to D. Kawai for help with data analysis, to V. Afanasyev and J. Fox for developing the geolocators, and to 3 anonymous reviewers for critical comments to improve our manuscript. This work was supported by JSPS research grants (19651100 to A. T. and 19255001 to K. S.) and by a Grant-in-Aid for Scientific Research (Special Promotion) of the Ministry of Education, Culture, Sports, Science and Technology-Japan to N.O. of Yamashina Institute for Ornithology. All animal experiments were approved by the Animal Experimental Committee of the University of Tokyo and conducted in accordance with the Guidelines for the Care of Experimental Animals. This work was conducted with permits from the Ministry of the Environment and the Agency for Cultural Affairs.</t>
  </si>
  <si>
    <t>10.3354/meps08973</t>
  </si>
  <si>
    <t>WOS:000287966400016</t>
  </si>
  <si>
    <t>Newland, C; Field, IC; Cherel, Y; Guinet, C; Bradshaw, CJA; McMahon, CR; Hindell, MA</t>
  </si>
  <si>
    <t>Newland, China; Field, Iain C.; Cherel, Yves; Guinet, Christophe; Bradshaw, Corey J. A.; McMahon, Clive R.; Hindell, Mark A.</t>
  </si>
  <si>
    <t>Diet of juvenile southern elephant seals reappraised by stable isotopes in whiskers</t>
  </si>
  <si>
    <t>Stable isotopes; Vibrissae growth patterns; Diet; Fish; Squid; Resource partitioning; Inter-specific competition</t>
  </si>
  <si>
    <t>MIROUNGA-LEONINA; FORAGING STRATEGIES; CARBON ISOTOPES; KING PENGUINS; APTENODYTES-PATAGONICUS; MYCTOPHID FISHES; PHOCA-VITULINA; GROWTH-RATE; POPULATION; FRACTIONATION</t>
  </si>
  <si>
    <t>Declines in marine predator populations have been attributed to anthropogenic activity and environmental change. Southern elephant seals Mirounga leonina are major consumers of biomass in the eastern region of the Southern Ocean and have been declining in numbers since the 1960s. Previous studies have identified evidence for habitat and diet partitioning over a range of spatial and temporal scales between juveniles and adults in the Macquarie Island population. We first analysed the stable isotopes (SI) of 6 entire vibrissae from a dead adult female southern elephant seal from Kerguelen Islands to determine moult and growth patterns. Secondly we analysed the SI from the vibrissae of 102 juvenile southern elephant seals to investigate diet. The results from the growth pattern analysis indicated that vibrissae do not grow or moult simultaneously. However, it is likely that at least part of the vibrissae will have been produced sometime during the most recent trip to sea and will give a broad indication of diet. The subsequent SI analysis confirmed that juveniles are consuming greater proportions of fish species, and identified myctophids as the primary component of juvenile diet. Myctophids are also consumed by king penguins Aptenodytes patagonicus which have greatly increased in numbers recently in the Macquarie Island area. This may have presented the juvenile southern elephant seals with increased competition and may influence survival.</t>
  </si>
  <si>
    <t>[Newland, China; Field, Iain C.; McMahon, Clive R.; Hindell, Mark A.] Univ Tasmania, Sch Zool, Antarctic Wildlife Res Unit, Hobart, Tas 7001, Australia; [Field, Iain C.] Macquarie Univ, Grad Sch Environm, Marine Mammal Res Grp, Sydney, NSW 2109, Australia; [Cherel, Yves; Guinet, Christophe] CNRS, UPR 1934, Ctr Etud Biol Chize, F-79360 Villiers En Bois, France; [Bradshaw, Corey J. A.] Univ Adelaide, Inst Environm, Adelaide, SA 5005, Australia; [Bradshaw, Corey J. A.] Univ Adelaide, Sch Earth &amp; Environm Sci, Adelaide, SA 5005, Australia; [Bradshaw, Corey J. A.] S Australian Res &amp; Dev Inst, Henley Beach, SA 5022, Australia; [McMahon, Clive R.] Charles Darwin Univ, Sch Environm Res, Darwin, NT 0909, Australia</t>
  </si>
  <si>
    <t>University of Tasmania; Macquarie University; Centre National de la Recherche Scientifique (CNRS); University of Adelaide; University of Adelaide; Charles Darwin University</t>
  </si>
  <si>
    <t>Newland, C (corresponding author), Univ Tasmania, Sch Zool, Antarctic Wildlife Res Unit, POB 252-05, Hobart, Tas 7001, Australia.</t>
  </si>
  <si>
    <t>cnewland@utas.edu.au</t>
  </si>
  <si>
    <t>Guinet, Christophe/AAR-8457-2020; Hindell, Mark A/K-1131-2013; Hindell, Mark A/C-8368-2013; Bradshaw, Corey J. A./A-1311-2008; Field, Iain C/D-3934-2009; McMahon, Clive R/D-5713-2013</t>
  </si>
  <si>
    <t>Bradshaw, Corey J. A./0000-0002-5328-7741; McMahon, Clive R/0000-0001-5241-8917; Hindell, Mark/0000-0002-7823-7185</t>
  </si>
  <si>
    <t>Antarctic Science Advisory Committee; Sea World Research and Rescue Foundation; Australian Research Council; Institut Polaire Francais Paul Emile Victor (IPEV) [109]</t>
  </si>
  <si>
    <t>Antarctic Science Advisory Committee; Sea World Research and Rescue Foundation; Australian Research Council(Australian Research Council); Institut Polaire Francais Paul Emile Victor (IPEV)</t>
  </si>
  <si>
    <t>We would like to thank members of the 51st-53rd Australian National Antarctic Research Expeditions (ANARE) for their assistance during field work, the Australian Antarctic Division for logistics support especially J. van den Hoff and M. Biuw, and K. Wheatley for help with laboratory work. Samples and data were collected with Australian Antarctic Animal Ethics Committee approval and Tasmanian Parks and Wildlife service permits. Funding was provided by Antarctic Science Advisory Committee, Sea World Research and Rescue Foundation and Australian Research Council. The work at Kerguelen was supported financially and logistically by the Institut Polaire Francais Paul Emile Victor (IPEV, Programme No 109, H. Weimerskirch).</t>
  </si>
  <si>
    <t>10.3354/meps08769</t>
  </si>
  <si>
    <t>WOS:000287966400021</t>
  </si>
  <si>
    <t>Pinet, P; Jaquemet, S; Pinaud, D; Weimerskirch, H; Phillips, RA; Le Corre, M</t>
  </si>
  <si>
    <t>Pinet, Patrick; Jaquemet, Sebastien; Pinaud, David; Weimerskirch, Henri; Phillips, Richard A.; Le Corre, Matthieu</t>
  </si>
  <si>
    <t>Migration, wintering distribution and habitat use of an endangered tropical seabird, Barau's petrel Pterodroma baraui</t>
  </si>
  <si>
    <t>Geolocation; Tropical seabird; Migration; Habitat use; Indian Ocean</t>
  </si>
  <si>
    <t>AT-SEA DISTRIBUTION; BREEDING POPULATION; FORAGING BEHAVIOR; PELAGIC SEABIRD; INDIAN-OCEAN; GEOLOCATION; ALBATROSSES; ISLAND; CONSERVATION; CIRCULATION</t>
  </si>
  <si>
    <t>Gadfly petrels are strictly oceanic seabirds that range very far from their breeding grounds. Foraging movements outside the breeding season are poorly described. We used global location sensing (GLS) to describe the migration pathways and wintering habitats of Barau's petrels Pterodroma baraui, an endemic, endangered seabird of Reunion Island (western Indian Ocean). In 2 consecutive years, petrels migrated far eastward, up to 5000 km from their breeding colony, to the central and eastern Indian Ocean. Migration pathways, timing, and wintering areas varied little among individuals, and non-breeding areas were remarkably consistent between years. There was no sexual variation in migration patterns. Barau's petrels did not occur in the most productive areas of the Indian Ocean (Arabian Gulf and Somalia upwelling region) but instead foraged over warm oligotrophic and mesotrophic waters. Tracked birds consistently occurred in areas with relatively strong and consistent easterly winds, and avoided northern regions with weaker westerly winds. Our results indicate that Barau's petrels use an expansive wintering area between the western South Equatorial Current and the eastern Equatorial Counter Current, characterised by warm sea surface temperatures (SST) and low productivity. However, wind regimes in the Indian Ocean are strongly influenced by the Asian Monsoon; in this particular area, wind and currents may create a frontal system where prey are aggregated, increasing their accessibility for Barau's petrels. These results provide important baseline information for conservation, and are useful for the selection of potential marine reserves and the evaluation of effects of pollution or climate change on this highly threatened species.</t>
  </si>
  <si>
    <t>[Pinet, Patrick; Jaquemet, Sebastien; Le Corre, Matthieu] Univ La Reunion, Lab ECOMAR, 15 Ave Rene Cassin,BP 7151, St Denis 97715, Reunion, France; [Pinaud, David; Weimerskirch, Henri] CNRS, Ctr Etudes Biolog Chize, F-79360 Villiers En Bois, France; [Phillips, Richard A.] British Antarctic Survey, Nat Environm Res Concil, Cambridge CB3 0ET, England</t>
  </si>
  <si>
    <t>University of La Reunion; Centre National de la Recherche Scientifique (CNRS); UK Research &amp; Innovation (UKRI); Natural Environment Research Council (NERC); NERC British Antarctic Survey</t>
  </si>
  <si>
    <t>Pinet, P (corresponding author), Univ La Reunion, Lab ECOMAR, 15 Ave Rene Cassin,BP 7151, St Denis 97715, Reunion, France.</t>
  </si>
  <si>
    <t>patrick.pinet@univ-reunion.fr</t>
  </si>
  <si>
    <t>Weimerskirch, Henri/F-5562-2013; Pinaud, David/B-6326-2008; Weimerskirch, Henri/K-7306-2019</t>
  </si>
  <si>
    <t>Pinaud, David/0000-0003-0815-9668; Weimerskirch, Henri/0000-0002-0457-586X</t>
  </si>
  <si>
    <t>French Ministry of Overseas Territories; Federation Francaise de Recherche sur la Biodiversite [AOOI-07-011]; Parc National des Hauts de La Reunion; Pew Environment Group; Regional Council of Reunion Island; European Social Fund; French Ministry of Overseas Territories; Federation Francaise de Recherche sur la Biodiversite [AOOI-07-011]; Parc National des Hauts de La Reunion; Pew Environment Group; Regional Council of Reunion Island; European Social Fund; Natural Environment Research Council [bas0100025] Funding Source: researchfish; NERC [bas0100025] Funding Source: UKRI</t>
  </si>
  <si>
    <t>French Ministry of Overseas Territories; Federation Francaise de Recherche sur la Biodiversite; Parc National des Hauts de La Reunion; Pew Environment Group; Regional Council of Reunion Island; European Social Fund(European Social Fund (ESF)); French Ministry of Overseas Territories; Federation Francaise de Recherche sur la Biodiversite; Parc National des Hauts de La Reunion; Pew Environment Group; Regional Council of Reunion Island; European Social Fund(European Social Fund (ESF)); Natural Environment Research Council(UK Research &amp; Innovation (UKRI)Natural Environment Research Council (NERC)); NERC(UK Research &amp; Innovation (UKRI)Natural Environment Research Council (NERC))</t>
  </si>
  <si>
    <t>This study is a production of the 'Seabird team' of the ECOMAR laboratory. It was supported by the French Ministry of Overseas Territories (program BARGOS EDUC), the Federation Francaise de Recherche sur la Biodiversite (FRB program AOOI-07-011), the Parc National des Hauts de La Reunion and by the Pew Environment Group (Pew Fellow Grant of MLC in Marine Conservation). P. P. also benefited from a PhD grant from the Regional Council of Reunion Island and the European Social Fund. The authors thank all the field workers involved in the project since 2008 (A. Pierre, M. Riethmuller, F. Jan, E. Buffard, P. Souharce, M. Salamolard, C. Caumes, P.Y. Besson, A. Valery, J. Russell, G. Potin, C. de Laburthe, and the many volunteers who participated over the years). We also thank the Brigade de La Nature of the Indian Ocean and the Peloton de Gendarmerie de Haute Montagne of Cilaos for their useful field assistance and their motivation. We thank the Parc National of Reunion Island for their assistance in the monitoring effort and in logistics. We thank L. Humeau (Laboratory PVBMT, Universite de la Reunion) for the molecular sexing analysis. We also thank the SEOR (Societe d'Etudes Ornithologiques de La Reunion) and all the volunteers for their help and their implication for the Barau's petrel conservation. This research represents a contribution to the British Antarctic Survey Ecosystems Programme. We also thank 3 referees for very helpful comments and corrections on the manuscript.</t>
  </si>
  <si>
    <t>10.3354/meps08971</t>
  </si>
  <si>
    <t>729QO</t>
  </si>
  <si>
    <t>WOS:000287965900025</t>
  </si>
  <si>
    <t>Polito, MJ; Lynch, HJ; Naveen, R; Emslie, SD</t>
  </si>
  <si>
    <t>Polito, Michael J.; Lynch, Heather J.; Naveen, Ron; Emslie, Steven D.</t>
  </si>
  <si>
    <t>Stable isotopes reveal regional heterogeneity in the pre-breeding distribution and diets of sympatrically breeding Pygoscelis spp. penguins</t>
  </si>
  <si>
    <t>Stable isotope analysis; Adelie penguin; Gentoo penguin; Pygoscelis adeliae; Pygoscelis papua; Distribution; Diet</t>
  </si>
  <si>
    <t>KING-GEORGE-ISLAND; ADELIE PENGUINS; WINTER MIGRATION; DISCRIMINATION FACTORS; REPRODUCTIVE SUCCESS; ANTARCTIC PENINSULA; CHINSTRAP PENGUINS; MARGUERITE BAY; GENTOO PENGUIN; EGG COMPONENTS</t>
  </si>
  <si>
    <t>While the foraging ecology of the Adelie penguin Pygoscelis adeliae and gentoo penguin P. papua has been well studied, little is known on the distribution and diet of these species outside the breeding season. In the present study we used stable carbon (delta C-13) and nitrogen (delta N-15) isotope analyses of eggshells to examine the pre-breeding diets and foraging habitats of female Adelie and gentoo penguins from 23 breeding colonies along the eastern and western Antarctic Peninsula (AP), South Shetland Islands, and South Orkney Islands, in 2006. Adelie penguin eggshells from the eastern AP, South Shetland Islands, and South Orkney Islands shared similar isotopic signatures and were significantly lower in both delta C-13 and delta N-15 values than eggshells from birds breeding along the western AP. This result suggests that Adelie penguin populations that are geographically separated during the breeding season by the Adelie 'gap,' a 400 km region in the western AP devoid of breeding Adelie penguins, also inhabit geographically distinct habitats during the late winter prior to the breeding season. To a lesser degree, gentoo penguin eggshell isotope values also varied across breeding colonies, which likely reflects local scale variation in their near-shore foraging grounds. Furthermore, unlike the breeding period when krill (primarily Euphausia superba) dominates penguin diets in these regions, our findings suggest that fish and/or other high trophic-level prey species comprise a significant portion (46.8 to 62.9%) of female Adelie and gentoo penguin diets prior to breeding.</t>
  </si>
  <si>
    <t>[Polito, Michael J.; Emslie, Steven D.] Univ N Carolina, Dept Biol &amp; Marine Biol, Wilmington, NC 28403 USA; [Lynch, Heather J.] Univ Maryland, Dept Biol, College Pk, MD 20742 USA; [Naveen, Ron] Oceanites Inc, Chevy Chase, MD 20825 USA</t>
  </si>
  <si>
    <t>University of North Carolina; University of North Carolina Wilmington; University System of Maryland; University of Maryland College Park</t>
  </si>
  <si>
    <t>Polito, MJ (corresponding author), Univ N Carolina, Dept Biol &amp; Marine Biol, 601 S Coll Rd, Wilmington, NC 28403 USA.</t>
  </si>
  <si>
    <t>mjp7454@uncw.edu</t>
  </si>
  <si>
    <t>Polito, Michael/G-9118-2012; Lynch, Heather J/E-7371-2012</t>
  </si>
  <si>
    <t>Polito, Michael/0000-0001-8639-4431;</t>
  </si>
  <si>
    <t>US National Science Foundation (NSF) Office of Polar Programs (OPP) [ANT-0125098, ANT-0739575]; Office of Polar Programs (OPP); Directorate For Geosciences [0739575, 0739515] Funding Source: National Science Foundation</t>
  </si>
  <si>
    <t>US National Science Foundation (NSF) Office of Polar Programs (OPP)(National Science Foundation (NSF)); Office of Polar Programs (OPP); Directorate For Geosciences(National Science Foundation (NSF)NSF - Directorate for Geosciences (GEO))</t>
  </si>
  <si>
    <t>This research was funded by US National Science Foundation (NSF) Office of Polar Programs (OPP) grants ANT-0125098 and ANT-0739575. For their assistance with the collection of eggshell samples, we thank L. Blight, I. Bullock, J. Carlson, R. Dagit, M. Drennan, S. Forrest, M. McOscar, T. Mueller, and E. Woehler from Oceanites; W. Trivelpiece, S. Trivelpiece, A. Miller, R. Orben, S. Chisolm, D. Loomis, A. Loomis, S. Kropidlowski, N. Bargmann, and S. Woods from the US AMLR program; H.-U. Ulrich and A. Frohlich from the Friedrich Schiller University of Jena; W. Fraser, K. Gorman, and J. Blum from the Polar Oceans Research Group; and D. Briggs and M. Dunn from the British Antarctic Survey. We thank M. Goebel, C. Jones, T. Near, J. Gaffney, and A. VanCise for access to krill and fish samples. M. Rider, Raytheon Polar Services, Linblad Expeditions, National Geographic and the expedition leaders, naturalists, officers, and crew of the 'National Geographic Endeavour' provided invaluable logistical support. J. Seminoff, C. Tobias, K. Durenberger, E. Unger, A. Hydrusko, and E. Guber provided helpful assistance with lipid extractions and stable isotope analysis. We thank A. Satake and 3 anonymous reviewers who provided helpful revisions to this manuscript. This work complies with, and was completed in accordance with, Antarctic Conservation Acts permits provided to S.D.E. (2006-001) and R.N. (2005-005) by the NSF.</t>
  </si>
  <si>
    <t>10.3354/meps08863</t>
  </si>
  <si>
    <t>708UW</t>
  </si>
  <si>
    <t>WOS:000286390800022</t>
  </si>
  <si>
    <t>Thiebot, JB; Cherel, Y; Trathan, PN; Bost, CA</t>
  </si>
  <si>
    <t>Thiebot, Jean-Baptiste; Cherel, Yves; Trathan, Phil N.; Bost, Charles-Andre</t>
  </si>
  <si>
    <t>Inter-population segregation in the wintering areas of macaroni penguins</t>
  </si>
  <si>
    <t>Non-breeding period; Philopatry; Segregation; Eudyptes chrysolophus; Habitat use; Stable isotopes; Secondary production</t>
  </si>
  <si>
    <t>EUDYPTES-CHRYSOLOPHUS; STABLE-ISOTOPES; FORAGING AREAS; KING PENGUINS; HABITAT USE; SEABIRDS; FOOD; CHLOROPHYLL; GEOLOCATION; PREDATORS</t>
  </si>
  <si>
    <t>How top avian predators are distributed at sea during the inter-breeding period remains poorly known. Here we focused on the pelagic seabird that is the single greatest avian consumer of marine resources: the macaroni penguin. Our aims were (1) to investigate where these penguins are distributed whilst at sea during winter, and (2) to determine how their distribution and trophic ecology varies in 1 colony between successive years and between 2 colonies from neighbouring localities at the same time. We surveyed a total of 30 penguins from Crozet and Kerguelen Islands (southern Indian Ocean). Penguins from Kerguelen were tracked in 2006 and 2007, and those from Crozet in 2007. Habitat use was investigated using miniaturised light-based geolocators, and trophic ecology by the use of stable isotope analyses. Results showed large-scale patterns of distribution over deep oceanic waters of the Polar Frontal Zone characterised by a temperature of 3.0 to 3.5 degrees C during July. Birds from Kerguelen had a consistent inter-annual winter distribution at the population level. Birds tracked from Crozet were distributed in distinct areas, separate from the birds from Kerguelen. Trophic ecology (blood delta N-15 value) was very similar between years and colonies, and indicated that these penguins preyed upon low trophic level prey, most probably swarming crustaceans, at the end of winter. We conclude that inter-annual fidelity in winter habitat provides evidence of highly favourable and predictable foraging areas, while the distinct inter-colony distributions suggest very heterogeneous distribution of profitable feeding areas for this species in the southern Indian Ocean.</t>
  </si>
  <si>
    <t>[Thiebot, Jean-Baptiste; Cherel, Yves; Bost, Charles-Andre] CNRS, Ctr Etud Biol Chize, UPR 1934, F-79360 Villiers En Bois, France; [Trathan, Phil N.] British Antarctic Survey, NERC, Cambridge CB3 0ET, England</t>
  </si>
  <si>
    <t>Centre National de la Recherche Scientifique (CNRS); UK Research &amp; Innovation (UKRI); Natural Environment Research Council (NERC); NERC British Antarctic Survey</t>
  </si>
  <si>
    <t>Thiebot, JB (corresponding author), CNRS, Ctr Etud Biol Chize, UPR 1934, F-79360 Villiers En Bois, France.</t>
  </si>
  <si>
    <t>thiebot@cebc.cnrs.fr</t>
  </si>
  <si>
    <t>ANR [ANR 07 Biodiv]; IPEV [394, 109]; Terres Australes et Antarctiques Francaises; Natural Environment Research Council [bas0100025] Funding Source: researchfish; NERC [bas0100025] Funding Source: UKRI</t>
  </si>
  <si>
    <t>ANR(Agence Nationale de la Recherche (ANR)); IPEV; Terres Australes et Antarctiques Francaises; Natural Environment Research Council(UK Research &amp; Innovation (UKRI)Natural Environment Research Council (NERC)); NERC(UK Research &amp; Innovation (UKRI)Natural Environment Research Council (NERC))</t>
  </si>
  <si>
    <t>The Ethics Committee of the Institut Polaire Francais Paul-Emile Victor (IPEV) approved the field procedure. We thank H. Maheo, M. Berlincourt, Q. Delorme, A. Knochel, R. Perdriat, J. Nezan, S. Mortreux and Y. Charbonnier for their help in the field, and C. Peron, A. Goarant, M. Louzao, C. Cotte and M. Authier for their help and advice on analyses. This work was supported financially and logistically by the ANR 07 Biodiv 'Glides', the IPEV (programmes no. 394, C. A. Bost, and 109, H. Weimerskirch), and the Terres Australes et Antarctiques Francaises.</t>
  </si>
  <si>
    <t>10.3354/meps08907</t>
  </si>
  <si>
    <t>WOS:000286390800023</t>
  </si>
  <si>
    <t>Cai, MH; Lin, J; Hong, QQ; Wang, Y; Cai, MG</t>
  </si>
  <si>
    <t>Cai, M. H.; Lin, J.; Hong, Q. Q.; Wang, Y.; Cai, M. G.</t>
  </si>
  <si>
    <t>Content and distribution of trace metals in surface sediments from the northern Bering Sea, Chukchi Sea and adjacent Arctic areas</t>
  </si>
  <si>
    <t>MARINE POLLUTION BULLETIN</t>
  </si>
  <si>
    <t>Trace metal; Sediment; Northern Bering Sea; Chukchi Sea</t>
  </si>
  <si>
    <t>HEAVY-METALS; CONTAMINATION; TRIBUTARIES; POLLUTANTS; SPECIATION; BEAUFORT; ZONE; LAKE; ICE</t>
  </si>
  <si>
    <t>Concentrations of trace metals (Zn, Cr, Cu, V. Cd and Pb), total organic carbon (TOC), black carbon (BC) and their granulometry were examined in 25 surface sediment samples from the northern Bering Sea, Chukchi Sea and adjacent areas. Trace metal concentrations in the sediments varied from 21.06-168.21 mg kg(-1) for Zn, 8.91-46.94 mg kg(-1) for Cr, 2.69-49.39 mg kg(-1) for Cu, 32.46-185.54 mg kg(-1) for V. 0.09-0.92 mg kg(-1) for Cd, and 0.95-15.25 mg kg(-1) for Pb. The geoaccumulation index (I-geo) indicated that trace metal contamination (Zn and Cd) existed in some stations of the study area. The distribution of grain size plays an important role in influencing the distribution of trace metals (Zn, Cr, Cu, V. and Pb) in sediments from the Chukchi Sea and adjacent areas. (C) 2011 Elsevier Ltd. All rights reserved.</t>
  </si>
  <si>
    <t>[Lin, J.; Hong, Q. Q.; Wang, Y.; Cai, M. G.] Xiamen Univ, Coll Oceanog &amp; Environm Sci, Xiamen 361005, Peoples R China; [Cai, M. H.] Polar Res Inst China, State Ocean Adm, Key Lab Polar Sci, Shanghai 200136, Peoples R China; [Cai, M. H.] UNEP Tongji Inst Environm Sustainable Dev, Shanghai 200092, Peoples R China; [Cai, M. G.] Xiamen Univ, State Key Lab Marine Environm Sci, Xiamen 361005, Peoples R China</t>
  </si>
  <si>
    <t>Xiamen University; Polar Research Institute of China; Xiamen University</t>
  </si>
  <si>
    <t>Cai, MG (corresponding author), Xiamen Univ, Coll Oceanog &amp; Environm Sci, Xiamen 361005, Peoples R China.</t>
  </si>
  <si>
    <t>mgcai@xmu.edu.cn</t>
  </si>
  <si>
    <t>HUANG, Shuiying/C-3117-2014; Hong, Qingquan/J-6133-2012; cai, minggang/G-3979-2010</t>
  </si>
  <si>
    <t>cai, minggang/0000-0003-2828-0529; Hong, Qingquan/0000-0002-6473-5749</t>
  </si>
  <si>
    <t>National Natural Science Foundation of China (NSFC) [40776040, 40306012, 40776003]; National High Technology Research and Development Program of China [2007AA09Z121]; Ocean Public Welfare Scientific Research Project; State Oceanic Administration of the People's Republic of China [200805095]; Fujian Provincial Department of Science and Technology [2005Y021]; Chinese Arctic and Antarctic Administration, State Oceanic Administration of China</t>
  </si>
  <si>
    <t>National Natural Science Foundation of China (NSFC)(National Natural Science Foundation of China (NSFC)); National High Technology Research and Development Program of China(National High Technology Research and Development Program of China); Ocean Public Welfare Scientific Research Project; State Oceanic Administration of the People's Republic of China; Fujian Provincial Department of Science and Technology; Chinese Arctic and Antarctic Administration, State Oceanic Administration of China</t>
  </si>
  <si>
    <t>Financial support for this study mainly came from the National Natural Science Foundation of China (NSFC) through grants Nos. 40776040, 40306012 and 40776003. It was also funded partly by the National High Technology Research and Development Program of China (No. 2007AA09Z121), the Ocean Public Welfare Scientific Research Project, the State Oceanic Administration of the People's Republic of China (No. 200805095) and Fujian Provincial Department of Science and Technology (No. 2005Y021). Thanks are also given to the crew of the R/V Xuelong and for the support from the Chinese Arctic and Antarctic Administration, State Oceanic Administration of China. We are also grateful to Anthony Gianotti from Eckerd College, USA for commenting on the manuscript and Professor John Hodgkiss of The University of Hongkong for his assistance with English.</t>
  </si>
  <si>
    <t>0025-326X</t>
  </si>
  <si>
    <t>1879-3363</t>
  </si>
  <si>
    <t>MAR POLLUT BULL</t>
  </si>
  <si>
    <t>Mar. Pollut. Bull.</t>
  </si>
  <si>
    <t>5-12</t>
  </si>
  <si>
    <t>10.1016/j.marpolbul.2011.02.007</t>
  </si>
  <si>
    <t>Environmental Sciences; Marine &amp; Freshwater Biology</t>
  </si>
  <si>
    <t>809YN</t>
  </si>
  <si>
    <t>WOS:000294092700067</t>
  </si>
  <si>
    <t>van den Brink, NW; Riddle, MJ; van den Heuvel-Greve, M; van Franeker, JA</t>
  </si>
  <si>
    <t>van den Brink, Nico W.; Riddle, Martin J.; van den Heuvel-Greve, Martine; van Franeker, Jan Andries</t>
  </si>
  <si>
    <t>Contrasting time trends of organic contaminants in Antarctic pelagic and benthic food webs</t>
  </si>
  <si>
    <t>Antarctica; Organochlorines; Time trends; Food web; Pelagic versus benthic</t>
  </si>
  <si>
    <t>ARCTIC MARINE ECOSYSTEM; SOUTH POLAR SKUA; ROSS-SEA; ORGANOCHLORINE POLLUTANTS; CHLORINATED HYDROCARBONS; CATHARACTA-MACCORMICKI; MELTING GLACIERS; TEMPORAL TRENDS; PROBABLE SOURCE; ADELIE PENGUIN</t>
  </si>
  <si>
    <t>We demonstrate that pelagic Antarctic seabirds show significant decreases in concentrations of some persistent organic pollutants. Trends in Adelie penguins and Southern fulmars fit in a general pattern revealed by a broad literature review. Downward trends are also visible in pelagic fish, contrasting sharply with steady or increasing concentrations in Antarctic benthic organisms. Transfer of contaminants between Antarctic pelagic and benthic food webs is associated with seasonal sea-ice dynamics which may influence the balance between the final receptors of contaminants under different climatic conditions. This complicates the predictability of future trends of emerging compounds in the Antarctic ecosystem, such as of the brominated compounds that we detected in Antarctic petrels. The discrepancy in trends between pelagic and benthic organisms shows that Antarctic biota are still final receptors of globally released organic contaminants and it remains questionable whether the total environmental burden of contaminants in the Antarctic ecosystem is declining. (C) 2010 Elsevier Ltd. All rights reserved.</t>
  </si>
  <si>
    <t>[van den Brink, Nico W.] Wageningen UR, NL-6700 AA Wageningen, Netherlands; [Riddle, Martin J.] Australian Antarctic Div, Kingston, Tas 7050, Australia; [van den Heuvel-Greve, Martine] Wageningen UR, IMARES, NL-4400 AB Yerseke, Netherlands; [van Franeker, Jan Andries] IMARES Wageningen UR, NL-1790 AD Den Burg, Texel, Netherlands</t>
  </si>
  <si>
    <t>Australian Antarctic Division; Wageningen University &amp; Research; Wageningen University &amp; Research</t>
  </si>
  <si>
    <t>van den Brink, NW (corresponding author), Wageningen UR, Box 47, NL-6700 AA Wageningen, Netherlands.</t>
  </si>
  <si>
    <t>Nico.vandenbrink@wur.nl</t>
  </si>
  <si>
    <t>van den Brink, Paul J/E-8315-2013</t>
  </si>
  <si>
    <t>van den Brink, Nico/0000-0001-7959-3344</t>
  </si>
  <si>
    <t>Dutch Polar program; Australian Antarctic program</t>
  </si>
  <si>
    <t>We thank Adrian Eberle and Carry Smith for the collection of the samples in 2003/2004. Hans Zweers analysed the samples of 2003/2004. We are grateful to the station personnel of Davis station in the summer of 2003/2004. The work was supported by the Dutch Polar program and by the Australian Antarctic program. Antarctic research by IMARES is conducted as a statutory research task for the Ministry of LNV (WOT-04-003-002).</t>
  </si>
  <si>
    <t>10.1016/j.marpolbul.2010.09.002</t>
  </si>
  <si>
    <t>724AH</t>
  </si>
  <si>
    <t>WOS:000287548000026</t>
  </si>
  <si>
    <t>Ribeiro, AP; Figueira, RCL; Martins, CC; Silva, CRA; França, EJ; Bícego, MC; Mahiques, MM; Montone, RC</t>
  </si>
  <si>
    <t>Ribeiro, Andreza P.; Figueira, Rubens C. L.; Martins, Cesar C.; Silva, Charles R. A.; Franca, Elvis J.; Bicego, Marcia C.; Mahiques, Michel M.; Montone, Rosalinda C.</t>
  </si>
  <si>
    <t>Arsenic and trace metal contents in sediment profiles from the Admiralty Bay, King George Island, Antarctica</t>
  </si>
  <si>
    <t>As; Trace elements; Sediments; Antarctic environment</t>
  </si>
  <si>
    <t>NEUTRON-ACTIVATION ANALYSIS; MARINE-SEDIMENTS; VERTICAL-DISTRIBUTION; HEAVY-METALS; ELEMENTS; CONTAMINATION; EARTHS</t>
  </si>
  <si>
    <t>Admiralty Bay (Antarctica) hosts three scientific stations (Ferraz, Arctowski and Macchu Picchu), which require the use of fossil fuel as an energy source. Fossil fuels are also considered the main source of pollution in the area, representing important inputs of major pollutants (organic compounds) and trace metals and metalloids of environmental interest. Accordingly, this work presents the results of As, Cd, Cr, Cu, Ni, Pb and Zn in sediment profiles from Admiralty Bay. The sediment results from Ferraz station were slightly higher than the other sampling sites. The highest contents were observed for Cu and Zn (from 44 to 89 mg kg(-1)). Otherwise, by using enrichment factors and geochronology analysis, the most relevant enrichment was observed for As in the samples collected close to the Ferraz station, indicating that increasing As content may be associated with the activities associated with this site. Published by Elsevier Ltd.</t>
  </si>
  <si>
    <t>[Ribeiro, Andreza P.; Figueira, Rubens C. L.; Silva, Charles R. A.; Franca, Elvis J.; Bicego, Marcia C.; Mahiques, Michel M.; Montone, Rosalinda C.] Univ Sao Paulo, Inst Oceanog, BR-05508120 Sao Paulo, Brazil; [Martins, Cesar C.] Univ Fed Parana, Ctr Estudos Mar, BR-83255000 Pontal Do Parana, PR, Brazil</t>
  </si>
  <si>
    <t>Universidade de Sao Paulo; Universidade Federal do Parana</t>
  </si>
  <si>
    <t>Ribeiro, AP (corresponding author), Univ Sao Paulo, Inst Oceanog, Praca Oceanog 191, BR-05508120 Sao Paulo, Brazil.</t>
  </si>
  <si>
    <t>andrezpr@usp.br</t>
  </si>
  <si>
    <t>Mahiques, Michel/D-1526-2010; Bicego, Marcia C/D-1996-2013; De França, Elvis/AAC-6986-2020; Figueira, Rubens/AAC-1045-2022; Ribeiro, Andreza Portella/N-9082-2019; Figueira, Rubens RCL/C-5958-2013; de Castro Martins, Cesar C/I-1086-2012; Montone, Rosalinda C/J-9110-2012; Portella, Andreza A/B-9754-2017</t>
  </si>
  <si>
    <t>Mahiques, Michel/0000-0002-5249-5610; De França, Elvis/0000-0002-0027-2028; Figueira, Rubens/0000-0001-8945-4540; Ribeiro, Andreza Portella/0000-0002-1763-4558; Bicego, Marcia/0000-0002-9939-9853; de Castro Martins, Cesar/0000-0002-2515-5565</t>
  </si>
  <si>
    <t>Instituto Nacional de Ciencia e Tecnologia Antartico de Pesquisas Ambientais (INCT APA) [574018/2008-5]; Programa Antartico Brasileiro (PROANTAR), Conselho Nacional de Desenvolvimento Cientifico e Tecnologico (CNPq)</t>
  </si>
  <si>
    <t>Instituto Nacional de Ciencia e Tecnologia Antartico de Pesquisas Ambientais (INCT APA); Programa Antartico Brasileiro (PROANTAR), Conselho Nacional de Desenvolvimento Cientifico e Tecnologico (CNPq)(Conselho Nacional de Desenvolvimento Cientifico e Tecnologico (CNPQ))</t>
  </si>
  <si>
    <t>The authors would like to thank the Instituto Nacional de Ciencia e Tecnologia Antartico de Pesquisas Ambientais (INCT APA, Process 574018/2008-5) and the Programa Antartico Brasileiro (PROANTAR) for the financial support through the bursary provided by the Conselho Nacional de Desenvolvimento Cientifico e Tecnologico (CNPq) and the logistical support from the Secretaria da Comissao Interministerial para Recursos do Mar (SECIRM), respectively.</t>
  </si>
  <si>
    <t>10.1016/j.marpolbul.2010.10.014</t>
  </si>
  <si>
    <t>WOS:000287548000034</t>
  </si>
  <si>
    <t>Zipfel, J; Schröder, C; Jolliff, BL; Gellert, R; Herkenhoff, KE; Rieder, R; Anderson, R; Bell, JF; Brückner, J; Crisp, JA; Christensen, PR; Clark, BC; de Souza, PA; Dreibus, G; d'Uston, C; Economou, T; Gorevan, SP; Hahn, BC; Klingelhöfer, G; McCoy, TJ; McSween, HY; Ming, DW; Morris, RV; Rodionov, DS; Squyres, SW; Wänke, H; Wright, SP; Wyatt, MB; Yen, AS</t>
  </si>
  <si>
    <t>Zipfel, Jutta; Schroeder, Christian; Jolliff, Bradley L.; Gellert, Ralf; Herkenhoff, Kenneth E.; Rieder, Rudolf; Anderson, Robert; Bell, James F., III; Brueckner, Johannes; Crisp, Joy A.; Christensen, Philip R.; Clark, Benton C.; de Souza, Paulo A., Jr.; Dreibus, Gerlind; d'Uston, Claude; Economou, Thanasis; Gorevan, Steven P.; Hahn, Brian C.; Klingelhoefer, Goestar; McCoy, Timothy J.; McSween, Harry Y., Jr.; Ming, Douglas W.; Morris, Richard V.; Rodionov, Daniel S.; Squyres, Steven W.; Waenke, Heinrich; Wright, Shawn P.; Wyatt, Michael B.; Yen, Albert S.</t>
  </si>
  <si>
    <t>Bounce Rock-A shergottite-like basalt encountered at Meridiani Planum, Mars</t>
  </si>
  <si>
    <t>FE-BEARING CLINOPYROXENES; X-RAY SPECTROMETER; TEMPERATURE-DEPENDENCE; HYPERFINE PARAMETERS; CA-RICH; OPPORTUNITY; ROVER; EXPLORATION; METEORITES; MINERALOGY</t>
  </si>
  <si>
    <t>The Opportunity rover of the Mars Exploration Rover mission encountered an isolated rock fragment with textural, mineralogical, and chemical properties similar to basaltic shergottites. This finding was confirmed by all rover instruments, and a comprehensive study of these results is reported here. Spectra from the miniature thermal emission spectrometer and the Panoramic Camera reveal a pyroxene-rich mineralogy, which is also evident in Mossbauer spectra and in normative mineralogy derived from bulk chemistry measured by the alpha particle X-ray spectrometer. The correspondence of Bounce Rock's chemical composition with the composition of certain basaltic shergottites, especially Elephant Moraine (EET) 79001 lithology B and Queen Alexandra Range (QUE) 94201, is very close, with only Cl, Fe, and Ti exhibiting deviations. Chemical analyses further demonstrate characteristics typical of Mars such as the Fe/Mn ratio and P concentrations. Possible shock features support the idea that Bounce Rock was ejected from an impact crater, most likely in the Meridiani Planum region. Bopolu crater, 19.3 km in diameter, located 75 km to the southwest could be the source crater. To date, no other rocks of this composition have been encountered by any of the rovers on Mars. The finding of Bounce Rock by the Opportunity rover provides further direct evidence for an origin of basaltic shergottite meteorites from Mars.</t>
  </si>
  <si>
    <t>[Zipfel, Jutta] Senckenberg Forschungsinst, Sekt Meteoritenforsch, D-60325 Frankfurt, Germany; [Zipfel, Jutta] Nat Museum Frankfurt, D-60325 Frankfurt, Germany; [Schroeder, Christian; Klingelhoefer, Goestar; Rodionov, Daniel S.] Johannes Gutenberg Univ Mainz, Inst Anorgan Chem &amp; Analyt Chem, D-55128 Mainz, Germany; [Jolliff, Bradley L.] Washington Univ, Dept Earth &amp; Planetary Sci, St Louis, MO 63130 USA; [Gellert, Ralf] Univ Guelph, Dept Phys, Guelph, ON N1G 2W1, Canada; [Herkenhoff, Kenneth E.] US Geol Survey, Astrogeol Sci Ctr, Flagstaff, AZ 86001 USA; [Rieder, Rudolf; Brueckner, Johannes; Dreibus, Gerlind; Waenke, Heinrich] Max Planck Inst Chem, Abt Geochem, D-55020 Mainz, Germany; [Anderson, Robert; Crisp, Joy A.; Yen, Albert S.] CALTECH, Jet Prop Lab, Pasadena, CA 91109 USA; [Bell, James F., III; Squyres, Steven W.] Cornell Univ, Dept Astron, Ithaca, NY 14853 USA; [Christensen, Philip R.] Arizona State Univ, Sch Earth &amp; Space Explorat, Tempe, AZ 85287 USA; [Clark, Benton C.] Lockheed Martin Corp, Littleton, CO 80127 USA; [de Souza, Paulo A., Jr.] CSIRO, Tasmanian ICT Ctr, Hobart, Tas 7001, Australia; [d'Uston, Claude] Ctr Etud Spatiale Rayonnements, F-31028 Toulouse, France; [Economou, Thanasis] Univ Chicago, Enrico Fermi Inst, Lab Atmospher &amp; Space Res, Chicago, IL 60637 USA; [Gorevan, Steven P.] Honeybee Robot, New York, NY 10012 USA; [Hahn, Brian C.] SUNY Stony Brook, Dept Geosci, Stony Brook, NY 11794 USA; [McCoy, Timothy J.] Smithsonian Inst, Natl Museum Nat Hist, Dept Mineral Sci, Washington, DC 20560 USA; [McSween, Harry Y., Jr.] Univ Tennessee, Dept Earth &amp; Planetary Sci, Knoxville, TN 37996 USA; [Ming, Douglas W.; Morris, Richard V.] NASA, Lyndon B Johnson Space Ctr, Houston, TX 77058 USA; [Wright, Shawn P.] Univ New Mexico, Inst Meteorit, Albuquerque, NM 87131 USA; [Wyatt, Michael B.] Brown Univ, Dept Geol Sci, Providence, RI 02912 USA</t>
  </si>
  <si>
    <t>Senckenberg Gesellschaft fur Naturforschung (SGN); Johannes Gutenberg University of Mainz; Washington University (WUSTL); University of Guelph; United States Department of the Interior; United States Geological Survey; Max Planck Society; California Institute of Technology; National Aeronautics &amp; Space Administration (NASA); NASA Jet Propulsion Laboratory (JPL); Cornell University; Arizona State University; Arizona State University-Tempe; Lockheed Martin; Commonwealth Scientific &amp; Industrial Research Organisation (CSIRO); Universite de Toulouse; Universite Toulouse III - Paul Sabatier; University of Chicago; State University of New York (SUNY) System; State University of New York (SUNY) Stony Brook; Smithsonian Institution; Smithsonian National Museum of Natural History; University of Tennessee System; University of Tennessee Knoxville; National Aeronautics &amp; Space Administration (NASA); NASA Johnson Space Center; University of New Mexico; Brown University</t>
  </si>
  <si>
    <t>Zipfel, J (corresponding author), Senckenberg Forschungsinst, Sekt Meteoritenforsch, Senckenberganlage 25, D-60325 Frankfurt, Germany.</t>
  </si>
  <si>
    <t>jzipfel@senckenberg.de</t>
  </si>
  <si>
    <t>de Souza, Paulo/P-7294-2019; Crisp, Joy/H-8287-2016; de Souza, Paulo/W-2993-2019; Jolliff, Bradley/GOE-3484-2022; Schröder, Christian/B-3870-2009</t>
  </si>
  <si>
    <t>de Souza, Paulo/0000-0002-0091-8925; Jolliff, Bradley/0000-0002-8294-4501; Schröder, Christian/0000-0002-7935-6039; Crisp, Joy/0000-0002-3202-4416; Wright, Shawn/0000-0001-8776-3235</t>
  </si>
  <si>
    <t>National Aeronautics and Space Administration; Science and Technology Facilities Council [ST/H00243X/1] Funding Source: researchfish; STFC [ST/H00243X/1] Funding Source: UKRI</t>
  </si>
  <si>
    <t>National Aeronautics and Space Administration(National Aeronautics &amp; Space Administration (NASA)); Science and Technology Facilities Council(UK Research &amp; Innovation (UKRI)Science &amp; Technology Facilities Council (STFC)); STFC(UK Research &amp; Innovation (UKRI)Science &amp; Technology Facilities Council (STFC))</t>
  </si>
  <si>
    <t>The authors thank the Meteorite Working Group and the curator for Antarctic meteorites, Kevin Righter, for loan of an unpolished butt of EETA79001. Some of this research was carried out at and for the Jet Propulsion Laboratory, California Institute of Technology, sponsored by the National Aeronautics and Space Administration. This article has benefitted greatly from reviews of an earlier version of the manuscript by Phil Bland, Cyrena Goodrich, Takashi Mikouchi, Deon van Niekerk, and Larry Nittler. We also thank M. Schmidt, E. Walton, and Alan Treiman for their reviews.</t>
  </si>
  <si>
    <t>1945-5100</t>
  </si>
  <si>
    <t>10.1111/j.1945-5100.2010.01127.x</t>
  </si>
  <si>
    <t>WOS:000287247900001</t>
  </si>
  <si>
    <t>Frolov, IY; Mironov, YU; Zubakin, GK; Gudoshnikov, YP; Yulin, AV; Smirnov, VG; Buzin, IV</t>
  </si>
  <si>
    <t>Weintrit, A; Neumann, T</t>
  </si>
  <si>
    <t>Frolov, I. Ye; Mironov, Ye U.; Zubakin, G. K.; Gudoshnikov, Yu P.; Yulin, A. V.; Smirnov, V. G.; Buzin, I. V.</t>
  </si>
  <si>
    <t>Ice Management - From the Concept to Realization</t>
  </si>
  <si>
    <t>MISCELLANEOUS PROBLEMS IN MARITIME NAVIGATION, TRANSPORT AND SHIPPING: MARINE NAVIGATION AND SAFETY OF SEA TRANSPORTATION</t>
  </si>
  <si>
    <t>In the present time in the Russian Arctic and freezing seas there's the growth of industrial activity. In addition to the traditional navigation in the ice-infested waters the development of the new offshore hydrocarbon deposits is planned. New production and uploading platforms and high-tonnage tankers appear in the Arctic. Widening of the sea activities in the Arctic, the implementation of comprehensive technical projects and the need to ensure their safety made it necessary to develop and introduce principally new information and logistics system - a system aimed at managing ice conditions or the so-called Ice Management (IM). The vast experience of the informational support of the ice navigation is accumulated in Russia, many components of the IM are developed and implemented in the active practice. The paper presents the summary of such experience. The concept of development the IM on the Shtokman Gas Condensate Field is discussed.</t>
  </si>
  <si>
    <t>[Frolov, I. Ye; Mironov, Ye U.; Zubakin, G. K.; Gudoshnikov, Yu P.; Yulin, A. V.; Smirnov, V. G.; Buzin, I. V.] Arctic &amp; Antarctic Res Inst, St Petersburg 199226, Russia</t>
  </si>
  <si>
    <t>Frolov, IY (corresponding author), Arctic &amp; Antarctic Res Inst, St Petersburg 199226, Russia.</t>
  </si>
  <si>
    <t>Mironov, Yevgeny Uarovich/ADV-4713-2022; Frolov, Ivan/L-2908-2018; Aleksandr, Yulin/Z-5911-2019</t>
  </si>
  <si>
    <t>Mironov, Yevgeny Uarovich/0000-0001-8390-8011; Frolov, Ivan/0000-0002-6586-354X;</t>
  </si>
  <si>
    <t>978-0-203-15704-6; 978-0-415-69118-5</t>
  </si>
  <si>
    <t>10.1201/b11344</t>
  </si>
  <si>
    <t>Engineering, Marine; Transportation Science &amp; Technology</t>
  </si>
  <si>
    <t>Engineering; Transportation</t>
  </si>
  <si>
    <t>BC2NP</t>
  </si>
  <si>
    <t>WOS:000351100300010</t>
  </si>
  <si>
    <t>Yousef, SM; Al-Kuhaimi, SA; Bebars, A</t>
  </si>
  <si>
    <t>ElNadi, LM</t>
  </si>
  <si>
    <t>Yousef, Shahinaz M.; Al-Kuhaimi, Siham A.; Bebars, Aisha</t>
  </si>
  <si>
    <t>AN EARLIER NATURAL MECHANISM PROPOSAL FOR THE CLOSURE OF THE OZONE HOLE AND THE PRESENT 30% CLOSURE</t>
  </si>
  <si>
    <t>MODERN TRENDS IN PHYSICS RESEARCH: THIRD INTERNATIONAL CONFERENCE ON MODERN TRENDS IN PHYSICS RESEARCH</t>
  </si>
  <si>
    <t>3rd International Conference on Modern Trends in Physics Research (MTPR-08)</t>
  </si>
  <si>
    <t>APR 06-10, 2008</t>
  </si>
  <si>
    <t>Cairo Univ, Cairo, EGYPT</t>
  </si>
  <si>
    <t>Cairo Univ</t>
  </si>
  <si>
    <t>TERM</t>
  </si>
  <si>
    <t>A prolonged period of reduced solar activity of the order of few decades is expected owing to the presence of weak solar cycles series like those around 1800 and 1900 AD. Reduced UV flux is forecasted. The multitude of phytoplanktons in the Antarctic Ocean which are harmed by excessive UV passing through the ozone hole are expected to recover owing to the reduced solar UV doze even with the existence of ozone hole. An increase of only 10% of the phytoplankton would remove about 5 Gigatons of carbon dioxide from the atmosphere annually (which is equal to the amount of carbon dioxide emitted currently by fossil fuel utilization) and sink it into the ocean. Reduction of carbon dioxide from the atmosphere will lead to cooling of the troposphere and hence warming of Antarctic stratospheric clouds which are the sight of ozone destruction. Eventually, this procedure will hopefully lead to Antarctic ozone hole closure. The paper also discuss the implication of the 1997 solar induced climate change on the appearance of the Arctic ozone hole and the reduction of the Antarctic ozone hole. Anther more serious solar induced climate change is currently on due to the end of the first weak solar cycle number 23 and the start of predicated second weaker solar cycle number 24. A climate change, which has already brought global cooling to the earth. The Ozone hole has been closed by 30% in 2007 as predicted which a triumph is for the subject of sun-Earth connections. It is also predicted that further closures in the coming few years will occur due to solar induced climate changes. The forecast of the ozone hole closure was predicted in earlier papers.</t>
  </si>
  <si>
    <t>[Yousef, Shahinaz M.] Cairo Univ, Fac Sci, Astron &amp; Meteorol Dept, Giza, Egypt; [Al-Kuhaimi, Siham A.] Girls Coll Educ, Dept Sci, Malaz Riyadh, Saudi Arabia; [Bebars, Aisha] NRIAG, Helwan, Egypt</t>
  </si>
  <si>
    <t>Egyptian Knowledge Bank (EKB); Cairo University; Egyptian Knowledge Bank (EKB); National Research Institute of Astronomy &amp; Geophysics - NRIAG</t>
  </si>
  <si>
    <t>Yousef, SM (corresponding author), Cairo Univ, Fac Sci, Astron &amp; Meteorol Dept, Giza, Egypt.</t>
  </si>
  <si>
    <t>habibat_arrahman@yahoo.com</t>
  </si>
  <si>
    <t>978-981-4317-50-4</t>
  </si>
  <si>
    <t>BG9YN</t>
  </si>
  <si>
    <t>WOS:000394195900038</t>
  </si>
  <si>
    <t>Adhikari, BN; Adams, BJ</t>
  </si>
  <si>
    <t>Adhikari, Bishwo N.; Adams, Byron J.</t>
  </si>
  <si>
    <t>Molecular Analyses of Desiccation Survival in Antarctic Nematodes</t>
  </si>
  <si>
    <t>HEAT-SHOCK PROTEINS; EVAPORATIVE WATER-LOSS; OXIDATIVE STRESS; STEINERNEMA-FELTIAE; ENTOMOPATHOGENIC NEMATODES; GENE-EXPRESSION; CAENORHABDITIS-ELEGANS; TOLERANCE MECHANISMS; SIGNAL-TRANSDUCTION; DENATURED PROTEINS</t>
  </si>
  <si>
    <t>[Adhikari, Bishwo N.; Adams, Byron J.] Brigham Young Univ, Dept Biol, Provo, UT 84602 USA</t>
  </si>
  <si>
    <t>Brigham Young University</t>
  </si>
  <si>
    <t>Adhikari, BN (corresponding author), Brigham Young Univ, Dept Biol, Provo, UT 84602 USA.</t>
  </si>
  <si>
    <t>adhikaribn@hotmail.com; bjadams@byu.edu</t>
  </si>
  <si>
    <t>Adhikari, Bishwo N/E-8144-2013; Adams, Byron/C-3808-2009</t>
  </si>
  <si>
    <t>Adhikari, Bishwo/0000-0003-4840-9609; Adams, Byron/0000-0002-7815-3352</t>
  </si>
  <si>
    <t>WOS:000293173700010</t>
  </si>
  <si>
    <t>Antonov, AS; Avilov, SA; Kalinovsky, AI; Dmitrenok, PS; Kalinin, VI; Taboada, S; Ballesteros, M; Avila, C</t>
  </si>
  <si>
    <t>Antonov, Alexandr S.; Avilov, Sergey A.; Kalinovsky, Anatoly I.; Dmitrenok, Pavel S.; Kalinin, Vladimir I.; Taboada, Sergi; Ballesteros, Manuel; Avila, Conxita</t>
  </si>
  <si>
    <t>Triterpene glycosides from Antarctic sea cucumbers III. Structures of liouvillosides A4 and A5, two minor disulphated tetraosides containing 3-O-methylquinovose as terminal monosaccharide units from the sea cucumber Staurocucumis liouvillei (Vaney)</t>
  </si>
  <si>
    <t>NATURAL PRODUCT RESEARCH</t>
  </si>
  <si>
    <t>Staurocucumis liouvillei; triterpene glycosides; liouvilloside A(4); liouvilloside A(5); sea cucumbers; 3-O-methyl-D-quinovose</t>
  </si>
  <si>
    <t>OLIGOGLYCOSIDES; A(1); A(3); A(2)</t>
  </si>
  <si>
    <t>Two new minor triterpene glycosides, liouvillosides A(4) (1) and A(5) (2) have been isolated from the sea cucumber Staurocucumis liouvillei living in Antarctic and Sub-Antarctic waters. The structures of the new glycosides were elucidated using extensive nuclear magnetic resonance (NMR) spectroscopy (H-1- and C-13-NMR spectroscopy, H-1-H-1 COSY, 1D-TOCSY, HMBC, HSQC and NOESY), ESI-MS and MALDI TOF MS. The glycosides 1 and 2 are disulphated tetraosides having very rare 3-O-methylquinovose as terminal monosaccharide.</t>
  </si>
  <si>
    <t>[Antonov, Alexandr S.; Avilov, Sergey A.; Kalinovsky, Anatoly I.; Dmitrenok, Pavel S.; Kalinin, Vladimir I.] Russian Acad Sci, Pacific Inst Bioorgan Chem, Far E Div, Vladivostok 690022, Russia; [Taboada, Sergi; Ballesteros, Manuel; Avila, Conxita] Univ Barcelona, Fac Biol, Dept Anim Biol Invertebrates, E-08028 Barcelona, Spain</t>
  </si>
  <si>
    <t>Elyakov Pacific Institute of Bioorganic Chemistry; Russian Academy of Sciences; University of Barcelona</t>
  </si>
  <si>
    <t>Kalinin, VI (corresponding author), Russian Acad Sci, Pacific Inst Bioorgan Chem, Far E Div, Pr 100 Letya Vladivostoka 159, Vladivostok 690022, Russia.</t>
  </si>
  <si>
    <t>kalininv@piboc.dvo.ru</t>
  </si>
  <si>
    <t>Antonov, Aleksandr/N-2869-2013; Taboada, Sergi/AAB-9390-2021; Avila, Conxita/B-9466-2008; Dmitrenok, Pavel S/N-3307-2013; Avilov, Sergey I/N-2837-2013; Kalinin, Vladimir/M-9951-2013; Ballesteros, Manuel/M-1664-2014</t>
  </si>
  <si>
    <t>Taboada, Sergi/0000-0003-1669-1152; Avila, Conxita/0000-0002-5489-8376; Ballesteros, Manuel/0000-0001-9055-1241</t>
  </si>
  <si>
    <t>Presidium of the Russian Academy of Science; Russian Federation [3531.2010.4]; ECOQUIM from Spain; ACTIQUIM from Spain [REN2003-00545, CGL2004-03356/ANT, CGL2007-65453/ANT]</t>
  </si>
  <si>
    <t>Presidium of the Russian Academy of Science(Russian Academy of Sciences); Russian Federation(Russian Federation); ECOQUIM from Spain; ACTIQUIM from Spain</t>
  </si>
  <si>
    <t>The authors acknowledge the financial support by Grants of Presidium of the Russian Academy of Science Program 'Molecular and cell biology' and the President of the Russian Federation Program for Support of the Leading Scientific Schools Grant no. 3531.2010.4. The authors would also like to thank W. Arntz and the crew of R/V Polarstern (AWI) for their help during the cruise ANTXXI/2. We are thankful for the support of the ECOQUIM and ACTIQUIM projects (REN2003-00545, CGL2004-03356/ANT and CGL2007-65453/ANT) from Spain. The authors also thank Professor Valentin A. Stonik (Pacific Institute of Bioorganic Chemistry, Vladivostok, Russia) for facilitating useful discussion on the manuscript.</t>
  </si>
  <si>
    <t>1478-6419</t>
  </si>
  <si>
    <t>1478-6427</t>
  </si>
  <si>
    <t>NAT PROD RES</t>
  </si>
  <si>
    <t>Nat. Prod. Res.</t>
  </si>
  <si>
    <t>10.1080/14786419.2010.531017</t>
  </si>
  <si>
    <t>Chemistry, Applied; Chemistry, Medicinal</t>
  </si>
  <si>
    <t>Chemistry; Pharmacology &amp; Pharmacy</t>
  </si>
  <si>
    <t>884FG</t>
  </si>
  <si>
    <t>WOS:000299689700005</t>
  </si>
  <si>
    <t>Stenni, B; Buiron, D; Frezzotti, M; Albani, S; Barbante, C; Bard, E; Barnola, JM; Baroni, M; Baumgartner, M; Bonazza, M; Capron, E; Castellano, E; Chappellaz, J; Delmonte, B; Falourd, S; Genoni, L; Iacumin, P; Jouzel, J; Kipfstuhl, S; Landais, A; Lemieux-Dudon, B; Maggi, V; Masson-Delmotte, V; Mazzola, C; Minster, B; Montagnat, M; Mulvaney, R; Narcisi, B; Oerter, H; Parrenin, F; Petit, JR; Ritz, C; Scarchilli, C; Schilt, A; Schüpbach, S; Schwander, J; Selmo, E; Severi, M; Stocker, TF; Udisti, R</t>
  </si>
  <si>
    <t>Stenni, B.; Buiron, D.; Frezzotti, M.; Albani, S.; Barbante, C.; Bard, E.; Barnola, J. M.; Baroni, M.; Baumgartner, M.; Bonazza, M.; Capron, E.; Castellano, E.; Chappellaz, J.; Delmonte, B.; Falourd, S.; Genoni, L.; Iacumin, P.; Jouzel, J.; Kipfstuhl, S.; Landais, A.; Lemieux-Dudon, B.; Maggi, V.; Masson-Delmotte, V.; Mazzola, C.; Minster, B.; Montagnat, M.; Mulvaney, R.; Narcisi, B.; Oerter, H.; Parrenin, F.; Petit, J. R.; Ritz, C.; Scarchilli, C.; Schilt, A.; Schuepbach, S.; Schwander, J.; Selmo, E.; Severi, M.; Stocker, T. F.; Udisti, R.</t>
  </si>
  <si>
    <t>Expression of the bipolar see-saw in Antarctic climate records during the last deglaciation</t>
  </si>
  <si>
    <t>GLACIAL MAXIMUM; EAST ANTARCTICA; SOUTHERN-OCEAN; ICE CORES; GREENLAND; TERMINATION; VARIABILITY; CIRCULATION; ATLANTIC; PERIOD</t>
  </si>
  <si>
    <t>Ice-core records of climate from Greenland and Antarctica show asynchronous temperature variations on millennial timescales during the last glacial period(1). The warming during the transition from glacial to interglacial conditions was markedly different between the hemispheres, a pattern attributed to the thermal bipolar see-saw(2). However, a record from the Ross Sea sector of East Antarctica has been suggested to be synchronous with Northern Hemisphere climate change(3). Here we present a temperature record from the Talos Dome ice core, also located in the Ross Sea sector. We compare our record with ice-core analyses from Greenland, based on methane synchronization(4), and find clearly asynchronous temperature changes during the deglaciation. We also find distinct differences in Antarctic records, pointing to differences in the climate evolution of the Indo-Pacific and Atlantic sectors of Antarctica. In the Atlantic sector, we find that the rate of warming slowed between 16,000 and 14,500 years ago, parallel with the deceleration of the rise in atmospheric carbon dioxide concentrations and with a slight cooling over Greenland. In addition, our chronology supports the hypothesis that the cooling of the Antarctic Cold Reversal is synchronous with the Bolling-Allerod warming in the northern hemisphere 14,700 years ago(5).</t>
  </si>
  <si>
    <t>[Stenni, B.; Bonazza, M.; Genoni, L.] Univ Trieste, Dept Geosci, I-34127 Trieste, Italy; [Buiron, D.; Barnola, J. M.; Chappellaz, J.; Lemieux-Dudon, B.; Parrenin, F.; Petit, J. R.; Ritz, C.] Univ Grenoble 1, CNRS, Lab Glaciol &amp; Geophys Environm, F-38402 St Martin Dheres, France; [Frezzotti, M.; Narcisi, B.; Scarchilli, C.] CR Casaccia, ENEA, I-00123 Rome, Italy; [Albani, S.; Delmonte, B.; Maggi, V.; Mazzola, C.] Univ Milano Bicocca, Dept Environm Sci, I-20126 Milan, Italy; [Barbante, C.] Univ Ca Foscari Venice, Dept Environm Sci, I-30123 Venice, Italy; [Barbante, C.] CNR, IDPA, I-30123 Venice, Italy; [Bard, E.; Baroni, M.] Univ Aix Marseille, CEREGE, CNRS, UMR 6635,IRD,Coll France, F-13545 Aix En Provence 4, France; [Baumgartner, M.; Schilt, A.; Schuepbach, S.; Schwander, J.; Stocker, T. F.] Univ Bern, Inst Phys, CH-3012 Bern, Switzerland; [Capron, E.; Falourd, S.; Jouzel, J.; Landais, A.; Masson-Delmotte, V.; Minster, B.] CEA Saclay, CNRS, UVSQ UMR 8212, IPSL,CEA,Lab Sci Climat &amp; Environm, F-91191 Gif Sur Yvette, France; [Castellano, E.; Severi, M.; Udisti, R.] Univ Florence, Dept Chem, I-50019 Sesto Fiorentino, Italy; [Iacumin, P.; Selmo, E.] Univ Parma, Dept Earth Sci, I-43100 Parma, Italy; [Kipfstuhl, S.; Oerter, H.] Alfred Wegener Inst Polar &amp; Marine Res, D-27568 Bremerhaven, Germany; [Mulvaney, R.] British Antarctic Survey, NERC, Cambridge CB3 0ET, England</t>
  </si>
  <si>
    <t>University of Trieste; Centre National de la Recherche Scientifique (CNRS); Communaute Universite Grenoble Alpes; Universite Grenoble Alpes (UGA); Italian National Agency New Technical Energy &amp; Sustainable Economics Development; University of Milano-Bicocca; Universita Ca Foscari Venezia; Consiglio Nazionale delle Ricerche (CNR); Istituto per la Dinamica dei Processi Ambientali (IDPA-CNR); Universite PSL; College de France; Aix-Marseille Universite; Centre National de la Recherche Scientifique (CNRS); Institut de Recherche pour le Developpement (IRD); University of Bern; CEA; Centre National de la Recherche Scientifique (CNRS); Universite Paris Saclay; Universite Paris Cite; CNRS - National Institute for Earth Sciences &amp; Astronomy (INSU); University of Florence; University of Parma; Helmholtz Association; Alfred Wegener Institute, Helmholtz Centre for Polar &amp; Marine Research; UK Research &amp; Innovation (UKRI); Natural Environment Research Council (NERC); NERC British Antarctic Survey</t>
  </si>
  <si>
    <t>Stenni, B (corresponding author), Univ Trieste, Dept Geosci, I-34127 Trieste, Italy.</t>
  </si>
  <si>
    <t>massimo.frezzotti@enea.it</t>
  </si>
  <si>
    <t>Barbante, Carlo/B-3195-2011; Albani, Samuel/G-5329-2015; Udisti, Roberto/M-7966-2015; Masson-Delmotte, Valerie L/G-1995-2011; Stocker, Thomas F/B-1273-2013; Parrenin, Frédéric/H-3054-2014; Albani, Samuel/AAC-5604-2020; Maggi, Valter/AAX-5728-2020; FREZZOTTI, Massimo/AAK-7275-2020; Montagnat, Maurine/N-6431-2014; Delmonte, Barbara/L-2555-2015; Chappellaz, Jérôme A./A-4872-2011; Iacumin, Paola/AAV-8855-2021; Maggi, Valter/E-1878-2014; Bard, Edouard/G-7717-2014; Severi, Mirko/J-2508-2012; Mulvaney, Robert/K-3929-2012</t>
  </si>
  <si>
    <t>Albani, Samuel/0000-0001-9736-5134; Udisti, Roberto/0000-0003-4440-8238; Masson-Delmotte, Valerie L/0000-0001-8296-381X; Parrenin, Frédéric/0000-0002-9489-3991; Albani, Samuel/0000-0001-9736-5134; Maggi, Valter/0000-0001-6287-1213; FREZZOTTI, Massimo/0000-0002-2461-2883; Delmonte, Barbara/0000-0002-9074-2061; Stenni, Barbara/0000-0003-4950-3664; Iacumin, Paola/0000-0001-6944-1814; Scarchilli, Claudio/0000-0002-2414-2439; Becagli, Silvia/0000-0003-3633-4849; Ritz, Catherine/0000-0003-0785-8571; Lemieux-Dudon, Benedicte/0000-0002-0718-2420; Severi, Mirko/0000-0003-1511-6762; LANDAIS, Amaelle/0000-0002-5620-5465; Schilt, Adrian/0000-0001-6312-7947; Mulvaney, Robert/0000-0002-5372-8148; Barbante, Carlo/0000-0003-4177-2288</t>
  </si>
  <si>
    <t>NERC [bas0100024] Funding Source: UKRI; Natural Environment Research Council [bas0100024] Funding Source: researchfish</t>
  </si>
  <si>
    <t>75 VARICK ST, 9TH FLR, NEW YORK, NY 10013-1917 USA</t>
  </si>
  <si>
    <t>10.1038/NGEO1026</t>
  </si>
  <si>
    <t>697FS</t>
  </si>
  <si>
    <t>WOS:000285498600017</t>
  </si>
  <si>
    <t>Svilponis, E; Hiiesaar, K; Kaart, T; Metspalu, L; Mänd, M; Ploomi, A; Williams, IH; Luik, A</t>
  </si>
  <si>
    <t>Svilponis, Eha; Hiiesaar, Kuelli; Kaart, Tanel; Metspalu, Luule; Maend, Marika; Ploomi, Angela; Williams, Ingrid H.; Luik, Anne</t>
  </si>
  <si>
    <t>Low temperature survival of post-eclosion stages of the potato rot nematode Ditylenchus destructor Thorne (Tylenchida: Anguinidae)</t>
  </si>
  <si>
    <t>cold tolerance; freezing tolerance; mortality prediction; overwintering</t>
  </si>
  <si>
    <t>COLD TOLERANCE; ANTARCTIC NEMATODE; DEHYDRATION; PHYSIOLOGY; SOIL</t>
  </si>
  <si>
    <t>The potato rot nematode, Ditylenchus destructor, may experience extreme environmental stress caused by freezing temperatures when overwintering in the field. A series of laboratory experiments were conducted in order to clarify overwintering strategies of the nematode. The current study aimed to examine the cold tolerance of this species in various aqueous environments as well as in plant tissues in order to determine its ability to survive 24 h exposure to subzero temperatures. Cold tolerance of adults and fourth-stage juveniles was significantly lower than that of younger juveniles. The lower lethal temperature of adults was -15 degrees C. Although external ice formation affects all life stages, a few second-stage juveniles were able to survive temperatures as low as -30 degrees C. The results expand the current understanding of freezing survival in the potato rot nematode and will lead to better comprehension of its ability to withstand subzero temperature conditions.</t>
  </si>
  <si>
    <t>[Svilponis, Eha; Hiiesaar, Kuelli; Metspalu, Luule; Maend, Marika; Ploomi, Angela; Williams, Ingrid H.; Luik, Anne] Estonian Univ Life Sci, Inst Agr &amp; Environm Sci, EE-51014 Tartu, Estonia; [Kaart, Tanel] Estonian Univ Life Sci, Inst Vet Med &amp; Anim Sci, EE-51014 Tartu, Estonia</t>
  </si>
  <si>
    <t>Estonian University of Life Sciences; Estonian University of Life Sciences</t>
  </si>
  <si>
    <t>Svilponis, E (corresponding author), Estonian Univ Life Sci, Inst Agr &amp; Environm Sci, Kreutzwaldi 1, EE-51014 Tartu, Estonia.</t>
  </si>
  <si>
    <t>eha.svilponis@emu.ee</t>
  </si>
  <si>
    <t>Kruus, Eha/I-3375-2016; Kaart, Tanel/I-2349-2018</t>
  </si>
  <si>
    <t>Kaart, Tanel/0000-0002-8936-768X; Mand, Marika/0000-0003-4898-5817</t>
  </si>
  <si>
    <t>Estonian Targeting Financing project [SF0170057s09]; Estonian Science Foundation [7391, 7130]</t>
  </si>
  <si>
    <t>Estonian Targeting Financing project; Estonian Science Foundation</t>
  </si>
  <si>
    <t>This research was supported by the Estonian Targeting Financing project no SF0170057s09 and grants no 7391 and 7130 by Estonian Science Foundation. The authors gratefully acknowledge the provision of experimental material by H. Henning and K. Sildnik.</t>
  </si>
  <si>
    <t>10.1163/138855411X571812</t>
  </si>
  <si>
    <t>863KN</t>
  </si>
  <si>
    <t>WOS:000298162200009</t>
  </si>
  <si>
    <t>Newsham, KK</t>
  </si>
  <si>
    <t>Newsham, K. K.</t>
  </si>
  <si>
    <t>A meta-analysis of plant responses to dark septate root endophytes</t>
  </si>
  <si>
    <t>NEW PHYTOLOGIST</t>
  </si>
  <si>
    <t>dark septate endophytes (DSE); dark septate (DS) fungi; Helotiales; meta-analysis; organic and inorganic nitrogen; Phialocephala fortinii; plant biomass</t>
  </si>
  <si>
    <t>ARBUSCULAR MYCORRHIZAL FUNGI; PHIALOCEPHALA-FORTINII; MICROFUNGAL ENDOPHYTES; PINUS-CONTORTA; 2 STRAINS; NITROGEN; ASSOCIATIONS; ISOLATE; INOCULATION; PERFORMANCE</t>
  </si>
  <si>
    <t>P&gt;Dark septate endophytes (DSE) frequently colonize roots in the natural environment, but the effects of these fungi on plants are obscure, with previous studies indicating negative, neutral or positive effects on plant performance. In order to reach a consensus for how DSE influence plant performance, meta-analyses were performed on data from 18 research articles, in which plants had been inoculated with DSE in sterile substrates. Negative effects of DSE on plant performance were not recorded. Positive effects were identified on total, shoot and root biomass, and on shoot nitrogen (N) and phosphorus contents, with increases of 26-103% in these parameters for plants inoculated with DSE, relative to uninoculated controls. Inoculation increased total, shoot and root biomass by 52-138% when plants had not been supplied with additional inorganic N, or when all, or the majority, of N was supplied in organic form. Inoculation with the DSE Phialocephala fortinii was found to increase shoot and root biomass, shoot P concentration and shoot N content by 44-116%, relative to uninoculated controls. The analyses here suggest that DSE enhance plant performance under controlled conditions, particularly when all, or the majority, of N is available in organic form.</t>
  </si>
  <si>
    <t>British Antarctic Survey, Nat Environm Res Council, Cambridge CB3 0ET, England</t>
  </si>
  <si>
    <t>Newsham, KK (corresponding author), British Antarctic Survey, Nat Environm Res Council, Madingley Rd, Cambridge CB3 0ET, England.</t>
  </si>
  <si>
    <t>kne@bas.ac.uk</t>
  </si>
  <si>
    <t>Natural Environment Research Council; NERC [bas0100025] Funding Source: UKRI; Natural Environment Research Council [bas0100025] Funding Source: researchfish</t>
  </si>
  <si>
    <t>This work was funded by the Natural Environment Research Council. Kurt Haselwandter, Larry Peterson, Martin Vohnik, Kan Narisawa, Yali Lv and Chu-Long Zhang kindly supplied unpublished materials and details of their studies. Dean Adams provided helpful advice. Three anonymous referees supplied helpful comments. All are gratefully acknowledged.</t>
  </si>
  <si>
    <t>0028-646X</t>
  </si>
  <si>
    <t>1469-8137</t>
  </si>
  <si>
    <t>NEW PHYTOL</t>
  </si>
  <si>
    <t>New Phytol.</t>
  </si>
  <si>
    <t>10.1111/j.1469-8137.2010.03611.x</t>
  </si>
  <si>
    <t>751TX</t>
  </si>
  <si>
    <t>WOS:000289641600027</t>
  </si>
  <si>
    <t>Moar, NT; Wilmshurst, JM; McGlone, MS</t>
  </si>
  <si>
    <t>Moar, N. T.; Wilmshurst, J. M.; McGlone, M. S.</t>
  </si>
  <si>
    <t>Standardizing names applied to pollen and spores in New Zealand Quaternary palynology</t>
  </si>
  <si>
    <t>NEW ZEALAND JOURNAL OF BOTANY</t>
  </si>
  <si>
    <t>pollen grains; Filicopsida; Pinopsida; Magnoliopsida; pollen record; pollination mode; pollen production; pollen dispersal</t>
  </si>
  <si>
    <t>ANTARCTIC CAMPBELL ISLAND; VEGETATION; MORPHOLOGY; CLIMATE; CALLITRICHACEAE; DISTURBANCE; HISTORY; RECORD; GENUS</t>
  </si>
  <si>
    <t>Pollen analysts often study pollen grains that cannot be easily attributed to a particular taxon. As a consequence, a pollen type may be recorded under various names, leading to uncertainty in their interpretation by others. This limits the usefulness of pollen data for inclusion in databases or meta-analyses. To minimize any such ambiguity, we briefly describe the pollen grains of New Zealand gymnosperms and angiosperms and assign an appropriate name to each. Tree ferns are also included, as they are almost ubiquitous in New Zealand palynomorph records, and are often misidentified and misrepresented. We also provide a review of the occurrence of all taxa in New Zealand pollen records, and of pollination modes, pollen production and dispersal.</t>
  </si>
  <si>
    <t>[Moar, N. T.; Wilmshurst, J. M.; McGlone, M. S.] Landcare Res, Lincoln, New Zealand</t>
  </si>
  <si>
    <t>Wilmshurst, JM (corresponding author), Landcare Res, Lincoln, New Zealand.</t>
  </si>
  <si>
    <t>wilmshurstj@landcareresearch.co.nz</t>
  </si>
  <si>
    <t>Wilmshurst, Janet/O-8611-2019</t>
  </si>
  <si>
    <t>Wilmshurst, Janet/0000-0002-4474-8569</t>
  </si>
  <si>
    <t>New Zealand Foundation for Research, Science and Technology through the Ecosystem Resilience OBI</t>
  </si>
  <si>
    <t>New Zealand Foundation for Research, Science and Technology through the Ecosystem Resilience OBI(New Zealand Foundation for Research, Science and Technology)</t>
  </si>
  <si>
    <t>We are indebted to Peter Heenan, Landcare Research, for his care in checking taxonomic detail and for his comments in respect of these. We also thank Rewi Newnham for comments on the draft manuscript, two anonymous referees for their helpful comments and Christine Bezar, Landcare Research, for her careful scrutiny of the text. This research was supported by the New Zealand Foundation for Research, Science and Technology through the Ecosystem Resilience OBI.</t>
  </si>
  <si>
    <t>0028-825X</t>
  </si>
  <si>
    <t>NEW ZEAL J BOT</t>
  </si>
  <si>
    <t>N. Z. J. Bot.</t>
  </si>
  <si>
    <t>10.1080/0028825X.2010.526617</t>
  </si>
  <si>
    <t>880PG</t>
  </si>
  <si>
    <t>WOS:000299418800002</t>
  </si>
  <si>
    <t>Derzho, OG; de Young, B</t>
  </si>
  <si>
    <t>Derzho, O. G.; de Young, B.</t>
  </si>
  <si>
    <t>Brief communication On one mechanism of low frequency variability of the Antarctic Circumpolar Current</t>
  </si>
  <si>
    <t>NONLINEAR PROCESSES IN GEOPHYSICS</t>
  </si>
  <si>
    <t>WAVE</t>
  </si>
  <si>
    <t>In this paper we present a simple analytical model for low frequency and large scale variability of the Antarctic Circumpolar Current (ACC). The physical mechanism of the variability is related to temporal and spatial variations of the cyclonic mean flow (ACC) due to circularly propagating nonlinear barotropic Rossby wave trains. It is shown that the Rossby wave train is a fundamental mode, trapped between the major fronts in the ACC. The Rossby waves are predicted to rotate with a particular angular velocity that depends on the magnitude and width of the mean current. The spatial structure of the rotating pattern, including its zonal wave number, is defined by the specific form of the stream function-vorticity relation. The similarity between the simulated patterns and the Antarctic Circumpolar Wave (ACW) is highlighted. The model can predict the observed sequence of warm and cold patches in the ACW as well as its zonal number.</t>
  </si>
  <si>
    <t>[Derzho, O. G.; de Young, B.] Mem Univ Newfoundland, Dept Phys &amp; Phys Oceanog, St John, NF A1B 3X7, Canada; [Derzho, O. G.] Russian Acad Sci, Inst Thermophys, Novosibirsk 630090, Russia</t>
  </si>
  <si>
    <t>Memorial University Newfoundland; Russian Academy of Sciences; S.S. Kutateladze Institute of Thermophysics, Siberian Division of the Russian Academy of Sciences</t>
  </si>
  <si>
    <t>Derzho, OG (corresponding author), Mem Univ Newfoundland, Dept Phys &amp; Phys Oceanog, St John, NF A1B 3X7, Canada.</t>
  </si>
  <si>
    <t>oderzho@mun.ca</t>
  </si>
  <si>
    <t>Derzho, Oleg/A-1047-2012</t>
  </si>
  <si>
    <t>1023-5809</t>
  </si>
  <si>
    <t>1607-7946</t>
  </si>
  <si>
    <t>NONLINEAR PROC GEOPH</t>
  </si>
  <si>
    <t>Nonlinear Process Geophys.</t>
  </si>
  <si>
    <t>10.5194/npg-18-361-2011</t>
  </si>
  <si>
    <t>Geosciences, Multidisciplinary; Mathematics, Interdisciplinary Applications; Meteorology &amp; Atmospheric Sciences; Physics, Fluids &amp; Plasmas</t>
  </si>
  <si>
    <t>Geology; Mathematics; Meteorology &amp; Atmospheric Sciences; Physics</t>
  </si>
  <si>
    <t>781OX</t>
  </si>
  <si>
    <t>WOS:000291944500007</t>
  </si>
  <si>
    <t>Herraiz-Borreguero, L; Rintoul, SR</t>
  </si>
  <si>
    <t>Herraiz-Borreguero, Laura; Rintoul, Stephen Rich</t>
  </si>
  <si>
    <t>Subantarctic mode water: distribution and circulation</t>
  </si>
  <si>
    <t>Subantarctic mode water; Potential vorticity; Montgomery streamfunction; Circulation; Spatial distribution</t>
  </si>
  <si>
    <t>TOTAL GEOSTROPHIC CIRCULATION; WESTERN SOUTH-ATLANTIC; INDIAN-OCEAN; INTERMEDIATE WATER; SUBTROPICAL GYRE; FLOW PATTERNS; PACIFIC-OCEAN; VENTILATION; THERMOCLINE; MASSES</t>
  </si>
  <si>
    <t>The subduction and export of subantarctic mode water (SAMW) as part of the overturning circulation play an important role in global heat, freshwater, carbon and nutrient budgets. Here, the spatial distribution and export of SAMW is investigated using Argo profiles and a climatology. SAMW is identified by a dynamical tracer: a minimum in potential vorticity. We have found that SAMW consists of several modes with distinct properties in each oceanic basin. This conflicts with the previous view of SAMW as a continuous water mass that gradually cools and freshens to the east. The circulation paths of SAMW were determined using (modified) Montgomery streamlines on the density surfaces corresponding with potential vorticity minima. The distribution of the potential vorticity minima revealed hotspots where the different SAMW modes subduct north of the Subantarctic Front. The subducted SAMWs follow narrow export pathways into the subtropical gyres influenced by topography. The export of warmer, saltier modes in these hotspots contributes to the circumpolar evolution of mode water properties toward cooler, fresher and denser modes in the east.</t>
  </si>
  <si>
    <t>[Herraiz-Borreguero, Laura] CSIRO, Marine &amp; Atmospher Res, Hobart, Tas, Australia; [Herraiz-Borreguero, Laura] Univ Tasmania, Inst Marine &amp; Antarctic Studies, Quantitat Marine Sci Program, Hobart, Tas, Australia; [Rintoul, Stephen Rich] Ctr Australian Weather &amp; Climate Res, Bur Meteorol, Hobart, Tas, Australia; [Rintoul, Stephen Rich] CSIRO Marine &amp; Atmospher Res, Wealth Oceans Natl Res Flagship, Hobart, Tas, Australia; [Herraiz-Borreguero, Laura; Rintoul, Stephen Rich] Antarctic Climate &amp; Ecosyst Cooperat Res Ctr, Hobart, Tas, Australia</t>
  </si>
  <si>
    <t>Commonwealth Scientific &amp; Industrial Research Organisation (CSIRO); University of Tasmania; Commonwealth Scientific &amp; Industrial Research Organisation (CSIRO); Bureau of Meteorology - Australia; Commonwealth Scientific &amp; Industrial Research Organisation (CSIRO); Antarctic Climate &amp; Ecosystems Cooperative Research Centre (ACE CRC)</t>
  </si>
  <si>
    <t>Herraiz-Borreguero, L (corresponding author), CSIRO, Marine &amp; Atmospher Res, Hobart, Tas, Australia.</t>
  </si>
  <si>
    <t>lherraiz@utas.edu.au</t>
  </si>
  <si>
    <t>Rintoul, Stephen R/A-1471-2012; Herraiz-Borreguero, Laura/D-5795-2015</t>
  </si>
  <si>
    <t>Rintoul, Stephen R/0000-0002-7055-9876; Herraiz-Borreguero, Laura/0000-0002-4455-801X</t>
  </si>
  <si>
    <t>10.1007/s10236-010-0352-9</t>
  </si>
  <si>
    <t>WOS:000286353200007</t>
  </si>
  <si>
    <t>Stewart, AL; Dellar, PJ</t>
  </si>
  <si>
    <t>Stewart, A. L.; Dellar, P. J.</t>
  </si>
  <si>
    <t>Cross-equatorial flow through an abyssal channel under the complete Coriolis force: Two-dimensional solutions</t>
  </si>
  <si>
    <t>Antarctic Bottom Water; Abyssal currents; Equatorial currents; Complete Coriolis force; Traditional approximation; Shallow water equations</t>
  </si>
  <si>
    <t>ANTARCTIC BOTTOM WATER; NONTRADITIONAL BETA-PLANE; WESTERN ATLANTIC; EQUATIONS; CURRENTS; OCEAN; APPROXIMATION; DERIVATION</t>
  </si>
  <si>
    <t>The component of the Coriolis force due to the locally horizontal component of the Earth's rotation vector is commonly neglected, under the so-called traditional approximation. We investigate the role of this non-traditional component of the Coriolis force in cross-equatorial flow of abyssal ocean currents. We focus on the Antarctic Bottom Water (AABW), which crosses from the southern to the northern hemisphere through the Ceara abyssal plain in the western Atlantic ocean. The bathymetry in this region resembles a northwestward channel, connecting the Brazil Basin in the south to the Guyana Basin in the north. South of the equator, the AABW leans against the western continental rise, consistent with a northward flow in approximate geostrophic balance. The AABW then crosses to the other side of the abyssal channel as it crosses the equator, and flows into the northern hemisphere leaning towards the east against the Mid-Atlantic Ridge. The non-traditional component of the Coriolis force is strongest close to the equator. The traditional component vanishes at the equator, being proportional to the locally vertical component of the Earth's rotation vector. The weak stratification of the abyssal ocean, and subsequent small internal deformation radius, defines a relatively short characteristic horizontal lengthscale that tends to make non-traditional effects more prominent. Additionally, the steep gradients of the channel bathymetry induce large vertical velocities, which are linked to zonal accelerations by the non-traditional components of the Coriolis force. We therefore expect non-traditional effects to play a substantial role in cross-equatorial transport of the AABW. We present asymptotic steady solutions for non-traditional shallow water flow through an idealised abyssal channel, oriented at an oblique angle to the equator. The current enters from the south, leaning up against the western side of the channel in approximate geostrophic balance, and crosses the channel as it crosses the equator. The non-traditional contribution to the planetary angular momentum must be balanced by stronger westward flow in the channel, which leads to an increased transport in a northwestward channel, and a reduced transport in a northeastward channel. Our results suggest that as much as 10-30% of the cross-equatorial flow of the AABW may be attributed to the non-traditional components of the Coriolis force. (C) 2011 Elsevier Ltd. All rights reserved.</t>
  </si>
  <si>
    <t>[Stewart, A. L.; Dellar, P. J.] Univ Oxford, Inst Math, OCIAM, Oxford OX1 3LB, England</t>
  </si>
  <si>
    <t>University of Oxford</t>
  </si>
  <si>
    <t>Stewart, AL (corresponding author), Univ Oxford, Inst Math, OCIAM, 24-29 St Giles, Oxford OX1 3LB, England.</t>
  </si>
  <si>
    <t>stewart@maths.ox.ac.uk</t>
  </si>
  <si>
    <t>Dellar, Paul J/A-6367-2012</t>
  </si>
  <si>
    <t>Stewart, Andrew/0000-0001-5861-4070</t>
  </si>
  <si>
    <t>EPSRC [EP/E054625/1]; Engineering and Physical Sciences Research Council [EP/E054625/1] Funding Source: researchfish; EPSRC [EP/E054625/1] Funding Source: UKRI</t>
  </si>
  <si>
    <t>EPSRC(UK Research &amp; Innovation (UKRI)Engineering &amp; Physical Sciences Research Council (EPSRC)); Engineering and Physical Sciences Research Council(UK Research &amp; Innovation (UKRI)Engineering &amp; Physical Sciences Research Council (EPSRC)); EPSRC(UK Research &amp; Innovation (UKRI)Engineering &amp; Physical Sciences Research Council (EPSRC))</t>
  </si>
  <si>
    <t>A.L.S. is supported by an EPSRC PhD Plus award. P.J.D.'s research is supported by an EPSRC Advanced Research Fellowship, Grant No. EP/E054625/1. We thank two anonymous referees for constructive suggestions that have improved our manuscript.</t>
  </si>
  <si>
    <t>10.1016/j.ocemod.2011.07.003</t>
  </si>
  <si>
    <t>836RN</t>
  </si>
  <si>
    <t>WOS:000296128900007</t>
  </si>
  <si>
    <t>Ward, ML; Hogg, AM</t>
  </si>
  <si>
    <t>Ward, Marshall L.; Hogg, Andrew McC</t>
  </si>
  <si>
    <t>Establishment of momentum balance by form stress in a wind-driven channel</t>
  </si>
  <si>
    <t>Channel flow; Wind-driven currents; Momentum transfer; Mesoscale eddies; Ekman transport; Modelling</t>
  </si>
  <si>
    <t>ANTARCTIC CIRCUMPOLAR CURRENT; BETA-PLANE CHANNEL; SOUTHERN-OCEAN; OBSCURANTIST PHYSICS; MODEL; CIRCULATION; TRANSPORT; EDDIES; SIMULATIONS; VARIABILITY</t>
  </si>
  <si>
    <t>We examine the establishment of form stress in the spinup of a rotating isopycnal wind-driven channel model, with reference to the Antarctic Circumpolar Current. Initially, the force balance resembles Ekman layer transport, where zonal surface winds are balanced by the Coriolis forces in the upper layers, while the bottom layers consist of an opposing meridional flow balanced by topographic form stress. As the meridional transport increases, the isopycnal slopes and zonal transport also increase and the flow becomes baroclinically unstable, leading to the development of interfacial form stresses due to small-scale baroclinic eddies. This form stress alters the force balance of the layers, causing the system to geostrophically readjust to new states with progressively lower meridional transports. This trend continues until the meridional transport stops and the current is balanced solely by winds and form stress. The final state is a turbulent flow consisting of a several meandering jets that are maintained by the mesoscale eddy field. Our results resemble recent observations of the Antarctic Circumpolar Current and illustrate the contribution of mesoscale eddies to the force balance of the Southern Ocean. (C) 2011 Elsevier Ltd. All rights reserved.</t>
  </si>
  <si>
    <t>[Ward, Marshall L.; Hogg, Andrew McC] Australian Natl Univ, Res Sch Earth Sci, Canberra, ACT 0200, Australia</t>
  </si>
  <si>
    <t>Ward, ML (corresponding author), Australian Natl Univ, Res Sch Earth Sci, GPO Box 4, Canberra, ACT 0200, Australia.</t>
  </si>
  <si>
    <t>marshall.ward@anu.edu.au; andy.hogg@anu.edu.au</t>
  </si>
  <si>
    <t>Hogg, Andy McC./A-7553-2011; Hogg, Andy/AAZ-8733-2021</t>
  </si>
  <si>
    <t>Hogg, Andy McC./0000-0001-5898-7635; Hogg, Andy/0000-0001-5898-7635</t>
  </si>
  <si>
    <t>Australian Research Council [DP0877824]; Australian Research Council [DP0877824] Funding Source: Australian Research Council</t>
  </si>
  <si>
    <t>Australian Research Council(Australian Research Council); Australian Research Council(Australian Research Council)</t>
  </si>
  <si>
    <t>The authors thank Andrew Kiss and an anonymous reviewer for encouraging the investigation on the role of Rossby waves during spinup, and Bob Hallberg at GFDL for use of the GOLD isopycnal ocean model in this study. This work was supported by an Australian Research Council Grant (DP0877824), and numerical computations were conducted using the National Facility of the National Computational Infrastructure at ANU.</t>
  </si>
  <si>
    <t>10.1016/j.ocemod.2011.08.004</t>
  </si>
  <si>
    <t>847EP</t>
  </si>
  <si>
    <t>WOS:000296955000003</t>
  </si>
  <si>
    <t>Langlais, C; Rintoul, S; Schiller, A</t>
  </si>
  <si>
    <t>Langlais, C.; Rintoul, S.; Schiller, A.</t>
  </si>
  <si>
    <t>Variability and mesoscale activity of the Southern Ocean fronts: Identification of a circumpolar coordinate system</t>
  </si>
  <si>
    <t>Southern Ocean; Antarctic Circumpolar Current; Fronts identification; Mesoscale activity</t>
  </si>
  <si>
    <t>GRAVEST EMPIRICAL MODE; ANTARCTIC POLAR FRONT; CIRCULATION; TEMPERATURE; SCALE; TOPOGRAPHY; RESOLUTION; ATLANTIC; TOPEX/POSEIDON; ENERGETICS</t>
  </si>
  <si>
    <t>Recent studies have highlighted the filamented nature of the jets associated with the Antarctic Circumpolar Current (ACC). However, the nature, variability and continuity of the ACC fronts remain a topic of debate, in part because different methods provide different perspectives on this complex current system. The goal of this study is to identify a circumpolar coordinate system or reference frame that accounts for the multiple jets of the ACC and that would be suitable for future studies of cross-front fluxes. A new methodology is developed and tested using simulations from several ocean general circulation models (OGCMs). The method uses subsurface temperature criteria and transport maxima to identify five primary circumpolar fronts. The frontal structure derived using this approach is compared to the sea surface height (SSH) contour approach of Sokolov and Rintoul (2007) and a hybrid of the two methods is proposed. Strengths and weaknesses of the different approaches are summarized. We show that the hybrid approach defines a coordinate system that helps explain the circumpolar structure and variability of the ACC fronts and is relevant for the estimation of cross-front fluxes. Fronts defined in this way show behaviour largely consistent with previous studies, including along-front changes in intensity, splitting and merging of fronts, large meridional displacements and unstable behaviour in the vicinity of large bathymetric features. (C) 2011 Elsevier Ltd. All rights reserved.</t>
  </si>
  <si>
    <t>[Langlais, C.] IMAS Univ Tasmania, CSIRO Marine &amp; Atmospher Res, Hobart, Tas, Australia; [Rintoul, S.] CSIRO Marine &amp; Atmospher Res, Antarctic Climate &amp; Ecosyst Cooperat Res Ctr, Wealth Oceans Natl Res Flagship, Hobart, Tas, Australia; [Schiller, A.] CSIRO Marine &amp; Atmospher Res, CSIRO CAWCR Wealth Oceans Natl Res Flagship, Hobart, Tas, Australia</t>
  </si>
  <si>
    <t>Commonwealth Scientific &amp; Industrial Research Organisation (CSIRO); University of Tasmania; Antarctic Climate &amp; Ecosystems Cooperative Research Centre (ACE CRC); Commonwealth Scientific &amp; Industrial Research Organisation (CSIRO); Commonwealth Scientific &amp; Industrial Research Organisation (CSIRO)</t>
  </si>
  <si>
    <t>Langlais, C (corresponding author), IMAS Univ Tasmania, CSIRO Marine &amp; Atmospher Res, Hobart, Tas, Australia.</t>
  </si>
  <si>
    <t>clothilde.langlais@gmail.com</t>
  </si>
  <si>
    <t>Rintoul, Stephen R/A-1471-2012; Langlais, Clothilde/AAI-9859-2021; Schiller, Andreas/C-5129-2011; Langlais, Clothilde E/N-1433-2013</t>
  </si>
  <si>
    <t>Rintoul, Stephen R/0000-0002-7055-9876; Langlais, Clothilde/0000-0002-6423-7678;</t>
  </si>
  <si>
    <t>University of Tasmania; CSIRO; Australian Climate Change Science Program; Australian Government's Cooperative Research Centre (CRC) through the Antarctic Climate and Ecosystems CRC; Centre National d'Etudes Spatiales (CNES) through the Ocean Surface Topography Science Team (OST/ST); Centre National de la Recherche Scientifique (CNRS); Institut National des Sciences de l'Univers (INSU); Groupe Mission Mercator Coriolis (GMMC)</t>
  </si>
  <si>
    <t>University of Tasmania; CSIRO(Commonwealth Scientific &amp; Industrial Research Organisation (CSIRO)); Australian Climate Change Science Program; Australian Government's Cooperative Research Centre (CRC) through the Antarctic Climate and Ecosystems CRC(Australian GovernmentDepartment of Industry, Innovation and ScienceCooperative Research Centres (CRC) Programme); Centre National d'Etudes Spatiales (CNES) through the Ocean Surface Topography Science Team (OST/ST)(Centre National D'etudes Spatiales); Centre National de la Recherche Scientifique (CNRS)(Centre National de la Recherche Scientifique (CNRS)); Institut National des Sciences de l'Univers (INSU); Groupe Mission Mercator Coriolis (GMMC)</t>
  </si>
  <si>
    <t>We would like to thank the reviewers for their thoughful comments. Financial support for this research is provided by the Quantitative Marine Science joint program between University of Tasmania and CSIRO and through the CSIRO Wealth from Ocean Flagship program. This research was supported in part by the Australian Climate Change Science Program and by the Australian Government's Cooperative Research Centre (CRC) program through the Antarctic Climate and Ecosystems CRC. This work is a contribution of the DRAKKAR project, which is supported by the Centre National d'Etudes Spatiales (CNES) through the Ocean Surface Topography Science Team (OST/ST), by the Centre National de la Recherche Scientifique (CNRS), the Institut National des Sciences de l'Univers (INSU), the Groupe Mission Mercator Coriolis (GMMC). Computations presented in this study were performed at Institut du Developpement et des Ressources en Informatique Scientifique (IDRIS).</t>
  </si>
  <si>
    <t>10.1016/j.ocemod.2011.04.010</t>
  </si>
  <si>
    <t>WOS:000293323100007</t>
  </si>
  <si>
    <t>Farneti, R; Gent, PR</t>
  </si>
  <si>
    <t>Farneti, Riccardo; Gent, Peter R.</t>
  </si>
  <si>
    <t>The effects of the eddy-induced advection coefficient in a coarse-resolution coupled climate model</t>
  </si>
  <si>
    <t>Mesoscale eddy parameterisation; Southem Ocean dynamics; Ocean modelling; Climate change</t>
  </si>
  <si>
    <t>ANTARCTIC CIRCUMPOLAR CURRENT; OCEAN CIRCULATION MODELS; SOUTHERN-OCEAN; THICKNESS DIFFUSIVITY; MESOSCALE EDDIES; TRANSPORT; PARAMETERIZATION; SIMULATION; VENTILATION; BALANCE</t>
  </si>
  <si>
    <t>The role of the eddy-induced advection coefficient kappa, used in the Gent and McWilliams (1990) parameterisation (GM), is analysed in terms of the response to idealised wind stress perturbation experiments in the GFDL global coupled climate model CM2.1, and compared to solutions with an eddy-permitting version of the same coupled model, CM2.4. The closure implemented in CM2.1 for kappa is flow-dependent and includes a maximum limit that caps its value. In this paper, we present simulations with a modified version of CM2.1, where the upper limit for kappa is doubled to 1200 m(2) s(-1) and the cap to the isopycnal slope S(max) in GM is also increased to 1/100 from 1/500. These changes allow their product, kappa S(max), which is the upper limit to the effect of parameterised eddies, to be an order of magnitude higher than in the original CM2.1 version. Modifications to both GM parameters result in changes in the mean circulation and overall climatology that are non-negligible, which shows that attention has to be paid to the GM implementation during model development. Increasing the value of kappa does produce a stronger compensation between mean and eddy-induced meridional overturning circulations under stronger wind stress forcing, but the residual circulation response is still stronger than in the eddy-permitting model CM2.4. We show that spatially varying kappa, both in the horizontal and vertical directions, is necessary for a correct simulation of the response to changes in the wind stress. New and improved closures for kappa are needed, and should be tested in coupled climate models. (C) 2011 Elsevier Ltd. All rights reserved.</t>
  </si>
  <si>
    <t>[Farneti, Riccardo] ICTP, Earth Syst Phys Sect, Trieste, Italy; [Gent, Peter R.] Natl Ctr Atmospher Res, Boulder, CO 80307 USA</t>
  </si>
  <si>
    <t>Abdus Salam International Centre for Theoretical Physics (ICTP); National Center Atmospheric Research (NCAR) - USA</t>
  </si>
  <si>
    <t>Farneti, R (corresponding author), ICTP, Earth Syst Phys Sect, Trieste, Italy.</t>
  </si>
  <si>
    <t>rfarneti@ictp.it</t>
  </si>
  <si>
    <t>Gent, Peter/HGB-9457-2022; Farneti, Riccardo/B-5183-2011</t>
  </si>
  <si>
    <t>Farneti, Riccardo/0000-0001-7781-6436</t>
  </si>
  <si>
    <t>Climate Group at GFDL; National Science Foundation</t>
  </si>
  <si>
    <t>Climate Group at GFDL; National Science Foundation(National Science Foundation (NSF))</t>
  </si>
  <si>
    <t>This study is based on model integrations that were performed at the NOAA/GFDL supercomputing facilities when the first author was a postdoc there. The support of the Climate Group at GFDL is gratefully acknowledged. NCAR is sponsored by the National Science Foundation. Stephen M. Griffies and two anonymous reviewers made useful and constructive comments on the manuscript.</t>
  </si>
  <si>
    <t>10.1016/j.ocemod.2011.02.005</t>
  </si>
  <si>
    <t>WOS:000293323100011</t>
  </si>
  <si>
    <t>Sallée, JB; Rintoul, SR</t>
  </si>
  <si>
    <t>Sallee, Jean-Baptiste; Rintoul, Stephen R.</t>
  </si>
  <si>
    <t>Parameterization of eddy-induced subduction in the Southern Ocean surface-layer</t>
  </si>
  <si>
    <t>Parameterization; Mixed-layer; Subduction; Ventilation; Eddies</t>
  </si>
  <si>
    <t>ANTARCTIC CIRCUMPOLAR CURRENT; MIXED-LAYER; CIRCULATION MODELS; EDDIES; FLUXES; TRANSPORT; DIFFUSIVITY; DIAGNOSIS; DYNAMICS; TRACER</t>
  </si>
  <si>
    <t>The divergence of the eddy mass flux in the surface layer of the Southern Ocean makes an important contribution to subduction of fluid through the base of the mixed layer. Therefore, accurate parameterization of this process is needed to correctly represent the Southern Ocean ventilation in coarse-resolution models. We test a common approach to the parameterization of eddy fluxes (Gent and McWilliams, 1990) using output from the 1/6 degrees eddy-permitting Southern Ocean State Estimate, which assimilates a variety of ocean observations using an adjoint method. When a constant diffusion coefficient of conventional magnitude O(1000 m(2) s(-1)) is used, the parameterized fluxes fail to reproduce the regional pattern and magnitude of eddy-driven subduction diagnosed from the model. However, when an appropriate choice is made for the diffusion coefficient, the parameterization does a good job of reproducing the distribution and strength of the eddy contribution to subduction. Using a spatially-varying coefficient is key to reproduce the regional pattern of the eddy-induced subduction. In addition, the magnitude of the subduction is correctly represented only with a diffusion coefficient that peaks at 10(4) m(2) s(-1) in the most energetic areas of the Southern Ocean, a factor of ten larger than commonly used in coarse-resolution climate models. Using a diffusion coefficient that is too small will underestimate the contribution of eddies to the ocean sequestration of heat, salt and carbon. Crown Copyright (C) 2011 Published by Elsevier Ltd. All rights reserved.</t>
  </si>
  <si>
    <t>[Sallee, Jean-Baptiste] British Antarctic Survey, Cambridge CB3 0ET, England; [Sallee, Jean-Baptiste; Rintoul, Stephen R.] CSIRO Marine &amp; Atmospher Res, Hobart, Tas 7001, Australia</t>
  </si>
  <si>
    <t>UK Research &amp; Innovation (UKRI); Natural Environment Research Council (NERC); NERC British Antarctic Survey; Commonwealth Scientific &amp; Industrial Research Organisation (CSIRO)</t>
  </si>
  <si>
    <t>Sallée, JB (corresponding author), British Antarctic Survey, Madingley Rd, Cambridge CB3 0ET, England.</t>
  </si>
  <si>
    <t>jbsall@bas.ac.uk</t>
  </si>
  <si>
    <t>sallée, jean-baptiste/A-5837-2010; Rintoul, Stephen R/A-1471-2012; SALLEE, Jean baptiste/HDO-5355-2022</t>
  </si>
  <si>
    <t>Rintoul, Stephen R/0000-0002-7055-9876;</t>
  </si>
  <si>
    <t>NSF through TeraGrid resources [MCA06N007]; CSIRO Office of the chief Executive (OCE); Australian Government's Cooperative Research Centres through the Antarctic Climate and Ecosystems Cooperative Research Centre (ACE-CRC); Australian Climate Change Science Program; Oceans National Research Flagship; NERC [bas0100028] Funding Source: UKRI; Natural Environment Research Council [bas0100028] Funding Source: researchfish</t>
  </si>
  <si>
    <t>NSF through TeraGrid resources(National Science Foundation (NSF)); CSIRO Office of the chief Executive (OCE); Australian Government's Cooperative Research Centres through the Antarctic Climate and Ecosystems Cooperative Research Centre (ACE-CRC)(Australian GovernmentDepartment of Industry, Innovation and ScienceCooperative Research Centres (CRC) Programme); Australian Climate Change Science Program; Oceans National Research Flagship; NERC(UK Research &amp; Innovation (UKRI)Natural Environment Research Council (NERC)); Natural Environment Research Council(UK Research &amp; Innovation (UKRI)Natural Environment Research Council (NERC))</t>
  </si>
  <si>
    <t>The authors thank Matt Mazloff for providing the SOSE data and asisstance in using the data. Computational resources for SOSE were provided by NSF through TeraGrid resources under Grant No. MCA06N007. JBS was supported by a CSIRO Office of the chief Executive (OCE) Postdoctoral Fellowship. We thank Bernadette Sloyan, Stephen Griffies and an anonymous reviewer for their helpful comments on the manuscript. SR was supported by the Australian Government's Cooperative Research Centres Programme through the Antarctic Climate and Ecosystems Cooperative Research Centre (ACE-CRC) and by the Australian Climate Change Science Program. JBS, SR were also supported by the CSIRO Wealth from Oceans National Research Flagship.</t>
  </si>
  <si>
    <t>10.1016/j.ocemod.2011.04.001</t>
  </si>
  <si>
    <t>WOS:000293323100012</t>
  </si>
  <si>
    <t>Ferrari, R; Ferreira, D</t>
  </si>
  <si>
    <t>Ferrari, Raffaele; Ferreira, David</t>
  </si>
  <si>
    <t>What processes drive the ocean heat transport?</t>
  </si>
  <si>
    <t>Ocean heat transport; Climate; Ocean mixing; Ocean convection; Wind</t>
  </si>
  <si>
    <t>ANTARCTIC CIRCUMPOLAR CURRENT; OVERTURNING CIRCULATION; SOUTHERN-OCEAN; MODEL; STRATIFICATION; CLIMATE; EDDIES; TRACER; ENERGY; WIND</t>
  </si>
  <si>
    <t>The ocean contributes to regulating the Earth's climate through its ability to transport heat from the equator to the poles. In this study we use long simulations of an ocean model to investigate whether the heat transport is carried primarily by wind-driven gyres or whether it is dominated by deep circulations associated with abyssal mixing and high latitude convection. The heat transport is computed as a function of temperature classes. In the Pacific and Indian ocean, the bulk of the heat transport is associated with wind-driven gyres confined to the thermocline. In the Atlantic, the thermocline gyres account for only 40% of the total heat transport. The remaining 60% is associated with a circulation reaching down to cold waters below the thermocline. Using a series of sensitivity experiments, we show that this deep heat transport is primarily set by the strength and patterns of surface winds and only secondarily by diabatic processes at high latitudes in the North Atlantic. Abyssal mixing below 2000 m has hardly any impact on ocean heat transport. A major implication is that the role of the ocean in regulating Earth's climate strongly depends on how surface winds change across different climates in both hemispheres at low and high latitudes. (C) 2011 Elsevier Ltd. All rights reserved.</t>
  </si>
  <si>
    <t>[Ferrari, Raffaele; Ferreira, David] MIT, Dept Earth Atmospher &amp; Planetary Sci, Cambridge, MA 02139 USA</t>
  </si>
  <si>
    <t>Massachusetts Institute of Technology (MIT)</t>
  </si>
  <si>
    <t>Ferrari, R (corresponding author), EAPS, 77 Massachusetts Ave, Cambridge, MA 02139 USA.</t>
  </si>
  <si>
    <t>rferrari@mit.edu</t>
  </si>
  <si>
    <t>Ferrari, Raffaele/C-9337-2013; Ferreira, David/JJD-6133-2023; Ferreira, David/JNR-2354-2023</t>
  </si>
  <si>
    <t>Ferrari, Raffaele/0000-0002-3736-1956; Ferreira, David/0000-0003-3243-9774</t>
  </si>
  <si>
    <t>10.1016/j.ocemod.2011.02.013</t>
  </si>
  <si>
    <t>784AV</t>
  </si>
  <si>
    <t>WOS:000292126900001</t>
  </si>
  <si>
    <t>The role of the complete Coriolis force in cross-equatorial flow of abyssal ocean currents</t>
  </si>
  <si>
    <t>Antarctic bottom water; Interhemispheric flow; Equatorial currents; Traditional approximation; Complete Coriolis force</t>
  </si>
  <si>
    <t>ANTARCTIC BOTTOM WATER; LOW FREQUENCY OSCILLATIONS; BETA-PLANE; CONSERVATION-LAWS; EQUATIONS; CIRCULATION; CONSISTENT; DERIVATION</t>
  </si>
  <si>
    <t>Ocean currents flowing close to or across the equator are strongly constrained by the change in sign off, the locally vertical component of the Earth's rotation vector, across the equator. We investigate these currents using a shallow water model that includes both the locally vertical and locally horizontal components of the Earth's rotation vector, thus accounting for the complete Coriolis force. We therefore avoid making the so-called traditional approximation that retains only the part of the Coriolis force associated with the locally vertical component of the rotation vector. Including the complete Coriolis force contributes an additional term to the fluid's potential vorticity, which may partially balance the change in sign off as fluid crosses the equator over suitably shaped bathymetry. We focus on the Antarctic Bottom Water, which crosses the equator northwards in the western Atlantic ocean where the local bathymetry forms an almost-zonal channel. We show that this bathymetry facilitates the current's equatorial crossing via the action of the non-traditional component of the Coriolis force. We illustrate this process using both analytical and numerical solutions for flow of an abyssal current over idealised equatorial topography. We also consider the one-dimensional geostrophic adjustment of a body of fluid across the equator, and show that the non-traditional contribution to the fluid's angular momentum permits a larger cross-equatorial transport. These results underline the importance of including the complete Coriolis force in studies of the equatorial ocean, particularly in the weakly-stratified abyssal ocean where the non-traditional component is most pronounced. (C) 2011 Elsevier Ltd. All rights reserved.</t>
  </si>
  <si>
    <t>[Stewart, A. L.; Dellar, P. J.] OCIAM, Math Inst, Oxford OX1 3LB, England</t>
  </si>
  <si>
    <t>Stewart, AL (corresponding author), OCIAM, Math Inst, 24-29 St Giles, Oxford OX1 3LB, England.</t>
  </si>
  <si>
    <t>EPSRC [EP/E054625/1]; EPSRC [EP/E054625/1] Funding Source: UKRI; Engineering and Physical Sciences Research Council [EP/E054625/1] Funding Source: researchfish</t>
  </si>
  <si>
    <t>EPSRC(UK Research &amp; Innovation (UKRI)Engineering &amp; Physical Sciences Research Council (EPSRC)); EPSRC(UK Research &amp; Innovation (UKRI)Engineering &amp; Physical Sciences Research Council (EPSRC)); Engineering and Physical Sciences Research Council(UK Research &amp; Innovation (UKRI)Engineering &amp; Physical Sciences Research Council (EPSRC))</t>
  </si>
  <si>
    <t>A.L. Stewart is supported by an EPSRC Doctoral Training Account award. P.J. Dellar's research is supported by an EPSRC Advanced Research Fellowship, Grant No. EP/E054625/1.</t>
  </si>
  <si>
    <t>10.1016/j.ocemod.2011.03.001</t>
  </si>
  <si>
    <t>WOS:000292126900002</t>
  </si>
  <si>
    <t>Thomalla, SJ; Waldron, HN; Lucas, MI; Read, JF; Ansorge, IJ; Pakhomov, E</t>
  </si>
  <si>
    <t>Thomalla, S. J.; Waldron, H. N.; Lucas, M. I.; Read, J. F.; Ansorge, I. J.; Pakhomov, E.</t>
  </si>
  <si>
    <t>Phytoplankton distribution and nitrogen dynamics in the southwest indian subtropical gyre and Southern Ocean waters</t>
  </si>
  <si>
    <t>HALF-SATURATION CONSTANTS; PRIMARY PRODUCTIVITY; COMMUNITY STRUCTURE; EQUATORIAL PACIFIC; IRON FERTILIZATION; ISOTOPE-DILUTION; ATLANTIC SECTOR; NE ATLANTIC; CARBON; BLOOM</t>
  </si>
  <si>
    <t>During the 1999 Marion Island Oceanographic Survey (MIOS 4) in late austral summer, a northbound and reciprocal southbound transect were taken along the Southwest Indian and Madagascar Ridge, between the Prince Edward Islands and 31 degrees S. The sections crossed a number of major fronts and smaller mesoscale features and covered a wide productivity spectrum from subtropical to sub-antarctic waters. Associated with the physical survey were measurements of size fractionated chlorophyll, nutrients and nitrogen (NO3, NH4 and urea) uptake rates. Subtropical waters were characterised by low chlorophyll concentrations (max = 0.27.3 mg m(-3)) dominated by pico-phytoplankton cells (&gt; 81%) and very low f-ratios (&lt; 0.1), indicative of productivity based almost entirely on recycled ammonium and urea. Micro-phytoplankton growth was limited by the availability of NO3 (&lt; 0.5 mmol m(-3)) and Si(OH)(4) (&lt; 1.5 mmol m(-3)) through strong vertical stratification preventing the upward flux of nutrients into the euphotic zone. Biomass accumulation of small cells was likely controlled by micro-zooplankton grazing. In sub-antarctic waters, total chlorophyll concentrations increased (max = 0.74 mgm-3) relative to the subtropical waters and larger cells became more prevalent, however smaller phytoplankton cells and low f-ratios (&lt; 0.14) still dominated, despite sufficient NO3 availability. The results from this study favour Si(OH)(4) limitation, light-limited deep mixing and likely Fe deficiency as the dominant mechanisms controlling significant new production by micro-phytoplankton. The percentage of micro-phytoplankton cells and rates of new production did however increase at oceanic frontal regions (58.6% and 11.22%, respectively), and in the region of the Prince Edward archipelago (61.4% and 14.16%, respectively). Here, water column stabilization and local Feenrichment are thought to stimulate phytoplankton growth rates. Open ocean regions such as these provide important areas for local but significant particulate organic carbon export and biological CO2 draw-down in an overall high nutrient low chlorophyll Southern Ocean.</t>
  </si>
  <si>
    <t>[Thomalla, S. J.; Waldron, H. N.; Ansorge, I. J.] Univ Cape Town, Dept Oceanog, ZA-7701 Cape Town, South Africa; [Thomalla, S. J.] CSIR, Ocean Syst &amp; Climate Grp, ZA-7599 Stellenbosch, South Africa; [Lucas, M. I.] Univ Cape Town, Dept Zool, ZA-7701 Cape Town, South Africa; [Read, J. F.] NOC, Southampton SO14 3ZH, Hants, England; [Pakhomov, E.] Univ British Columbia, Dept Earth &amp; Ocean Sci, Vancouver, BC V6T 1Z4, Canada; [Pakhomov, E.] Univ Ft Hare, Dept Zool, ZA-5700 Alice, South Africa</t>
  </si>
  <si>
    <t>University of Cape Town; Council for Scientific &amp; Industrial Research (CSIR) - South Africa; University of Cape Town; NERC National Oceanography Centre; University of British Columbia; University of Fort Hare</t>
  </si>
  <si>
    <t>Thomalla, SJ (corresponding author), Univ Cape Town, Dept Oceanog, ZA-7701 Cape Town, South Africa.</t>
  </si>
  <si>
    <t>ANSORGE, ISABELLE/AAY-7396-2020; Thomalla, Sandy/AAS-4133-2021</t>
  </si>
  <si>
    <t>Ansorge, Isabelle/0000-0001-7071-8147</t>
  </si>
  <si>
    <t>NERC [noc010009] Funding Source: UKRI; Natural Environment Research Council [noc010009] Funding Source: researchfish</t>
  </si>
  <si>
    <t>10.5194/os-7-113-2011</t>
  </si>
  <si>
    <t>727LI</t>
  </si>
  <si>
    <t>WOS:000287801000009</t>
  </si>
  <si>
    <t>Williams, GD; Hindell, M; Houssais, MN; Tamura, T; Field, IC</t>
  </si>
  <si>
    <t>Williams, G. D.; Hindell, M.; Houssais, M. -N.; Tamura, T.; Field, I. C.</t>
  </si>
  <si>
    <t>Upper ocean stratification and sea ice growth rates during the summer-fall transition, as revealed by Elephant seal foraging in the Adelie Depression, East Antarctica</t>
  </si>
  <si>
    <t>MERTZ GLACIER POLYNYA; LAND; ACCURACY; BEHAVIOR</t>
  </si>
  <si>
    <t>Southern elephant seals (Mirounga leonina), fitted with Conductivity-Temperature-Depth sensors at Macquarie Island in January 2005 and 2010, collected unique oceanographic observations of the Adelie and George V Land continental shelf (140-148 degrees E) during the summer-fall transition (late February through April). This is a key region of dense shelf water formation from enhanced sea ice growth/brine rejection in the local coastal polynyas. In 2005, two seals occupied the continental shelf break near the grounded icebergs at the northern end of the Mertz Glacier Tongue for several weeks from the end of February. One of the seals migrated west to the Dibble Ice Tongue, apparently utilising the Antarctic Slope Front current near the continental shelf break. In 2010, immediately after that year's calving of the Mertz Glacier Tongue, two seals migrated to the same region but penetrated much further southwest across the Adelie Depression and sampled the Commonwealth Bay polynya from March through April. Here we present observations of the regional oceanography during the summer-fall transition, in particular (i) the zonal distribution of modified Circumpolar Deep Water exchange across the shelf break, (ii) the upper ocean stratification across the Adelie Depression, including alongside iceberg C-28 that calved from the Mertz Glacier and (iii) the convective overturning of the deep remnant seasonal mixed layer in Commonwealth Bay from sea ice growth. Heat and freshwater budgets to 200-300 m are used to estimate the ocean heat content (400 -&gt; 50 MJ m(-2)), flux (50-200 W m(-2) loss) and sea ice growth rates (maximum of 7.5-12.5 cm day(-1)). Mean seal-derived sea ice growth rates were within the range of satellite-derived estimates from 1992-2007 using ERA-Interim data. We speculate that the continuous foraging by the seals within Commonwealth Bay during the summer/fall transition was due to favorable feeding conditions resulting from the convective overturning of the deep seasonal mixed layer and chlorophyll maximum that is a reported feature of this location.</t>
  </si>
  <si>
    <t>[Williams, G. D.; Houssais, M. -N.] Univ Paris 06, LOCEAN, UMR 7159, F-75252 Paris 05, France; [Williams, G. D.; Tamura, T.] ACE CRC, Hobart, Tas 7001, Australia; [Hindell, M.] Univ Tasmania, Inst Marine &amp; Antarctic Studies, Hobart, Tas 7001, Australia; [Field, I. C.] Macquarie Univ, Grad Sch Environm, N Ryde, NSW 2109, Australia</t>
  </si>
  <si>
    <t>Sorbonne Universite; Museum National d'Histoire Naturelle (MNHN); Centre National de la Recherche Scientifique (CNRS); CNRS - National Institute for Earth Sciences &amp; Astronomy (INSU); Antarctic Climate &amp; Ecosystems Cooperative Research Centre (ACE CRC); University of Tasmania; Macquarie University</t>
  </si>
  <si>
    <t>Williams, GD (corresponding author), Univ Paris 06, LOCEAN, UMR 7159, F-75252 Paris 05, France.</t>
  </si>
  <si>
    <t>guy.darvall.williams@gmail.com</t>
  </si>
  <si>
    <t>Field, Iain C/D-3934-2009; Hindell, Mark A/K-1131-2013</t>
  </si>
  <si>
    <t>Hindell, Mark/0000-0002-7823-7185</t>
  </si>
  <si>
    <t>CNRS-INSU; Marie de Paris Research in Paris program; US National Science Foundation; Australian Antarctica Division</t>
  </si>
  <si>
    <t>CNRS-INSU(Centre National de la Recherche Scientifique (CNRS)); Marie de Paris Research in Paris program; US National Science Foundation(National Science Foundation (NSF)); Australian Antarctica Division</t>
  </si>
  <si>
    <t>The publication of this article is financed by CNRS-INSU.; This work was supported by the Marie de Paris Research in Paris program. SEaOS and IMOS Seal-CTD data was provided through the Australian Animal Tracking and Monitoring System, a facility of Integrated Marine Observing System. The Australian Antarctic Division provided in-kind support. Field work was done in compliance with research permits supplied by the Tasmania Government's Department of Primary Industry, Water and the Environment. Animal ethics for all animal handling was approved by the University of Tasmania and Macquarie University's Animal Ethics Committees. Support for the NBP00-08 and NBP04-10 research voyages (contact S. S. Jacobs, Lamont-Doherty Earth Observatory, USA) was provided by the US National Science Foundation with the data processed and archived with the National Oceanographic Data Center. Support for the AU9901 (contact N. L. Bindoff, ACECRC, Australia) research voyage provided by the Australian Antarctica Division. The authors was like to thank the officers, crew and technicians of the RVIB Nathaniel B Palmer and R/V Aurora Australis for their professional support in the collection of these observational data.</t>
  </si>
  <si>
    <t>10.5194/os-7-185-2011</t>
  </si>
  <si>
    <t>756ND</t>
  </si>
  <si>
    <t>WOS:000290018300002</t>
  </si>
  <si>
    <t>Hellmer, HH; Huhn, O; Gomis, D; Timmermann, R</t>
  </si>
  <si>
    <t>Hellmer, H. H.; Huhn, O.; Gomis, D.; Timmermann, R.</t>
  </si>
  <si>
    <t>On the freshening of the northwestern Weddell Sea continental shelf</t>
  </si>
  <si>
    <t>ICE SHELF; ANTARCTIC PENINSULA; BOTTOM-WATER; DEEP-WATER; VARIABILITY; OCEAN; CIRCULATION; HISTORY; EASTERN; SYSTEM</t>
  </si>
  <si>
    <t>We analyzed hydrographic data from the northwestern Weddell Sea continental shelf of the three austral winters 1989, 1997, and 2006 and two summers following the last winter cruise. During summer a thermal front exists at similar to 64 degrees S separating cold southern waters from warm northern waters that have similar characteristics as the deep waters of the central basin of the Bransfield Strait. In winter, the whole continental shelf exhibits southern characteristics with high Neon (Ne) concentrations, indicating a significant input of glacial melt water. The comparison of the winter data from the shallow shelf off the tip of the Antarctic Peninsula, spanning a period of 17 yr, shows a salinity decrease of 0.09 for the whole water column, which has a residence time of &lt; 1 yr. We interpret this freshening as being caused by a combination of reduced salt input due to a southward sea ice retreat and higher precipitation during the late 20th century on the western Weddell Sea continental shelf. However, less salinification might also result from a delicate interplay between enhanced salt input due to sea ice formation in coastal areas formerly occupied by Larsen A and B ice shelves and increased Larsen C ice loss.</t>
  </si>
  <si>
    <t>[Hellmer, H. H.; Timmermann, R.] Alfred Wegener Inst Polar &amp; Marine Res, Bremerhaven, Germany; [Huhn, O.] Univ Bremen, Inst Umweltphys, Bremen, Germany; [Gomis, D.] Univ Illes Balears, CSIC, IMEDEA, Mallorca, Spain</t>
  </si>
  <si>
    <t>Helmholtz Association; Alfred Wegener Institute, Helmholtz Centre for Polar &amp; Marine Research; University of Bremen; Universitat de les Illes Balears; Consejo Superior de Investigaciones Cientificas (CSIC); ATTITUS Educacao</t>
  </si>
  <si>
    <t>Hellmer, HH (corresponding author), Alfred Wegener Inst Polar &amp; Marine Res, Bremerhaven, Germany.</t>
  </si>
  <si>
    <t>hartmut.hellmer@awi.de</t>
  </si>
  <si>
    <t>Hellmer, Hartmut/0000-0002-9357-9853; Gomis, Damia/0000-0002-9732-0080; Huhn, Oliver/0000-0003-3626-9135</t>
  </si>
  <si>
    <t>Logistic Department at Alfred Wegener Institute for Polar and Marine Research (AWI); Spanish Polar Research Sub-Program [POL2006-00550/CTM, POL2006-11139-C02-01/CGL]; European Union</t>
  </si>
  <si>
    <t>Logistic Department at Alfred Wegener Institute for Polar and Marine Research (AWI); Spanish Polar Research Sub-Program; European Union(European Union (EU))</t>
  </si>
  <si>
    <t>We thank captain and crew of R/V Polarstern cruise ANT-XXIII/7 and the members of the Logistic Department at Alfred Wegener Institute for Polar and Marine Research (AWI) for their support. Special thanks to M. Schodlok, M. Mata, N. Nunes, R. Kerr, M. Rucker van Caspel, A. Macrander, and L. Sellmann, members of the oceanographic team during ANT-XXIII/7, and to A. Wisotzki for advice during data processing. D. Gomis acknowledges the funding of the projects ATOS (POL2006-00550/CTM) and ESASSI (POL2006-11139-C02-01/CGL) by the Spanish Polar Research Sub-Program and the FEDER program of the European Union. We also thank E. Isla for collecting and providing the CTD data of cruise ANT-XXIII/8. The provision of the NBP9705 hydrographic data by B. Huber (LDEO) and modeled precipitation and continental run-off by J. T. M. Lenaerts (IMAU) was very much appreciated. The paper improved significantly due to the discussion with M. Schroder and constructive comments by C. Haas and one anonymous reviewer.</t>
  </si>
  <si>
    <t>10.5194/os-7-305-2011</t>
  </si>
  <si>
    <t>781JS</t>
  </si>
  <si>
    <t>WOS:000291928000003</t>
  </si>
  <si>
    <t>Souza, JMAC; Montégut, CD; Le Traon, PY</t>
  </si>
  <si>
    <t>Souza, J. M. A. C.; Montegut, C. de Boyer; Le Traon, P. Y.</t>
  </si>
  <si>
    <t>Comparison between three implementations of automatic identification algorithms for the quantification and characterization of mesoscale eddies in the South Atlantic Ocean</t>
  </si>
  <si>
    <t>ANTARCTIC CIRCUMPOLAR CURRENT; EXTRATROPICAL CIRCULATION; AGULHAS EDDIES; ANNULAR MODES; DYNAMICS; ALTIMETER; VORTICES; RINGS; TRANSLATION; VARIABILITY</t>
  </si>
  <si>
    <t>Three methods for automatic detection of mesoscale coherent structures are applied to Sea Level Anomaly (SLA) fields in the South Atlantic. The first method is based on the wavelet packet decomposition of the SLA data, the second on the estimation of the Okubo-Weiss parameter and the third on a geometric criterion using the winding-angle approach. The results provide a comprehensive picture of the mesoscale eddies over the South Atlantic Ocean, emphasizing their main characteristics: amplitude, diameter, duration and propagation velocity. Five areas of particular eddy dynamics were selected: the Brazil Current, the Agulhas eddies propagation corridor, the Agulhas Current retroflexion, the Brazil-Malvinas confluence zone and the northern branch of the Antarctic Circumpolar Current (ACC). For these areas, mean propagation velocities and amplitudes were calculated. Two regions with long duration eddies were observed, corresponding to the propagation of Agulhas and ACC eddies. Through the comparison between the identification methods, their main advantages and shortcomings were detailed. The geometric criterion presents the best performance, mainly in terms of number of detections, duration of the eddies and propagation velocities. The results are particularly good for the Agulhas Rings, which have the longest lifetimes of all South Atlantic eddies.</t>
  </si>
  <si>
    <t>[Souza, J. M. A. C.; Montegut, C. de Boyer; Le Traon, P. Y.] IFREMER, Ctr Brest, F-29280 Plouzane, France</t>
  </si>
  <si>
    <t>Ifremer</t>
  </si>
  <si>
    <t>Souza, JMAC (corresponding author), IFREMER, Ctr Brest, F-29280 Plouzane, France.</t>
  </si>
  <si>
    <t>jmazeved@ifremer.fr</t>
  </si>
  <si>
    <t>Le Traon, Pierre Yves/G-9342-2016; de Boyer Montegut, Clement/F-9717-2010; de Souza, Joao Marcos Azevedo Correia/AFH-8303-2022</t>
  </si>
  <si>
    <t>Le Traon, Pierre Yves/0000-0002-5484-3439; de Boyer Montegut, Clement/0000-0003-3218-9330; de Souza, Joao Marcos Azevedo Correia/0000-0001-7745-157X</t>
  </si>
  <si>
    <t>IFREMER</t>
  </si>
  <si>
    <t>The authors would like to thank Nicolas Grima and Alexis Chaigneau for providing the WATERS (wavelet packet method) and the geometric criterion routines. Special thanks to Luiz Alexandre Guerra for the ideas and discussions on the Agulhas Rings. Joao Marcos Souza is funded through a IFREMER postdoctorade fellowship.</t>
  </si>
  <si>
    <t>10.5194/os-7-317-2011</t>
  </si>
  <si>
    <t>WOS:000291928000004</t>
  </si>
  <si>
    <t>Fripiat, F; Cavagna, AJ; Dehairs, F; Speich, S; André, L; Cardinal, D</t>
  </si>
  <si>
    <t>Fripiat, F.; Cavagna, A. -J.; Dehairs, F.; Speich, S.; Andre, L.; Cardinal, D.</t>
  </si>
  <si>
    <t>Silicon pool dynamics and biogenic silica export in the Southern Ocean inferred from Si-isotopes</t>
  </si>
  <si>
    <t>ANTARCTIC INTERMEDIATE WATER; ATMOSPHERIC CO2; FRACTIONATION; NUTRIENT; DIATOMS; DISSOLUTION; CIRCULATION; PACIFIC; CYCLES; IRON</t>
  </si>
  <si>
    <t>Silicon isotopic signatures (delta Si-30) of water column silicic acid (Si(OH)(4)) were measured in the Southern Ocean, along a meridional transect from South Africa (Subtropical Zone) down to 57 degrees S (northern Weddell Gyre). This provides the first reported data of a summer transect across the whole Antarctic Circumpolar Current (ACC). delta Si-30 variations are large in the upper 1000 m, reflecting the effect of the silica pump superimposed upon meridional water transfer across the ACC: the transport of Antarctic surface waters northward by a net Ekman drift and their convergence and mixing with warmer upper-ocean Si-depleted waters to the north. Using Si isotopic signatures, we determine different mixing interfaces: the Antarctic Surface Water (AASW), the Antarctic Intermediate Water (AAIW), and thermoclines in the low latitude areas. The residual silicic acid concentrations of end-members control the delta Si-30 alteration of the mixing products and with the exception of AASW, all mixing interfaces have a highly Si-depleted mixed layer end-member. These processes deplete the silicic acid AASW concentration northward, across the different interfaces, without significantly changing the AASW delta Si-30 composition. By comparing our new results with a previous study in the Australian sector we show that during the circumpolar transport of the ACC eastward, the delta Si-30 composition of the silicic acid pools is getting slightly, but significantly lighter from the Atlantic to the Australian sectors. This results either from the dissolution of biogenic silica in the deeper layers and/or from an isopycnal mixing with the deep water masses in the different oceanic basins: North Atlantic Deep Water in the Atlantic, and Indian Ocean deep water in the Indo-Australian sector. This isotopic trend is further transmitted to the subsurface waters, representing mixing interfaces between the surface and deeper layers. Through the use of delta Si-30 constraints, net biogenic silica production (representative of annual export), at the Greenwich Meridian is estimated to be 5.2 +/- 1.3 and 1.1 +/- 0.3 mol Sim(-2) for the Antarctic Zone and Polar Front Zone, respectively. This is in good agreement with previous estimations. Furthermore, summertime Si-supply into the mixed layer of both zones, via vertical mixing, is estimated to be 1.6 +/- 0.4 and 0.1 +/- 0.5 mol Sim(-2), respectively.</t>
  </si>
  <si>
    <t>[Fripiat, F.; Andre, L.; Cardinal, D.] Royal Museum Cent Africa, Sect Mineral &amp; Petrog, Tervuren, Belgium; [Fripiat, F.] Univ Libre Brussels, Dept Earth &amp; Environm Sci, Brussels, Belgium; [Cavagna, A. -J.; Dehairs, F.] Vrije Univ Brussel, Brussels, Belgium; [Speich, S.] IFREMER, CNRS, Lab Phys Oceans, IRD,UBO,UMR6523, Plouzane, France</t>
  </si>
  <si>
    <t>Royal Museum for Central Africa; Universite Libre de Bruxelles; Vrije Universiteit Brussel; Centre National de la Recherche Scientifique (CNRS); Ifremer; Institut de Recherche pour le Developpement (IRD); Universite de Bretagne Occidentale; Institut Universitaire Europeen de la Mer (IUEM); CNRS - National Institute for Earth Sciences &amp; Astronomy (INSU)</t>
  </si>
  <si>
    <t>Fripiat, F (corresponding author), Royal Museum Cent Africa, Sect Mineral &amp; Petrog, Tervuren, Belgium.</t>
  </si>
  <si>
    <t>Speich, Sabrina/L-3780-2014; Fripiat, François/ABB-8918-2021; Cardinal, Damien/AAM-6215-2021</t>
  </si>
  <si>
    <t>Speich, Sabrina/0000-0002-5452-8287; Cardinal, Damien/0000-0003-1238-8412; Andre, Luc/0000-0002-7286-0072; Fripiat, Francois/0000-0002-2591-6301</t>
  </si>
  <si>
    <t>BELCANTO III network [SD/CA/03A]; BELSPO, the Belgian Science Policy; FNRS [2.4512.00]</t>
  </si>
  <si>
    <t>BELCANTO III network; BELSPO, the Belgian Science Policy(Belgian Federal Science Policy Office); FNRS(Fonds de la Recherche Scientifique - FNRS)</t>
  </si>
  <si>
    <t>Our warm thanks go to the officers and crew of the R/V Marion Dufresne during the BONUS-GoodHope program and the Institut Paul Emile Victor for inviting us on board. We are also grateful to J. de Jong and N. Mattielli for the management of the MC-ICP-MS laboratory at ULB and to L. Monin and N. Dahkani (RMCA) for their help in sample processing and to Virginia Panizzo (ULB) for correction of English. This work was conducted within the BELCANTO III network (contracts SD/CA/03A of SPSDIII, Support Plan for Sustainable Development) funded by BELSPO, the Belgian Science Policy. Luc Andre thanks the FNRS for its financial support (FRFC project 2.4512.00). F. Fripiat is a post-doctoral fellow funded by the FNRS.</t>
  </si>
  <si>
    <t>10.5194/os-7-533-2011</t>
  </si>
  <si>
    <t>844JF</t>
  </si>
  <si>
    <t>WOS:000296742800001</t>
  </si>
  <si>
    <t>Kravtsov, S; Kondrashov, D; Kamenkovich, I; Ghil, M</t>
  </si>
  <si>
    <t>Kravtsov, S.; Kondrashov, D.; Kamenkovich, I.; Ghil, M.</t>
  </si>
  <si>
    <t>An empirical stochastic model of sea-surface temperatures and surface winds over the Southern Ocean</t>
  </si>
  <si>
    <t>LOW-FREQUENCY VARIABILITY; ZONAL-MEAN FLOW; ANTARCTIC CIRCUMPOLAR WAVE; EASTERN EQUATORIAL PACIFIC; HEAT FLUXES; PART II; EXTRATROPICAL CIRCULATION; PROBABILITY-DISTRIBUTION; SEMIANNUAL OSCILLATION; PERSISTENT ANOMALIES</t>
  </si>
  <si>
    <t>This study employs NASA's recent satellite measurements of sea-surface temperatures (SSTs) and sea-level winds (SLWs) with missing data filled-in by Singular Spectrum Analysis (SSA), to construct empirical models that capture both intrinsic and SST-dependent aspects of SLW variability. The model construction methodology uses a number of algorithmic innovations that are essential in providing stable estimates of the model's propagator. The best model tested herein is able to faithfully represent the time scales and spatial patterns of anomalies associated with a number of distinct processes. These processes range from the daily synoptic variability to interannual signals presumably associated with oceanic or coupled dynamics. Comparing the simulations of an SLW model forced by the observed SST anomalies with the simulations of an SLW-only model provides preliminary evidence for the ocean driving the atmosphere in the Southern Ocean region.</t>
  </si>
  <si>
    <t>[Kravtsov, S.] Univ Wisconsin, Dept Math Sci, Atmospher Sci Grp, Milwaukee, WI 53201 USA; [Kondrashov, D.; Ghil, M.] Univ Calif Los Angeles, Los Angeles, CA 90024 USA; [Kamenkovich, I.] Univ Miami, Coral Gables, FL 33124 USA; [Ghil, M.] Ecole Normale Super, F-75231 Paris, France</t>
  </si>
  <si>
    <t>University of Wisconsin System; University of Wisconsin Milwaukee; University of California System; University of California Los Angeles; University of Miami; Universite PSL; Ecole Normale Superieure (ENS)</t>
  </si>
  <si>
    <t>Kravtsov, S (corresponding author), Univ Wisconsin, Dept Math Sci, Atmospher Sci Grp, POB 413, Milwaukee, WI 53201 USA.</t>
  </si>
  <si>
    <t>kravtsov@uwm.edu</t>
  </si>
  <si>
    <t>Kondrashov, Dmitri/CAH-3991-2022; Kamenkovich, Igor/AAG-3451-2019; Kravtsov, Sergey/ABA-2061-2020; Kondrashov, Dmitri/JCE-3767-2023; Kondrashov, Dmitri/E-2067-2016; Ghil, Michael/O-1433-2019</t>
  </si>
  <si>
    <t>Kondrashov, Dmitri/0000-0002-3471-7275; Kondrashov, Dmitri/0000-0002-3471-7275; Ghil, Michael/0000-0001-5177-7133; Kamenkovich, Igor/0000-0001-6228-5599; Kravtsov, Sergey/0000-0003-3653-9596</t>
  </si>
  <si>
    <t>NASA [NNG-06AG66G-1]; DOE [DE-FG02-02ER63413]; NSF [OCE-0749723]; University of Wisconsin-Milwaukee Research Growth Initiative</t>
  </si>
  <si>
    <t>NASA(National Aeronautics &amp; Space Administration (NASA)); DOE(United States Department of Energy (DOE)); NSF(National Science Foundation (NSF)); University of Wisconsin-Milwaukee Research Growth Initiative</t>
  </si>
  <si>
    <t>This research was supported by NASA grant NNG-06AG66G-1 and DOE grant DE-FG02-02ER63413. IK was also supported by the NSF grant OCE-0749723 and SK - through University of Wisconsin-Milwaukee Research Growth Initiative program 2006-2007.</t>
  </si>
  <si>
    <t>10.5194/os-7-755-2011</t>
  </si>
  <si>
    <t>867YS</t>
  </si>
  <si>
    <t>WOS:000298491300003</t>
  </si>
  <si>
    <t>Reid, K</t>
  </si>
  <si>
    <t>Reid, Keith</t>
  </si>
  <si>
    <t>Conserving Antarctica from the Bottom Up: Implementing UN General Assembly Resolution 61/105 in the Commission for the Conservation of Antarctic Marine Living Resources (CCAMLR)</t>
  </si>
  <si>
    <t>OCEAN YEARBOOK</t>
  </si>
  <si>
    <t>[Reid, Keith] Commiss Conversat Antarctic Marine Living Resourc, Hobart, Tas, Australia</t>
  </si>
  <si>
    <t>Reid, K (corresponding author), Commiss Conversat Antarctic Marine Living Resourc, Hobart, Tas, Australia.</t>
  </si>
  <si>
    <t>0191-8575</t>
  </si>
  <si>
    <t>2211-6001</t>
  </si>
  <si>
    <t>OCEAN YEARB</t>
  </si>
  <si>
    <t>Ocean Yearb.</t>
  </si>
  <si>
    <t>10.1163/22116001-92500005</t>
  </si>
  <si>
    <t>Environmental Studies</t>
  </si>
  <si>
    <t>V04MG</t>
  </si>
  <si>
    <t>WOS:000213808500004</t>
  </si>
  <si>
    <t>MacCormack, WP; Ruberto, LAM; Vodopivez, CL; Curtosi, A; Pelletier, E</t>
  </si>
  <si>
    <t>Patricio MacCormack, Walter; Mauro Ruberto, Lucas Adolfo; Leopoldo Vodopivez, Cristian; Curtosi, Antonio; Pelletier, Emilien</t>
  </si>
  <si>
    <t>The Impact of Human Activity on Antarctic Coastal Areas: A Case Study of Hydrocarbon Contamination at Potter Cove, South Shetland</t>
  </si>
  <si>
    <t>[Patricio MacCormack, Walter; Leopoldo Vodopivez, Cristian; Curtosi, Antonio] Inst Antartico Argentino, Buenos Aires, DF, Argentina; [Patricio MacCormack, Walter] Univ Buenos Aires, Buenos Aires, DF, Argentina; [Mauro Ruberto, Lucas Adolfo] Univ Buenos Aires, Inst Antartico Argentino, Buenos Aires, DF, Argentina; [Mauro Ruberto, Lucas Adolfo] Consejo Nacl Invest Cient &amp; Tecn, Buenos Aires, DF, Argentina; [Pelletier, Emilien] Univ Quebec Rimouski, Inst Sci Mer Rimouski, Quebec City, PQ, Canada</t>
  </si>
  <si>
    <t>Instituto Antartico Argentino; University of Buenos Aires; Instituto Antartico Argentino; University of Buenos Aires; Consejo Nacional de Investigaciones Cientificas y Tecnicas (CONICET); University of Quebec; Universite du Quebec a Rimouski</t>
  </si>
  <si>
    <t>MacCormack, WP (corresponding author), Inst Antartico Argentino, Buenos Aires, DF, Argentina.</t>
  </si>
  <si>
    <t>10.1163/22116001-92500006</t>
  </si>
  <si>
    <t>WOS:000213808500005</t>
  </si>
  <si>
    <t>Merkul, E; Klukas, F; Dorsch, D; Grädler, U; Greiner, HE; Müller, TJJ</t>
  </si>
  <si>
    <t>Merkul, Eugen; Klukas, Fabian; Dorsch, Dieter; Graedler, Ulrich; Greiner, Hartmut E.; Mueller, Thomas J. J.</t>
  </si>
  <si>
    <t>Rapid preparation of triazolyl substituted NH-heterocyclic kinase inhibitors via one-pot Sonogashira coupling-TMS-deprotection-CuAAC sequence</t>
  </si>
  <si>
    <t>ORGANIC &amp; BIOMOLECULAR CHEMISTRY</t>
  </si>
  <si>
    <t>WATER MARINE SPONGE; AZIDE-ALKYNE CYCLOADDITION; TOPOISOMERASE-II INHIBITOR; BIS-INDOLE ALKALOIDS; CLICK CHEMISTRY; 1,4-DISUBSTITUTED 1,2,3-TRIAZOLES; BIS(INDOLE) ALKALOIDS; 3-COMPONENT SYNTHESIS; BISINDOLE ALKALOIDS; ANTARCTIC SPONGE</t>
  </si>
  <si>
    <t>The one-pot, three-component Sonogashira coupling-TMS-deprotection-CuAAC (click) sequence is the key reaction for the rapid synthesis of triazolyl substituted N-Boc protected NH-heterocycles, such as indole, indazole, 4-, 5-, 6-, and 7-azaindoles, 4,7-diazaindole, 7-deazapurines, pyrrole, pyrazole, and imidazole. Subsequently, the protective group was readily removed to give the corresponding triazolyl derivatives of these tremendously important NH-heterocycles. All compounds have been tested in a broad panel of kinase assays. Several compounds, 8f, 8h, 8k, and 8l, have been shown to inhibit the kinase PDK1, a target with high oncology relevance, and thus they are promising lead structures for the development of more active derivatives. The X-ray structure analysis of compound 8f in complex with PDK1 has revealed the detailed binding mode of the molecule in the kinase.</t>
  </si>
  <si>
    <t>[Merkul, Eugen; Klukas, Fabian; Mueller, Thomas J. J.] Univ Dusseldorf, Inst Organ Chem &amp; Makromol Chem, Lehrstuhl Organ Chem, D-40225 Dusseldorf, Germany; [Dorsch, Dieter; Graedler, Ulrich; Greiner, Hartmut E.] Merck KGaA, Merck Serono Res &amp; Dev, D-64271 Darmstadt, Germany</t>
  </si>
  <si>
    <t>Heinrich Heine University Dusseldorf; Merck KGaA; EMD Serono Inc.</t>
  </si>
  <si>
    <t>Müller, TJJ (corresponding author), Univ Dusseldorf, Inst Organ Chem &amp; Makromol Chem, Lehrstuhl Organ Chem, Univ Str 1, D-40225 Dusseldorf, Germany.</t>
  </si>
  <si>
    <t>ThomasJJ.Mueller@uni-duesseldorf.de</t>
  </si>
  <si>
    <t>Müller, Thomas J. J./D-2167-2015</t>
  </si>
  <si>
    <t>Müller, Thomas J. J./0000-0001-9809-724X; Gradler, Ulrich/0000-0002-1869-6945</t>
  </si>
  <si>
    <t>Merck Serono; Darmstadt; Deutsche Forschungsgemeinschaft DFG; Fonds der Chemischen Industrie</t>
  </si>
  <si>
    <t>Merck Serono(Merck &amp; Company); Darmstadt; Deutsche Forschungsgemeinschaft DFG(German Research Foundation (DFG)); Fonds der Chemischen Industrie(Fonds der Chemischen Industrie)</t>
  </si>
  <si>
    <t>The support of this work by the Merck Serono, Darmstadt, the Deutsche Forschungsgemeinschaft DFG, and by the Fonds der Chemischen Industrie is gratefully acknowledged. We thank Daniel Schroder, Merck Serono, for conducting the crystallization experiments.</t>
  </si>
  <si>
    <t>1477-0520</t>
  </si>
  <si>
    <t>1477-0539</t>
  </si>
  <si>
    <t>ORG BIOMOL CHEM</t>
  </si>
  <si>
    <t>Org. Biomol. Chem.</t>
  </si>
  <si>
    <t>10.1039/c1ob05586k</t>
  </si>
  <si>
    <t>Chemistry, Organic</t>
  </si>
  <si>
    <t>785CA</t>
  </si>
  <si>
    <t>WOS:000292203800022</t>
  </si>
  <si>
    <t>Howkins, A</t>
  </si>
  <si>
    <t>Howkins, Adrian</t>
  </si>
  <si>
    <t>Melting Empires? Climate Change and Politics in Antarctica since the International Geophysical Year</t>
  </si>
  <si>
    <t>OSIRIS</t>
  </si>
  <si>
    <t>This article examines the relationship between climate change and politics in Antarctica since the International Geophysical Year of 1957-8, paying particular attention to the work of the British Antarctic Survey. Research conducted in Antarctica has played an important role in the understanding of climate change on a global scale. In turn, fears about the consequences of global climate change have radically changed perceptions of Antarctica and profoundly shaped scientific research agendas: a continent that until fifty years ago was perceived largely as an inhospitable wilderness has come to be seen as a dangerously vulnerable environment. This radical shift in perception contrasts with a fundamental continuity in the political power structures of the continent. This article argues that the severity of the threat of climate change has reinforced the privileged political position of the insider nations within the Antarctic Treaty System.</t>
  </si>
  <si>
    <t>Colorado State Univ, Dept Hist, Ft Collins, CO 80523 USA</t>
  </si>
  <si>
    <t>Colorado State University</t>
  </si>
  <si>
    <t>Howkins, A (corresponding author), Colorado State Univ, Dept Hist, B368 Clark Bldg,1776 Campus Delivery, Ft Collins, CO 80523 USA.</t>
  </si>
  <si>
    <t>howkins@mail.colostate.edu</t>
  </si>
  <si>
    <t>UNIV CHICAGO PRESS</t>
  </si>
  <si>
    <t>CHICAGO</t>
  </si>
  <si>
    <t>1427 E 60TH ST, CHICAGO, IL 60637-2954 USA</t>
  </si>
  <si>
    <t>0369-7827</t>
  </si>
  <si>
    <t>1933-8287</t>
  </si>
  <si>
    <t>Osiris</t>
  </si>
  <si>
    <t>10.1086/661271</t>
  </si>
  <si>
    <t>Science Citation Index Expanded (SCI-EXPANDED); Social Science Citation Index (SSCI); Arts &amp; Humanities Citation Index (A&amp;HCI)</t>
  </si>
  <si>
    <t>797BW</t>
  </si>
  <si>
    <t>WOS:000293098800010</t>
  </si>
  <si>
    <t>Nyvlt, D; Kosler, J; Mlcoch, B; Mixa, P; Lisá, L; Bubík, M; Hendriks, BWH</t>
  </si>
  <si>
    <t>Nyvlt, Daniel; Kosler, Jan; Mlcoch, Bedrich; Mixa, Petr; Lisa, Lenka; Bubik, Miroslav; Hendriks, Bart W. H.</t>
  </si>
  <si>
    <t>The Mendel Formation: Evidence for Late Miocene climatic cyclicity at the northern tip of the Antarctic Peninsula</t>
  </si>
  <si>
    <t>Antarctic Peninsula; James Ross Island; Miocene; Climatic cyclicity; Diamictites; Quartz microtextures; Micropaleontology; (87)Sr/(86)Sr dating; (40)Ar/(39)Ar dating; James Ross Island Volcanic Group; Paleoenvironment</t>
  </si>
  <si>
    <t>JAMES-ROSS-ISLAND; STRONTIUM ISOTOPE STRATIGRAPHY; PLIOCENE SORSDAL FORMATION; HOLOCENE GLACIAL HISTORY; ICE-SHEET; EAST ANTARCTICA; SIRIUS GROUP; LATE NEOGENE; WEDDELL SEA; TRANSANTARCTIC MOUNTAINS</t>
  </si>
  <si>
    <t>A detailed description of the newly defined Mendel Formation is presented. This Late Miocene (5.9-5.4 Ma) sedimentary sequence with an overall thickness of more than 80 m comprises cyclic deposition in terrestrial glacigenic, glaciomarine and marine environments. Subglacial till was deposited by a thick grounded Antarctic Peninsula ice stream advancing eastwards through the Prince Gustav Channel, crossing the northernmost part of present-day James Ross Island, with most of the material carried actively at the base of the warm-based glacier. The form of the Prince Gustav Channel originated before the late Miocene and its present glacial over-deepening resulted in multiple grounded glacier advances during the Neogene and Quaternary. The sea prograded from the east and the glacier margin became buoyant, building a small ice shelf, below and in front of which glaciomarine and marine sediments were deposited. These sedimentary deposits are composed of material that was transported mostly by small glaciers and subsequently by the floating ice shelf and by calving icebergs towards the open sea. These environmental and glaciological conditions differ strongly from the present cold-based local glaciers of James Ross Island and the Antarctic Peninsula. These changes were triggered by the global sea level fluctuation connected with climatic changes due to Antarctic ice sheet build up and decay. This reveals Late Miocene obliquity-driven cyclicity with a similar to 41 ka period. The Mendel Formation sedimentary sequence is comprised of at least two glacial periods and one interglacial period. Sea level rise at the northern tip of the Antarctic Peninsula between glacial lowstand and interglacial highstand was more than 50 m during the late Miocene and was followed by a subsequent sea level fall of at least the same magnitude. The presence of well-preserved, articulated pectinid bivalves support interglacial open sea conditions. The re-deposition of palaeontological material was shown to be important for the Mendel Formation. Reworked pectinid shells revealed an open marine interglacial condition in this part of the Antarctic Peninsula during the Early to Mid Miocene (20.5-17.5 Ma). Unfortunately, relevant sedimentary deposits have not been found on land. (C) 2010 Elsevier B.V. All rights reserved.</t>
  </si>
  <si>
    <t>[Nyvlt, Daniel; Bubik, Miroslav] Czech Geol Survey, Brno Branch, Brno 65869, Czech Republic; [Kosler, Jan; Mlcoch, Bedrich; Mixa, Petr] Czech Geol Survey, Prague 11821 1, Czech Republic; [Kosler, Jan] Univ Bergen, Dept Earth Sci, Bergen, Norway; [Lisa, Lenka] Acad Sci Czech Republic, Inst Geol, Vvi, CR-16502 Prague, Czech Republic; [Hendriks, Bart W. H.] Geol Survey Norway, N-7491 Trondheim, Norway</t>
  </si>
  <si>
    <t>Czech Geological Survey; Czech Geological Survey; University of Bergen; Czech Academy of Sciences; Institute of Geology of the Czech Academy of Sciences; Geological Survey of Norway</t>
  </si>
  <si>
    <t>Nyvlt, D (corresponding author), Czech Geol Survey, Brno Branch, Leitnerova 22, Brno 65869, Czech Republic.</t>
  </si>
  <si>
    <t>daniel.nyvlt@geology.cz</t>
  </si>
  <si>
    <t>Nyvlt, Daniel/J-6504-2019; Lisa, Lenka/I-8777-2014; Bubik, Miroslav/KFS-4604-2024; Kosler, Jan/L-3223-2013</t>
  </si>
  <si>
    <t>Nyvlt, Daniel/0000-0002-6876-490X; Lisa, Lenka/0000-0003-0823-5448</t>
  </si>
  <si>
    <t>Ministry of the Environment of the Czech Republic [VaV/660/1/03, VaV SP II 1a9/23/07]; Institutional research of the Institute of Geology, ASCR, v.v.i. [Z 3013 0516]</t>
  </si>
  <si>
    <t>Ministry of the Environment of the Czech Republic; Institutional research of the Institute of Geology, ASCR, v.v.i.(Czech Academy of Sciences)</t>
  </si>
  <si>
    <t>This study was financially supported by R &amp; D projects VaV/660/1/03 and VaV SP II 1a9/23/07 of the Ministry of the Environment of the Czech Republic. The fieldwork at JRI was undertaken by DN, JK, BM and PM mostly during the austral summer seasons of 2004, 2005 and 2007. We thank Juan Manuel Lirio for providing unpublished information from his research on JRI and for help with searching the relevant Argentinean literature. Fuerza Aerea Argentina is also thanked for logistical support during the field campaigns. The work of LL was supported by Institutional research of the Institute of Geology, ASCR, v.v.i. no. Z 3013 0516. We are very grateful for the constructive comments of Mark Williams and both journal reviewers, which substantially helped to clarify this paper.</t>
  </si>
  <si>
    <t>10.1016/j.palaeo.2010.11.017</t>
  </si>
  <si>
    <t>717MK</t>
  </si>
  <si>
    <t>WOS:000287051700030</t>
  </si>
  <si>
    <t>Vestheim, H; Deagle, BE; Jarman, SN</t>
  </si>
  <si>
    <t>Park, DJ</t>
  </si>
  <si>
    <t>Vestheim, Hege; Deagle, Bruce E.; Jarman, Simon N.</t>
  </si>
  <si>
    <t>Application of Blocking Oligonucleotides to Improve Signal-to-Noise Ratio in a PCR</t>
  </si>
  <si>
    <t>PCR PROTOCOLS, THIRD EDITION</t>
  </si>
  <si>
    <t>Methods in Molecular Biology</t>
  </si>
  <si>
    <t>Blocking probes; Blocking primers; Blocking oligonucleotide; Competitive probes; C3 spacer; peptide nucleic acids; Locked nucleic acids; Allele-specific competitive blocker PCR; Enhanced amplification of rare sequences</t>
  </si>
  <si>
    <t>POLYMERASE-CHAIN-REACTION; DNA; MUTATIONS; ASSAY; PNA; SUPPLEMENT; DEFICIENT; PARASITES; DIET</t>
  </si>
  <si>
    <t>Universal or group-specific PCR primers have a tendency to predominately hybridise with the common sequences in samples with mixed templates. The result is that the rarer sequences are seldom retrieved by cloning or sequencing. The use of a blocking oligonucleotide (oligo) designed to specifically prevent amplification of dominant or unwanted DNA templates is an easy way to improve the amplification of rarer sequences. Here, we describe the different types of blocking principles and the different types of blocking oligos and give guidelines and examples of their application.</t>
  </si>
  <si>
    <t>[Vestheim, Hege; Deagle, Bruce E.] Univ Bergen, Dept Biol, Bergen, Norway; [Jarman, Simon N.] Australian Marine Mammal Ctr, Australian Antarctic Div, Kingston, Tas, Australia</t>
  </si>
  <si>
    <t>University of Bergen; Australian Antarctic Division</t>
  </si>
  <si>
    <t>Vestheim, H (corresponding author), Univ Bergen, Dept Biol, Bergen, Norway.</t>
  </si>
  <si>
    <t>Deagle, Bruce E/R-2999-2019; Jarman, Simon/H-9265-2016</t>
  </si>
  <si>
    <t>Deagle, Bruce E/0000-0001-7651-3687; Jarman, Simon/0000-0002-0792-9686</t>
  </si>
  <si>
    <t>HUMANA PRESS INC</t>
  </si>
  <si>
    <t>TOTOWA</t>
  </si>
  <si>
    <t>999 RIVERVIEW DR, STE 208, TOTOWA, NJ 07512-1165 USA</t>
  </si>
  <si>
    <t>1064-3745</t>
  </si>
  <si>
    <t>1940-6029</t>
  </si>
  <si>
    <t>978-1-60761-943-7</t>
  </si>
  <si>
    <t>METHODS MOL BIOL</t>
  </si>
  <si>
    <t>Methods Mol. Biol.</t>
  </si>
  <si>
    <t>10.1007/978-1-60761-944-4_19</t>
  </si>
  <si>
    <t>10.1007/978-1-60761-944-4</t>
  </si>
  <si>
    <t>Biochemical Research Methods; Biochemistry &amp; Molecular Biology</t>
  </si>
  <si>
    <t>Biochemistry &amp; Molecular Biology</t>
  </si>
  <si>
    <t>BRY64</t>
  </si>
  <si>
    <t>WOS:000283910300019</t>
  </si>
  <si>
    <t>Cincinelli, A; Martellini, T; Corsolini, S</t>
  </si>
  <si>
    <t>Stoytcheva, M</t>
  </si>
  <si>
    <t>Cincinelli, Alessandra; Martellini, Tania; Corsolini, Simonetta</t>
  </si>
  <si>
    <t>Hexachlorocyclohexanes in Arctic and Antarctic Marine Ecosystems</t>
  </si>
  <si>
    <t>PESTICIDES - FORMULATIONS, EFFECTS, FATE</t>
  </si>
  <si>
    <t>POLYBROMINATED DIPHENYL ETHERS; PERSISTENT ORGANIC POLLUTANTS; ORGANOCHLORINE PESTICIDES; ALPHA-HEXACHLOROCYCLOHEXANE; GAMMA-HEXACHLOROCYCLOHEXANE; CHLORINATED PESTICIDES; TEMPORAL TRENDS; FOOD-WEB; POLYCHLORINATED-BIPHENYLS; SURFACE SEAWATER</t>
  </si>
  <si>
    <t>[Cincinelli, Alessandra; Martellini, Tania] Univ Florence, Ugo Schiff, Dipartimento Chim, I-50121 Florence, Italy; [Corsolini, Simonetta] Univ Siena, Dipartimento Sci Ambientali G Sarfatti, I-53100 Siena, Italy</t>
  </si>
  <si>
    <t>University of Florence; University of Siena</t>
  </si>
  <si>
    <t>Cincinelli, A (corresponding author), Univ Florence, Ugo Schiff, Dipartimento Chim, I-50121 Florence, Italy.</t>
  </si>
  <si>
    <t>Cincinelli, Alessandra/A-8468-2011; Martellini, Tania/AAD-1095-2020; Corsolini, Simonetta/B-9460-2012</t>
  </si>
  <si>
    <t>Martellini, Tania/0000-0001-6803-1928; Corsolini, Simonetta/0000-0002-9772-2362; Cincinelli, Alessandra/0000-0002-6977-4595</t>
  </si>
  <si>
    <t>INTECH EUROPE</t>
  </si>
  <si>
    <t>RIJEKA</t>
  </si>
  <si>
    <t>JANEZA TRDINE9, RIJEKA, 51000, CROATIA</t>
  </si>
  <si>
    <t>978-953-307-532-7</t>
  </si>
  <si>
    <t>10.5772/1004</t>
  </si>
  <si>
    <t>Agronomy; Environmental Sciences</t>
  </si>
  <si>
    <t>Agriculture; Environmental Sciences &amp; Ecology</t>
  </si>
  <si>
    <t>BE6YZ</t>
  </si>
  <si>
    <t>WOS:000374968900024</t>
  </si>
  <si>
    <t>McKenzie, RL; Aucamp, PJ; Bais, AF; Björn, LO; Ilyas, M; Madronich, S</t>
  </si>
  <si>
    <t>McKenzie, R. L.; Aucamp, P. J.; Bais, A. F.; Bjoern, L. O.; Ilyas, M.; Madronich, S.</t>
  </si>
  <si>
    <t>Ozone depletion and climate change: impacts on UV radiation</t>
  </si>
  <si>
    <t>PHOTOCHEMICAL &amp; PHOTOBIOLOGICAL SCIENCES</t>
  </si>
  <si>
    <t>BIOLOGICAL WEIGHTING FUNCTION; SOLAR ULTRAVIOLET-RADIATION; GROUND-BASED MEASUREMENTS; HIGH-ALPINE SITE; STRATOSPHERIC OZONE; ACTION SPECTRUM; MONTREAL-PROTOCOL; WAVELENGTH SENSITIVITY; DNA-DAMAGE; EXPOSURE</t>
  </si>
  <si>
    <t>The Montreal Protocol is working, but it will take several decades for ozone to return to 1980 levels. The atmospheric concentrations of ozone depleting substances are decreasing, and ozone column amounts are no longer decreasing. Mid-latitude ozone is expected to return to 1980 levels before mid-century, slightly earlier than predicted previously. However, the recovery rate will be slower at high latitudes. Springtime ozone depletion is expected to continue to occur at polar latitudes, especially in Antarctica, in the next few decades. Because of the success of the Protocol, increases in UV-B radiation have been small outside regions affected by the Antarctic ozone hole, and have been difficult to detect. There is a large variability in UV-B radiation due to factors other than ozone, such as clouds and aerosols. There are few long-term measurements available to confirm the increases that would have occurred as a result of ozone depletion. At mid-latitudes UV-B irradiances are currently only slightly greater than in 1980 (increases less than similar to 5%), but increases have been substantial at high and polar latitudes where ozone depletion has been larger. Without the Montreal Protocol, peak values of sunburning UV radiation could have been tripled by 2065 at mid-northern latitudes. This would have had serious consequences for the environment and for human health. There are strong interactions between ozone depletion and changes in climate induced by increasing greenhouse gases (GHGs). Ozone depletion affects climate, and climate change affects ozone. The successful implementation of the Montreal Protocol has had a marked effect on climate change. The calculated reduction in radiative forcing due to the phase-out of chlorofluorocarbons (CFCs) far exceeds that from the measures taken under the Kyoto protocol for the reduction of GHGs. Thus the phase-out of CFCs is currently tending to counteract the increases in surface temperature due to increased GHGs. The amount of stratospheric ozone can also be affected by the increases in the concentration of GHGs, which lead to decreased temperatures in the stratosphere and accelerated circulation patterns. These changes tend to decrease total ozone in the tropics and increase total ozone at mid and high latitudes. Changes in circulation induced by changes in ozone can also affect patterns of surface wind and rainfall. The projected changes in ozone and clouds may lead to large decreases in UV at high latitudes, where UV is already low; and to small increases at low latitudes, where it is already high. This could have important implications for health and ecosystems. Compared to 1980, UV-B irradiance towards the end of the 21st century is projected to be lower at mid to high latitudes by between 5 and 20% respectively, and higher by 2-3% in the low latitudes. However, these projections must be treated with caution because they also depend strongly on changes in cloud cover, air pollutants, and aerosols, all of which are influenced by climate change, and their future is uncertain. Strong interactions between ozone depletion and climate change and uncertainties in the measurements and models limit our confidence in predicting the future UV radiation. It is therefore important to improve our understanding of the processes involved, and to continue monitoring ozone and surface UV spectral irradiances both from the surface and from satellites so we can respond to unexpected changes in the future.</t>
  </si>
  <si>
    <t>[McKenzie, R. L.] NIWA Lauder, Natl Inst Water &amp; Atmospher Res, Omakau, Central Otago, New Zealand; [Aucamp, P. J.] Ptersa Environm Management Consultants, ZA-0043 Faerie Glen, South Africa; [Bais, A. F.] Aristotle Univ Thessaloniki, Lab Atmospher Phys, Thessaloniki 54124, Greece; [Bjoern, L. O.] S China Normal Univ, Sch Life Sci, Key Lab Ecol &amp; Environm Sci Guangdong Higher Educ, Guangzhou 510631, Guangdong, Peoples R China; [Bjoern, L. O.] Lund Univ, Dept Biol, SE-22362 Lund, Sweden; [Ilyas, M.] Albiruni Environm &amp; Sci Dev Ctr, Gelugor, Malaysia; [Madronich, S.] Natl Ctr Atmospher Res, Boulder, CO 80307 USA</t>
  </si>
  <si>
    <t>National Institute of Water &amp; Atmospheric Research (NIWA) - New Zealand; Aristotle University of Thessaloniki; South China Normal University; Lund University; National Center Atmospheric Research (NCAR) - USA</t>
  </si>
  <si>
    <t>McKenzie, RL (corresponding author), NIWA Lauder, Natl Inst Water &amp; Atmospher Res, PB 50061, Omakau, Central Otago, New Zealand.</t>
  </si>
  <si>
    <t>rmckenzie@niwa.co.nz</t>
  </si>
  <si>
    <t>Madronich, Sasha/D-3284-2015; Bais, Alkiviadis F/D-2230-2009</t>
  </si>
  <si>
    <t>Madronich, Sasha/0000-0003-0983-1313; Bais, Alkiviadis F/0000-0003-3899-2001; McKenzie, Richard Lloyd/0000-0002-4484-7057</t>
  </si>
  <si>
    <t>1474-905X</t>
  </si>
  <si>
    <t>1474-9092</t>
  </si>
  <si>
    <t>PHOTOCH PHOTOBIO SCI</t>
  </si>
  <si>
    <t>Photochem. Photobiol. Sci.</t>
  </si>
  <si>
    <t>10.1039/c0pp90034f</t>
  </si>
  <si>
    <t>Biochemistry &amp; Molecular Biology; Biophysics; Chemistry, Physical</t>
  </si>
  <si>
    <t>Biochemistry &amp; Molecular Biology; Biophysics; Chemistry</t>
  </si>
  <si>
    <t>714UV</t>
  </si>
  <si>
    <t>WOS:000286835400001</t>
  </si>
  <si>
    <t>Klinger, T; Ziems, M; Heipke, C; Schenke, HW; Ott, N</t>
  </si>
  <si>
    <t>Klinger, Tobias; Ziems, Marcel; Heipke, Christian; Schenke, Hans Werner; Ott, Norbert</t>
  </si>
  <si>
    <t>Antarctic Coastline Detection using Snakes</t>
  </si>
  <si>
    <t>PHOTOGRAMMETRIE FERNERKUNDUNG GEOINFORMATION</t>
  </si>
  <si>
    <t>Automation; snakes (active contours); coastline; Antarctica; classification; model selection</t>
  </si>
  <si>
    <t>SHORELINE</t>
  </si>
  <si>
    <t>In this paper we present an approach for automatic coastline detection from images based on snakes (parametric active contours) and apply it to Landsat images from Antarctica. Snakes require the definition of an energy functional that reflects the underlying coastline model. For Antarctica the coastline appearance in the images is heterogeneous. Therefore, it is not possible to use a single model only. After inspecting the images to be used we formulate three different transition models that match a large part of the Antarctic coastline: (a) from ice shelf to water, (b) from ice shelf to sea ice and (c) from rocky terrain to water. For each of the three models the energy terms are optimised based on the radiotnetric properties of the adjacent regions as well as the curvature and the potential change-rate of the coastline itself. A supervised classification for the three classes ice, water and rocky terrain controls the whole process by selecting the most applicable model for a given image region along the coastline. We present results for the extraction of approximately 12% of the Antarctic coastline from an up-to-date Landsat mosaic.</t>
  </si>
  <si>
    <t>[Klinger, Tobias; Ziems, Marcel; Heipke, Christian] Leibniz Univ Hannover, Inst Photogrammetrie &amp; GeoInformat, D-30167 Hannover, Germany; [Schenke, Hans Werner; Ott, Norbert] Alfred Wegener Inst Polar &amp; Marine Res, D-27568 Bremerhaven, Germany</t>
  </si>
  <si>
    <t>Leibniz University Hannover; Helmholtz Association; Alfred Wegener Institute, Helmholtz Centre for Polar &amp; Marine Research</t>
  </si>
  <si>
    <t>Klinger, T (corresponding author), Leibniz Univ Hannover, Inst Photogrammetrie &amp; GeoInformat, Nienburger Str 1, D-30167 Hannover, Germany.</t>
  </si>
  <si>
    <t>klinger@ipi.uni-hannover.de; ziems@ipi.uni-hannover.de; heipke@ipi.uni-hannover.de; hans-werner.schenke@awi.de; norbert.ott@awi.de</t>
  </si>
  <si>
    <t>Heipke, Christian/ACP-8434-2022</t>
  </si>
  <si>
    <t>Heipke, Christian/0000-0002-7007-9549</t>
  </si>
  <si>
    <t>E SCHWEIZERBARTSCHE VERLAGSBUCHHANDLUNG</t>
  </si>
  <si>
    <t>NAEGELE U OBERMILLER, SCIENCE PUBLISHERS, JOHANNESSTRASSE 3A, D 70176 STUTTGART, GERMANY</t>
  </si>
  <si>
    <t>1432-8364</t>
  </si>
  <si>
    <t>2363-7145</t>
  </si>
  <si>
    <t>PHOTOGRAMM FERNERKUN</t>
  </si>
  <si>
    <t>Photogramm. Fernerkund. Geoinf.</t>
  </si>
  <si>
    <t>10.1127/1432-8364/2011/0095</t>
  </si>
  <si>
    <t>864XB</t>
  </si>
  <si>
    <t>WOS:000298272700002</t>
  </si>
  <si>
    <t>Leese, F; Held, C</t>
  </si>
  <si>
    <t>Held, C; Koenemann, S; Schubart, CD</t>
  </si>
  <si>
    <t>Leese, Florian; Held, Christoph</t>
  </si>
  <si>
    <t>Analyzing intraspecific genetic variation: a practical guide using mitochondrial DNA and microsatellites</t>
  </si>
  <si>
    <t>PHYLOGEOGRAPHY AND POPULATION GENETICS IN CRUSTACEA</t>
  </si>
  <si>
    <t>CRUSTACEAN ISSUES</t>
  </si>
  <si>
    <t>DIPLOID GENOTYPIC DATA; POPULATION-STRUCTURE; F-ST; STRUCTURED POPULATIONS; COMPUTER-PROGRAM; APIS-MELLIFERA; LOCI; SOFTWARE; DIVERSITY; GENOME</t>
  </si>
  <si>
    <t>Population geneticists and phylogeographers are interested in understanding the processes that have shaped the present distribution and diversity of organisms and the genetic variation they contain. In this context, the analysis of spatial patterns of molecular variation within a species has a long-standing tradition. Recently, as a by-product of the rise of DNA barcoding efforts and technological progress, the availability of datasets on intraspecific variability has increased significantly. Researchers with many different backgrounds are therefore increasingly being faced with the need to carry out a meaningful analysis in the context of population genetics and phylogeography. A central limitation present in many studies today is that either a single or few mitochondrial gene fragments are being studied as a basis for reconstructing the genetic structure of species and inferring their evolutionary history, even though evidence is mounting that analyses based on a single marker in general, and on a single mitochondrial marker in particular, may be severely biased and may even lead to false conclusions. In this chapter, we emphasize that an independent class of markers should be chosen to complement a mitochondrial dataset. Accordingly, we outline a workflow based on several independent microsatellites in addition to mitochondrial DNA. This guideline builds upon earlier synopses and adds new perspectives afforded by novel laboratory and bioinformatic microsatellite screening procedures. Finally, we summarize basic analytic concepts and common problems associated with their application and highlight the utility of different programs in a workflow towards a hypothesis-driven analysis of intraspecific variation. Where possible, we chose studies on crustaceans as examples.</t>
  </si>
  <si>
    <t>[Leese, Florian] Ruhr Univ Bochum, Dept Anim Ecol Evolut &amp; Biodivers, D-44801 Bochum, Germany; [Held, Christoph] Alfred Wegener Inst Polar &amp; Marine Res, Funct Ecol, D-27568 Bremerhaven, Germany; [Leese, Florian] British Antarctic Survey, Cambridge CB3 0ET, England</t>
  </si>
  <si>
    <t>Ruhr University Bochum; Helmholtz Association; Alfred Wegener Institute, Helmholtz Centre for Polar &amp; Marine Research; UK Research &amp; Innovation (UKRI); Natural Environment Research Council (NERC); NERC British Antarctic Survey</t>
  </si>
  <si>
    <t>Leese, F (corresponding author), Ruhr Univ Bochum, Dept Anim Ecol Evolut &amp; Biodivers, Univ Str 150, D-44801 Bochum, Germany.</t>
  </si>
  <si>
    <t>florian.leese@rub.de; christoph.held@awi.de</t>
  </si>
  <si>
    <t>Leese, Florian/D-4277-2012</t>
  </si>
  <si>
    <t>Leese, Florian/0000-0002-5465-913X</t>
  </si>
  <si>
    <t>0168-6356</t>
  </si>
  <si>
    <t>978-1-4398-4074-0; 978-1-4398-4073-3</t>
  </si>
  <si>
    <t>CRUSTACEAN ISS</t>
  </si>
  <si>
    <t>Crustacean Iss.</t>
  </si>
  <si>
    <t>BC9EC</t>
  </si>
  <si>
    <t>WOS:000356370700002</t>
  </si>
  <si>
    <t>Lyver, PO; MacLeod, CJ; Ballard, G; Karl, BJ; Barton, KJ; Adams, J; Ainley, DG; Wilson, PR</t>
  </si>
  <si>
    <t>Lyver, P. O'B.; MacLeod, C. J.; Ballard, G.; Karl, B. J.; Barton, K. J.; Adams, J.; Ainley, D. G.; Wilson, P. R.</t>
  </si>
  <si>
    <t>Intra-seasonal variation in foraging behavior among Ad,lie penguins (Pygocelis adeliae) breeding at Cape Hallett, Ross Sea, Antarctica</t>
  </si>
  <si>
    <t>Adelie penguin; Foraging; Intra-seasonal competition; Pack ice; Antarctic krill; Antarctic silverfish</t>
  </si>
  <si>
    <t>LUTZOW-HOLM BAY; PYGOSCELIS-ADELIAE; RECORDING DEVICES; EUPHAUSIA-SUPERBA; TROPHIC STRUCTURE; RISSA-TRIDACTYLA; DIVING BEHAVIOR; MARGUERITE BAY; ICE CONDITIONS; FOOD-WEB</t>
  </si>
  <si>
    <t>We investigated intra-seasonal variation in foraging behavior of chick-rearing Ad,lie penguins, Pygoscelis adeliae, during two consecutive summers at Cape Hallett, northwestern Ross Sea. Although foraging behavior of this species has been extensively studied throughout the broad continental shelf region of the Ross Sea, this is the first study to report foraging behaviors and habitat affiliations among birds occupying continental slope waters. Continental slope habitat supports the greatest abundances of this species throughout its range, but we lack information about how intra-specific competition for prey might affect foraging and at-sea distribution and how these attributes compare with previous Ross Sea studies. Foraging trips increased in both distance and duration as breeding advanced from guard to crSche stage, but foraging dive depth, dive rates, and vertical dive distances travelled per hour decreased. Consistent with previous studies within slope habitats elsewhere in Antarctic waters, Antarctic krill (Euphausia superba) dominated chick meal composition, but fish increased four-fold from guard to crSche stages. Foraging-, focal-, and core areas all doubled during the crSche stage as individuals shifted distribution in a southeasterly direction away from the coast while simultaneously becoming more widely dispersed (i.e., less spatial overlap among individuals). Intra-specific competition for prey among Ad,lie penguins appears to influence foraging behavior of this species, even in food webs dominated by Antarctic krill.</t>
  </si>
  <si>
    <t>[Lyver, P. O'B.; Karl, B. J.] Landcare Res, Lincoln 7640, New Zealand; [MacLeod, C. J.] Landcare Res, Dunedin 9054, New Zealand; [Ballard, G.] PRBO Conservat Sci, Petaluma, CA 94954 USA; [Ballard, G.] Univ Auckland, Sch Biol Sci, Auckland 1, New Zealand; [Barton, K. J.] Landcare Res, Nelson Mail Ctr, Nelson 7042, New Zealand; [Adams, J.] US Geol Survey, Western Ecol Res Ctr, Pacific Sci Ctr, Santa Cruz, CA 95060 USA; [Ainley, D. G.] HT Harvey &amp; Associates, Los Gatos, CA 95032 USA</t>
  </si>
  <si>
    <t>Landcare Research - New Zealand; Landcare Research - New Zealand; University of Auckland; Landcare Research - New Zealand; United States Department of the Interior; United States Geological Survey</t>
  </si>
  <si>
    <t>Lyver, PO (corresponding author), Landcare Res, POB 40, Lincoln 7640, New Zealand.</t>
  </si>
  <si>
    <t>lyverp@landcareresearch.co.nz</t>
  </si>
  <si>
    <t>MacLeod, Catriona/AAF-2351-2019</t>
  </si>
  <si>
    <t>MacLeod, Catriona/0000-0002-8435-410X</t>
  </si>
  <si>
    <t>US Adelie Penguin Program [B031]; New Zealand Foundation for Research, Science and Technology [C09X0510]; Office of Polar Programs, National Science Foundation [OPP 0125608, 0440643]; Directorate For Geosciences; Office of Polar Programs (OPP) [0944411] Funding Source: National Science Foundation; Office of Polar Programs (OPP); Directorate For Geosciences [0440643] Funding Source: National Science Foundation</t>
  </si>
  <si>
    <t>US Adelie Penguin Program; New Zealand Foundation for Research, Science and Technology(New Zealand Foundation for Research, Science and Technology); Office of Polar Programs, National Science Foundation(National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</si>
  <si>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thank the following persons for planning and field assistance: Peter Dilks, Shulamit Gordon, Rachel Brown and Gus McAlister. Antarctica New Zealand provided extensive logistic support for the NZ Adelie Penguin Program (K122b) through their Latitudinal Gradient Program, while the US Antarctic Program supported members from the US Adelie Penguin Program (B031). This project was funded by the New Zealand Foundation for Research, Science and Technology (C09X0510) and Office of Polar Programs, National Science Foundation (OPP 0125608, 0440643). Draft manuscripts received valuable review from the editor and three anonymous referees. Reference to trade names does not imply endorsement of these products.</t>
  </si>
  <si>
    <t>10.1007/s00300-010-0858-0</t>
  </si>
  <si>
    <t>WOS:000286471600006</t>
  </si>
  <si>
    <t>Davies, KF; Melbourne, BA; McClenahan, JL; Tuff, T</t>
  </si>
  <si>
    <t>Davies, Kendi F.; Melbourne, Brett A.; McClenahan, Jeffrey L.; Tuff, Ty</t>
  </si>
  <si>
    <t>Statistical models for monitoring and predicting effects of climate change and invasion on the free-living insects and a spider from sub-Antarctic Heard Island</t>
  </si>
  <si>
    <t>Sub-Antarctic; Invertebrates; Climate change; Invasion; Heard Island</t>
  </si>
  <si>
    <t>SOUTHERN-OCEAN ISLANDS; MACQUARIE ISLAND; HUMAN IMPACTS; BIOLOGICAL INVASIONS; MARION ISLAND; CONSERVATION; MANAGEMENT; COLLEMBOLA; CRUSTACEA; RANGE</t>
  </si>
  <si>
    <t>Terrestrial ecosystems of sub-Antarctic islands are particularly sensitive to global and local human impacts, including climate change and species invasion. Invertebrates form a central component of these ecosystems. We conducted a stratified survey of 60 sites on sub-Antarctic Heard Island and used Poisson regression models to describe the spatial distribution and abundance of five of the ten free-living species captured. Acari and Collembola were not considered. Five species were not caught in traps in sufficient numbers to model. The distributions of species were described by altitude, vegetation type and aspect. The resulting distribution models can be used to both monitor and predict the effects of climate change and species invasion on this unique and valuable ecosystem.</t>
  </si>
  <si>
    <t>[Davies, Kendi F.; Melbourne, Brett A.; McClenahan, Jeffrey L.; Tuff, Ty] Univ Colorado, Dept Ecol &amp; Evolutionary Biol, Boulder, CO 80309 USA</t>
  </si>
  <si>
    <t>University of Colorado System; University of Colorado Boulder</t>
  </si>
  <si>
    <t>Davies, KF (corresponding author), Univ Colorado, Dept Ecol &amp; Evolutionary Biol, UCB 334, Boulder, CO 80309 USA.</t>
  </si>
  <si>
    <t>Kendi.Davies@Colorado.edu</t>
  </si>
  <si>
    <t>Melbourne, Brett/KBQ-9784-2024; Tuff, Ty/U-8395-2018</t>
  </si>
  <si>
    <t>Melbourne, Brett/0000-0002-8843-4131; Tuff, Ty/0000-0001-5249-5197</t>
  </si>
  <si>
    <t>10.1007/s00300-010-0865-1</t>
  </si>
  <si>
    <t>WOS:000286471600012</t>
  </si>
  <si>
    <t>Shekh, RM; Singh, P; Singh, SM; Roy, U</t>
  </si>
  <si>
    <t>Shekh, Raeesh M.; Singh, P.; Singh, S. M.; Roy, Utpal</t>
  </si>
  <si>
    <t>Antifungal activity of Arctic and Antarctic bacteria isolates</t>
  </si>
  <si>
    <t>16S rDNA; Antimicrobial activity; Antarctica; Candidiasis; Inhibition zone</t>
  </si>
  <si>
    <t>ICE</t>
  </si>
  <si>
    <t>Various psychrotolerant bacterial strains with broad-spectrum antimicrobial potential were isolated from a number of Antarctic and Arctic samples (lake sediments, water, as well as faeces, feathers and soils collected in penguin rookeries). Seven isolates from all types of samples exhibited clear antifungal activities against the multidrug-resistant pathogenic yeast strain Candida albicans NCIM 3471. One isolate from the penguin rookery, identified by means of 16S rDNA sequencing as a strain of Enterococcus faecium, showed very strong antimycotic activity against a total of six C. albicans strains. The antibiotic activity was found after ammonium sulphate precipitation and dialysis but was sensitive to proteolytic enzymes.</t>
  </si>
  <si>
    <t>[Shekh, Raeesh M.; Singh, P.; Roy, Utpal] Birla Inst Technol &amp; Sci BITS, Biol Sci Grp, Sancoale 403726, Goa, India; [Singh, S. M.] Natl Ctr Antarctic &amp; Ocean Res, Polar Biol Lab, Vasco Da Gama 403804, Goa, India</t>
  </si>
  <si>
    <t>Birla Institute of Technology &amp; Science Pilani (BITS Pilani); Ministry of Earth Sciences (MoES) - India; National Centre for Polar and Ocean Research (NCPOR)</t>
  </si>
  <si>
    <t>Roy, U (corresponding author), Birla Inst Technol &amp; Sci BITS, Biol Sci Grp, Pilani K K BIRLA Goa Campus, Sancoale 403726, Goa, India.</t>
  </si>
  <si>
    <t>ray_utp@yahoo.co.in</t>
  </si>
  <si>
    <t>Council of Scientific and Industrial Research (CSIR), New Delhi, India</t>
  </si>
  <si>
    <t>Council of Scientific and Industrial Research (CSIR), New Delhi, India(Council of Scientific &amp; Industrial Research (CSIR) - India)</t>
  </si>
  <si>
    <t>This work was financially supported by the Council of Scientific and Industrial Research (CSIR), New Delhi, India. The samples were provided by the Polar Biology Laboratory NCAOR, Goa, India. Thanks are also due to the Sanmar Specialties for ribotyping. We are thankful to the directors of the Birla Institute of Technology &amp; Science, Pilani KK Birla Goa Campus and National Centre for Antarctic &amp; Ocean Research Goa for providing research facilities. We are particularly grateful to Dr. T. Hoshino (Sapporo) and two anonymous reviewers for their valuable advice that helped a lot in improving the manuscript.</t>
  </si>
  <si>
    <t>10.1007/s00300-010-0854-4</t>
  </si>
  <si>
    <t>WOS:000286471600014</t>
  </si>
  <si>
    <t>Gan, I</t>
  </si>
  <si>
    <t>Gan, Irina</t>
  </si>
  <si>
    <t>'The first practical Soviet steps towards getting a foothold in the Antarctic': the Soviet Antarctic whaling flotilla Slava</t>
  </si>
  <si>
    <t>POLAR RECORD</t>
  </si>
  <si>
    <t>After World War II (WWII), the USSR acquired a whaling flotilla as war reparations from the Germans. This event was the beginning of Soviet whaling in the Antarctic. It also motivated the USSR to sign the 1946 International Convention for the Regulation of Whaling and to use its whaling operations to exercise leverage with regard to political advantage in any future discussions on an international regime for the Antarctic.</t>
  </si>
  <si>
    <t>Gan, I (corresponding author), Univ Tasmania, Inst Antarctic &amp; So Ocean Studies, Private Bag 77, Hobart, Tas 7001, Australia.</t>
  </si>
  <si>
    <t>igan@postoffice.utas.edu.au</t>
  </si>
  <si>
    <t>0032-2474</t>
  </si>
  <si>
    <t>POLAR REC</t>
  </si>
  <si>
    <t>POLAR REC.</t>
  </si>
  <si>
    <t>10.1017/S003224740999043X</t>
  </si>
  <si>
    <t>Ecology; Environmental Sciences</t>
  </si>
  <si>
    <t>686RD</t>
  </si>
  <si>
    <t>WOS:000284712500002</t>
  </si>
  <si>
    <t>Tvedt, MW</t>
  </si>
  <si>
    <t>Tvedt, Morten Walloe</t>
  </si>
  <si>
    <t>Patent law and bioprospecting in Antarctica</t>
  </si>
  <si>
    <t>GENETIC-RESOURCES</t>
  </si>
  <si>
    <t>The number of patents and patent applications related to inventions based on biological material from the Antarctic is increasing. Bioprospecting in the Antarctic is happening with no explicit regulation of property rights or benefit sharing requirements. This leaves patent law as the only legal system to establish exclusive rights to genes, bacteria, and other biological material found in the Antarctic. Patent law is general in form and is applied to all areas of invention with very few adaptations to single fields of innovation. Therefore, it is interesting to identify the issues in patent law in cases in which the biological material from the Antarctic is likely to create challenges or loopholes. The aim of this article is to couple the understanding of this particular legal regime and of biological circumstances in the Antarctic with knowledge of the international patent system for the purpose of contributing to the work of the Antarctic Treaty Consultative Meetings (ATCMs) regarding bioprospecting in the Antarctic.</t>
  </si>
  <si>
    <t>Fridtjof Nansen Inst Polhogda, NO-1326 Lysaker, Norway</t>
  </si>
  <si>
    <t>Tvedt, MW (corresponding author), Fridtjof Nansen Inst Polhogda, Fridtjof Nansens Vei 17, NO-1326 Lysaker, Norway.</t>
  </si>
  <si>
    <t>mwt@fni.no</t>
  </si>
  <si>
    <t>1475-3057</t>
  </si>
  <si>
    <t>10.1017/S0032247410000045</t>
  </si>
  <si>
    <t>WOS:000284712500005</t>
  </si>
  <si>
    <t>Grimaldi, W; Jabour, J; Woehler, EJ</t>
  </si>
  <si>
    <t>Grimaldi, Wray; Jabour, Julia; Woehler, Eric J.</t>
  </si>
  <si>
    <t>Considerations for minimising the spread of infectious disease in Antarctic seabirds and seals</t>
  </si>
  <si>
    <t>INFLUENZA-A VIRUS; PENGUINS PYGOSCELIS-ADELIAE; SOUTH-POLAR SKUAS; CLIMATE-CHANGE; APTENODYTES-PATAGONICUS; EMERGING DISEASES; KING PENGUIN; FUR-SEAL; HOPE BAY; ANTIBODIES</t>
  </si>
  <si>
    <t>Before 1998, concern was raised over the potential for human activities in Antarctica to introduce infectious disease organisms to native wildlife. A workshop was held that year to address this issue. In the last decade, there has been a dramatic increase in human traffic to the Antarctic and the number of commercial tourists visiting the Antarctic has steadily risen. Personnel of national science programmes, though relatively few in numbers, have the most intimate contact with wildlife and thus the greater potential to introduce organisms through their research activities. Many visitors are now able to arrive in the Antarctic from temperate regions within hours by aircraft, and from northern polar regions within 24 to 36 hours. Tourists, by their high numbers, also have the potential to transfer infectious disease agents among commonly visited sites. As of 2009, no outbreaks of infectious diseases in the Antarctic reported in the literature have been directly attributed to human activity, but the ameliorating climate may break down the barriers that have kept Antarctic wildlife relatively free of infectious diseases. Several agents of infectious diseases reported in Antarctic seabirds and seals are assessed for their likelihood to occur more frequently in terms of the characteristics of the agent, the behaviour of Antarctic wildlife, and the effects of an ameliorating climate (regional warming) in conjunction with continued increasing human activities.</t>
  </si>
  <si>
    <t>[Grimaldi, Wray; Jabour, Julia] Univ Tasmania, Inst Marine &amp; Antarctic Studies, Hobart, Tas 7001, Australia; [Woehler, Eric J.] Univ Tasmania, Sch Zool, Hobart, Tas 7001, Australia</t>
  </si>
  <si>
    <t>University of Tasmania; University of Tasmania</t>
  </si>
  <si>
    <t>Grimaldi, W (corresponding author), Univ Tasmania, Inst Marine &amp; Antarctic Studies, Private Bag 129, Hobart, Tas 7001, Australia.</t>
  </si>
  <si>
    <t>Julia.Jabour@utas.edu.au</t>
  </si>
  <si>
    <t>Woehler, Eric/0000-0002-1125-0748</t>
  </si>
  <si>
    <t>10.1017/S0032247410000100</t>
  </si>
  <si>
    <t>WOS:000284712500006</t>
  </si>
  <si>
    <t>Stein, GM</t>
  </si>
  <si>
    <t>Stein, Glenn M.</t>
  </si>
  <si>
    <t>The Antarctic Treaty summit medal</t>
  </si>
  <si>
    <t>Stein, GM (corresponding author), Pk Pl, Apopka, FL 32703 USA.</t>
  </si>
  <si>
    <t>eloasis@earthlink.net</t>
  </si>
  <si>
    <t>10.1017/S0032247410000252</t>
  </si>
  <si>
    <t>WOS:000284712500010</t>
  </si>
  <si>
    <t>Kellner, AWA; Simoes, TR; Riff, D; Grillo, O; Romano, P; de Paula, H; Ramos, R; Carvalho, M; Sayao, J; Oliveira, G; Rodrigues, T</t>
  </si>
  <si>
    <t>Armin Kellner, Alexander Wilhelm; Simoes, Tiago Rodrigues; Riff, Douglas; Grillo, Orlando; Romano, Pedro; de Paula, Helder; Ramos, Renato; Carvalho, Marcelo; Sayao, Juliana; Oliveira, Gustavo; Rodrigues, Taissa</t>
  </si>
  <si>
    <t>The oldest plesiosaur (Reptilia, Sauropterygia) from Antarctica</t>
  </si>
  <si>
    <t>POLAR RESEARCH</t>
  </si>
  <si>
    <t>James Ross Island; Antarctica; plesiosauria; Late Cretaceous; Museu Nacional; oldest</t>
  </si>
  <si>
    <t>STRATIGRAPHY; PALYNOLOGY; BASIN</t>
  </si>
  <si>
    <t>Antarctic plesiosaurs are known from the Upper Cretaceous Lopez de Bertodano and Snow Hill Island formations (Campanian to upper Maastrichtian), which crop out within the James Ross Basin region of the Antarctic Peninsula. Here we describe the first plesiosaur fossils from the Lachman Crags Member of the Santa Marta Formation, north-western James Ross Island. This material constitutes the stratigraphically oldest plesiosaur occurrence presently known from Antarctica, extending the occurrence of plesiosaurians in this continent back to Santonian times (86.3-83.5 Mya). Furthermore, MN 7163-V represents the first plesiosaur from this region not referable to the Elasmosauridae nor Aristonectes, indicating a greater diversity of this group of aquatic reptiles in Antarctica than previously suspected.</t>
  </si>
  <si>
    <t>[Armin Kellner, Alexander Wilhelm; Simoes, Tiago Rodrigues; Grillo, Orlando; de Paula, Helder; Ramos, Renato; Carvalho, Marcelo; Oliveira, Gustavo] Univ Fed Rio de Janeiro, Dept Geol &amp; Paleontol, Museu Nacl, BR-20940040 Rio De Janeiro, Brazil; [Riff, Douglas] Univ Fed Uberlandia, Inst Biol, BR-38400902 Uberlandia, MG, Brazil; [Romano, Pedro] Univ Fed Vicosa, Dept Biol Anim, Museu Zool Joao Moojen, BR-36570000 Vicosa, MG, Brazil; [Sayao, Juliana] Univ Fed Pernambuco, Nucleo Ciencias Biol, Ctr Acad Vitoria, BR-55608680 Vitoria De Santo, PE, Brazil; [Rodrigues, Taissa] Univ Fed Espirito Santo, Ctr Ciencias Agr, Dept Med Vet, BR-29500000 Alegre, ES, Brazil</t>
  </si>
  <si>
    <t>Universidade Federal do Rio de Janeiro; Universidade Federal de Uberlandia; Universidade Federal de Vicosa; Universidade Federal de Pernambuco; Universidade Federal do Espirito Santo</t>
  </si>
  <si>
    <t>Simoes, TR (corresponding author), Univ Fed Rio de Janeiro, Dept Geol &amp; Paleontol, Museu Nacl, Quinta Boa Vista S-N, BR-20940040 Rio De Janeiro, Brazil.</t>
  </si>
  <si>
    <t>tsimoes@mn.ufrj.br</t>
  </si>
  <si>
    <t>Kellner, Alexander/ABE-9591-2020; Paula, Helder/AAO-5576-2021; Romano, Pedro/C-5093-2011; Grillo, Orlando/Q-4162-2019; Grillo, Orlando/C-4528-2017; Kellner, Alexander W/H-1023-2015; Oliveira, Gustavo/IQW-7983-2023; Simões, Tiago/JWP-3237-2024; Rodrigues, Taissa/H-1220-2012; Riff, Douglas/B-5183-2012; Oliveira, Gustavo/F-7432-2012</t>
  </si>
  <si>
    <t>Kellner, Alexander/0000-0001-7174-9447; Romano, Pedro/0000-0002-6819-2729; Grillo, Orlando/0000-0002-3677-7335; Grillo, Orlando/0000-0002-3677-7335; Kellner, Alexander W/0000-0001-7174-9447; Simões, Tiago/0000-0003-4716-649X; Rodrigues, Taissa/0000-0001-7918-1358; Riff, Douglas/0000-0003-0805-2828; Rodriguez Cabral Ramos, Renato/0000-0003-4023-6301; Oliveira, Gustavo/0000-0002-9871-1235</t>
  </si>
  <si>
    <t>Brazilian National Council for Scientific and Technological Development (Conselho Nacional de Desenvolvimento Cientifico e Tecnologico [CNPq] [557347/2005-0, 307276/2009-0]; Research Support Foundation of Rio de Janeiro State (Fundacao Carlos Chagas Filho de Amparo a Pesquisa do Rio de Janeiro [FAPERJ] [E-26/102.779/2008]</t>
  </si>
  <si>
    <t>Brazilian National Council for Scientific and Technological Development (Conselho Nacional de Desenvolvimento Cientifico e Tecnologico [CNPq](Conselho Nacional de Desenvolvimento Cientifico e Tecnologico (CNPQ)); Research Support Foundation of Rio de Janeiro State (Fundacao Carlos Chagas Filho de Amparo a Pesquisa do Rio de Janeiro [FAPERJ]</t>
  </si>
  <si>
    <t>This project was mainly funded by the the Brazilian National Council for Scientific and Technological Development (Conselho Nacional de Desenvolvimento Cientifico e Tecnologico [CNPq] grants nos. 557347/2005-0 and 307276/2009-0 to AWAK) and the Research Support Foundation of Rio de Janeiro State (Fundacao Carlos Chagas Filho de Amparo a Pesquisa do Rio de Janeiro [FAPERJ] grant no. E-26/102.779/2008 to AWAK). We wish to thank the Brazilian Navy for logistical and technical support during the expedition to Antarctica, Dr Zulma Gasparini from the La Plata Museum, La Plata, for advice and help with the bibliography, Benjamin Kear (Uppsala University), Tamaki Sato (Tokyo University) and Adam Smith (National Museum of Ireland) for several suggestions on the original version of the manuscript.</t>
  </si>
  <si>
    <t>CO-ACTION PUBLISHING</t>
  </si>
  <si>
    <t>JARFALLA</t>
  </si>
  <si>
    <t>RIPVAGEN 7, JARFALLA, SE-175 64, SWEDEN</t>
  </si>
  <si>
    <t>0800-0395</t>
  </si>
  <si>
    <t>POLAR RES</t>
  </si>
  <si>
    <t>Polar Res.</t>
  </si>
  <si>
    <t>10.3402/polar.v30i0.7265</t>
  </si>
  <si>
    <t>Ecology; Geosciences, Multidisciplinary; Oceanography</t>
  </si>
  <si>
    <t>861SO</t>
  </si>
  <si>
    <t>WOS:000298039700013</t>
  </si>
  <si>
    <t>Ball, BA; Barrett, JE; Gooseff, MN; Virginia, RA; Wall, DH</t>
  </si>
  <si>
    <t>Ball, Becky A.; Barrett, J. E.; Gooseff, Mike N.; Virginia, Ross A.; Wall, Diana H.</t>
  </si>
  <si>
    <t>Implications of meltwater pulse events for soil biology and biogeochemical cycling in a polar desert</t>
  </si>
  <si>
    <t>Water pulse; climate change; polar desert; International Polar Year; discrete warming events; soil biogeochemistry</t>
  </si>
  <si>
    <t>MCMURDO DRY VALLEYS; SCOTTNEMA-LINDSAYAE NEMATODA; TAYLOR VALLEY; COMMUNITY STRUCTURE; BIOTIC INTERACTIONS; ANTARCTIC SOILS; CLIMATE-CHANGE; TERRESTRIAL; ECOSYSTEM; BIODIVERSITY</t>
  </si>
  <si>
    <t>The McMurdo Dry Valleys are one of the most arid environments on Earth. Over the soil landscape for the majority of the year, biological and ecosystem processes in the dry valleys are constrained by the low temperatures and limited availability of water. The prevalence of these physical limitations in controlling biological and ecosystem processes makes the dry valleys a climate-sensitive system, poised to experience substantial changes following projected future warming. Short-duration increases in summer temperatures are associated with pulses of water from melting ice reserves, including glaciers, snow and permafrost. Such pulses alter soil geochemistry by mobilizing and redistributing soil salts (via enhanced weathering, solubility and mobility), which can alter habitat suitability for soil organisms. Resulting changes in soil community composition or distribution may alter the biogeochemical processes in which they take part. Here, we review the potential impacts of meltwater pulses and present new field data documenting instances of meltwater pulse events that result from different water sources and hydrological patterns, and discuss their potential influence on soil biology and biogeochemistry. We use these examples to discuss the potential impacts of future climate change on the McMurdo Dry Valley soil ecosystem.</t>
  </si>
  <si>
    <t>[Ball, Becky A.] Arizona State Univ, Div Math &amp; Nat Sci, Glendale, AZ 85306 USA; [Ball, Becky A.; Virginia, Ross A.] Dartmouth Coll, Environm Studies Program, Hanover, NH 03755 USA; [Barrett, J. E.] Virginia Polytech Inst &amp; State Univ, Dept Biol Sci, Blacksburg, VA 24061 USA; [Gooseff, Mike N.] Penn State Univ, Dept Civil &amp; Environm Engn, University Pk, PA 16802 USA; [Wall, Diana H.] Colorado State Univ, Dept Biol, Ft Collins, CO 80523 USA; [Wall, Diana H.] Colorado State Univ, Nat Resource Ecol Lab, Ft Collins, CO 80523 USA</t>
  </si>
  <si>
    <t>Arizona State University; Dartmouth College; Virginia Polytechnic Institute &amp; State University; Pennsylvania Commonwealth System of Higher Education (PCSHE); Pennsylvania State University; Pennsylvania State University - University Park; Colorado State University; Colorado State University</t>
  </si>
  <si>
    <t>Ball, BA (corresponding author), Arizona State Univ, Div Math &amp; Nat Sci 2352, West Campus,4701 W Thunderbird Rd, Glendale, AZ 85306 USA.</t>
  </si>
  <si>
    <t>becky.ball@asu.edu</t>
  </si>
  <si>
    <t>Wall, Diana H/F-5491-2011; Ball, Becky A/E-6573-2011; Gooseff, Michael N/N-6087-2015; Barrett, John/D-5851-2016</t>
  </si>
  <si>
    <t>Ball, Becky A/0000-0001-8592-1316; Gooseff, Michael N/0000-0003-4322-8315; Barrett, John/0000-0002-7610-0505</t>
  </si>
  <si>
    <t>Research Council of Norway; Dickey Center for International Understanding and its Institute of Arctic Studies at Dartmouth College; National Science Foundation [ANT-0423595]</t>
  </si>
  <si>
    <t>Research Council of Norway(Research Council of Norway); Dickey Center for International Understanding and its Institute of Arctic Studies at Dartmouth College; National Science Foundation(National Science Foundation (NSF))</t>
  </si>
  <si>
    <t>We thank the editors for the opportunity to be a part of this special issue resulting from the International Polar Year Oslo Science Conference 2010. We thank the Research Council of Norway and the Dickey Center for International Understanding and its Institute of Arctic Studies at Dartmouth College for travel funding that made it possible to attend the conference. The focus of this paper evolved from discussion among members of MCM LTER, in particular WBL and ANF, and was funded by National Science Foundation grant no. ANT-0423595.</t>
  </si>
  <si>
    <t>OPEN ACADEMIA AB</t>
  </si>
  <si>
    <t>SPANGA</t>
  </si>
  <si>
    <t>STORMBYVAGEN 6, SPANGA, SE-163 55, SWEDEN</t>
  </si>
  <si>
    <t>1751-8369</t>
  </si>
  <si>
    <t>POLAR RES-SWEDEN</t>
  </si>
  <si>
    <t>10.3402/polar.v30i0.14555</t>
  </si>
  <si>
    <t>056OH</t>
  </si>
  <si>
    <t>WOS:000312499600001</t>
  </si>
  <si>
    <t>Bauch, D; Gröger, M; Dmitrenko, I; Hölemann, J; Kirillov, S; Mackensen, A; Taldenkova, E; Andersen, N</t>
  </si>
  <si>
    <t>Bauch, Dorothea; Groeger, Matthias; Dmitrenko, Igor; Hoelemann, Jens; Kirillov, Sergey; Mackensen, Andreas; Taldenkova, Ekatarina; Andersen, Nils</t>
  </si>
  <si>
    <t>Atmospheric controlled freshwater release at the Laptev Sea continental margin</t>
  </si>
  <si>
    <t>Arctic Ocean halocline; atmospheric forcing; Laptev Sea; stable isotopes; water masses</t>
  </si>
  <si>
    <t>RIVER DISCHARGE; DRIVEN; CIRCULATION; SHELF; PRESSURE; ISOTOPES; BOTTOM; OXYGEN</t>
  </si>
  <si>
    <t>Considerable interannual differences were observed in river water and sea-ice meltwater inventory values derived from delta O-18 and salinity data in the Eurasian Basin along the continental margin of the Laptev Sea in the summers of 1993 and 1995, and in the summers of 2005 and 2006 during Nansen and Amundsen Basins Observational system (NABOS) expeditions. The annually different pattern in river and sea-ice meltwater inventories remain closely linked for all of the years studied, which indicates that source regions and transport mechanisms for both river water and sea-ice formation are largely similar over the relatively shallow Laptev Sea Shelf. A simple Ekman trajectory model for surface Lagrangian particles based solely on wind forcing can explain the main features observed between years with significantly different wind patterns and vorticities, and can also explain differences in river water distributions observed for years with a generally similar offshore wind setting. An index based on this simplified trajectory model is rather similar to the vorticity index, but reflects the hydrology on the shelf better for distinctive years. This index is not correlated with the Arctic Oscillation, but rather with a local mode of oscillation, which controls the outflow and distribution of the Eurasian Basin major freshwater source on an annual timescale.</t>
  </si>
  <si>
    <t>[Bauch, Dorothea; Dmitrenko, Igor] Univ Kiel, Leibniz Inst Marine Sci, DE-24148 Kiel, Germany; [Groeger, Matthias] Max Planck Inst Meteorol, DE-20146 Hamburg, Germany; [Hoelemann, Jens; Mackensen, Andreas] Alfred Wegener Inst Polar &amp; Marine Res, DE-27570 Bremerhaven, Germany; [Taldenkova, Ekatarina] Moscow MV Lomonosov State Univ, RU-119991 Moscow, Russia; [Andersen, Nils] Univ Kiel, Leibniz Lab Radiometr Dating &amp; Stable Isotope Res, DE-24118 Kiel, Germany; [Kirillov, Sergey] Arctic &amp; Antarctic Res Inst, RU-199397 St Petersburg, Russia</t>
  </si>
  <si>
    <t>University of Kiel; Helmholtz Association; GEOMAR Helmholtz Center for Ocean Research Kiel; Max Planck Society; Helmholtz Association; Alfred Wegener Institute, Helmholtz Centre for Polar &amp; Marine Research; Lomonosov Moscow State University; University of Kiel</t>
  </si>
  <si>
    <t>Bauch, D (corresponding author), Univ Kiel, Leibniz Inst Marine Sci, Wischhofstr 1-3, DE-24148 Kiel, Germany.</t>
  </si>
  <si>
    <t>dbauch@ifm-geomar.de</t>
  </si>
  <si>
    <t>Gröger, Matthias/G-6758-2015; Taldenkova, Ekaterina/L-7853-2015; Mackensen, Andreas/J-8600-2013; Hoelemann, Jens/N-3608-2016</t>
  </si>
  <si>
    <t>Gröger, Matthias/0000-0002-9927-5164; Bauch, Dorothea/0000-0002-1419-9714; Taldenkova, Ekaterina/0000-0002-0959-4111; Dmitrenko, Igor/0000-0001-8388-7839; Mackensen, Andreas/0000-0002-5024-4455; Hoelemann, Jens/0000-0001-5102-4086</t>
  </si>
  <si>
    <t>German Research Foundation [SP 526/3]; Federal Ministry of Education and Research [03G0639D, 03G0639A, 03PL038A]</t>
  </si>
  <si>
    <t>German Research Foundation(German Research Foundation (DFG)); Federal Ministry of Education and Research(Federal Ministry of Education &amp; Research (BMBF))</t>
  </si>
  <si>
    <t>We thank all members of the NABOS project for exceptional working conditions and extensive support during expeditions. DB acknowledges funds from the German Research Foundation grant SP 526/3; MG acknowledges funds from the Federal Ministry of Education and Research grant 03G0639D; and ID acknowledges funds from the Federal Ministry of Education and Research grant 03G0639A. SK and ET acknowledge funding through the Federal Ministry of Education and Research project Otto-Schmidt-Laboratory for Polar and Marine Sciences (03PL038A). We would like to thank Robert Newton for his constructive review on the article, resulting in a significant improvement of the article. We thank an anonymous reviewer for valuable comments that also helped to improve the article.</t>
  </si>
  <si>
    <t>10.3402/polar.v30i0.5858</t>
  </si>
  <si>
    <t>861SZ</t>
  </si>
  <si>
    <t>Green Accepted, Green Published, hybrid</t>
  </si>
  <si>
    <t>WOS:000298040800008</t>
  </si>
  <si>
    <t>Campanelli, A; Massolo, S; Grilli, F; Marini, M; Paschini, E; Rivaro, P; Artegiani, A; Jacobs, SS</t>
  </si>
  <si>
    <t>Campanelli, Alessandra; Massolo, Serena; Grilli, Federica; Marini, Mauro; Paschini, Elio; Rivaro, Paola; Artegiani, Antonio; Jacobs, Stanley S.</t>
  </si>
  <si>
    <t>Variability of nutrient and thermal structure in surface waters between New Zealand and Antarctica, October 2004-January 2005</t>
  </si>
  <si>
    <t>Southern Ocean; nutrients; silica belt Antarctic Circumpolar Current; expendable bathythermograph</t>
  </si>
  <si>
    <t>SOUTHERN-OCEAN FRONTS; CIRCUMPOLAR CURRENT; SEASONAL EVOLUTION; SPATIAL PATTERNS; POLAR FRONT; TEMPERATURE; SEA; CHLOROPHYLL; CARBON; DRAWDOWN</t>
  </si>
  <si>
    <t>We describe the upper ocean thermal structure and surface nutrient concentrations between New Zealand and Antarctica along five transects that cross the Subantarctic Front, the Polar Front (PF) and the southern Antarctic Circumpolar Current (ACC) front. The surface water thermal structure is coupled with variations in surface nutrient concentrations, making water masses identifiable by both temperature and nutrient ranges. In particular, a strong latitudinal gradient in orthosilicate concentration is centred at the PF. On the earlier sections that extend south-west from the Campbell Plateau, orthosilicate increases sharply southward from 10-15 to 50-55 mu mol l(-1) between 58 degrees S and 60 degrees S, while surface temperature drops from 7 degrees C to 2 degrees C. Nitrate increases more regularly toward the south, with concentrations ranging from 10-12 mu mol l(-1) at 54 degrees S to 25-30 mu mol l(-1) at 66 degrees S. The same features are observed during the later transects between New Zealand and the Ross Sea, but the sharp silica and surface temperature gradients are shifted between 60 degrees S and 64 degrees S. Both temporal and spatial factors may influence the observed variability. The January transect suggests an uptake of silica, orthophosphate and nitrate between 63 degrees S and 70 degrees S over the intervening month, with an average depletion near 37%, 44% and 29%, respectively. An N/P (nitrite+nitrate/orthophosphate) apparent drawdown ratio of 8.8 +/- 4.1 and an Si/N (silicic acid/nitrite+nitrate) apparent drawdown ratio &gt; 1 suggest this depletion results from a seasonal diatom bloom. A southward movement of the oceanic fronts between New Zealand and the Ross Sea relative to prior measurements is consistent with reports of recent warming and changes in the ACC.</t>
  </si>
  <si>
    <t>[Campanelli, Alessandra; Grilli, Federica; Marini, Mauro; Paschini, Elio; Artegiani, Antonio] Natl Res Council CNR, Inst Marine Sci, IT-60125 Ancona, Italy; [Massolo, Serena; Rivaro, Paola] Univ Genoa, Dept Chem &amp; Ind Chem, IT-16146 Genoa, Italy; [Jacobs, Stanley S.] Columbia Univ, Lamont Doherty Earth Observ, Palisades, NY 10964 USA</t>
  </si>
  <si>
    <t>Consiglio Nazionale delle Ricerche (CNR); Istituto di Scienze Marine (ISMAR-CNR); University of Genoa; Columbia University</t>
  </si>
  <si>
    <t>Marini, M (corresponding author), Natl Res Council CNR, Inst Marine Sci, Largo Fiera Pesca 2, IT-60125 Ancona, Italy.</t>
  </si>
  <si>
    <t>m.marini@ismar.cnr.it</t>
  </si>
  <si>
    <t>Marini, Mauro/A-6477-2012; Marini, Mauro/AAE-9399-2020; Rivaro, Paola/I-8305-2012; Campanelli, Alessandra/ABD-5099-2021; CAMPANELLI, ALESSANDRA/AAC-7499-2022; CNR, Ismar/P-1247-2014</t>
  </si>
  <si>
    <t>Marini, Mauro/0000-0002-9674-7197; Campanelli, Alessandra/0000-0003-4818-3996; CAMPANELLI, ALESSANDRA/0000-0003-4818-3996; CNR, Ismar/0000-0001-5351-1486; Grilli, Federica/0000-0003-4005-1278</t>
  </si>
  <si>
    <t>Antarctic Slope project; Climatic Long-term Interactions for the Mass Balance in Antarctica project</t>
  </si>
  <si>
    <t>This work was supported by the Antarctic Slope project and the Climatic Long-term Interactions for the Mass Balance in Antarctica project. We are grateful to the captains, officers, crew and scientists on the research vessels N.B. Palmer and Italica for their assistance with data and sample collection. We wish to give our thanks to anonymous reviewers for their insightful comments and suggestions that have served to significantly improve the paper.</t>
  </si>
  <si>
    <t>10.3402/polar.v30i0.7064</t>
  </si>
  <si>
    <t>WOS:000298039700017</t>
  </si>
  <si>
    <t>Cheek, J; Ben, HG; de Pomereu, J</t>
  </si>
  <si>
    <t>Cheek, Joseph; Ben Huyge; de Pomereu, Jean</t>
  </si>
  <si>
    <t>Princess Elisabeth Antarctica: an International Polar Year outreach and media success story</t>
  </si>
  <si>
    <t>Media and outreach; media strategy; Antarctic research stations; energy management system; renewable energy; reducing environmental footprint</t>
  </si>
  <si>
    <t>One of the priorities of the fourth International Polar Year (IPY) was to increase awareness of the polar regions and polar science among the general public through education, communication and other forms of outreach. This paper reports on the media coverage of Princess Elisabeth Antarctica (PEA), Belgium's zero-emission'' Antarctic research station designed by the non-profit International Polar Foundation (IPF) to run on wind and solar energy and to employ state-of-the-art forms of energy management and other green'' technology. This paper provides background information on PEA, a review of IPF's media strategy for the project, a description of media coverage of the station and a discussion of the way in which the IPF's main messages were reported in the media. IPF staff surveyed approximately 300 media reports released between February 2004, when the PEA project was announced to the general public, and June 2010, when the IPF presented their findings at the IPY conference in Oslo. PEA was featured 580 times in print and web media in Belgium, and 303 times outside Belgium. Major international agencies such as the Associated Press, Agence France Presse, the BBC, Al-Jazeera and Reuters covered the project. On television and radio, PEA was featured in news broadcasts from all four major television networks in Belgium, most major radio stations and 34 different television and radio news outlets outside Belgium. The paper concludes that the media coverage for PEA was significant and suggests reasons why the project was so widely reported.</t>
  </si>
  <si>
    <t>[Cheek, Joseph; Ben Huyge; de Pomereu, Jean] Int Polar Fdn, B-1070 Brussels, Belgium</t>
  </si>
  <si>
    <t>Cheek, J (corresponding author), Int Polar Fdn, Rue Deux Gares 120 A, B-1070 Brussels, Belgium.</t>
  </si>
  <si>
    <t>joseph.cheek@polarfoundation.org</t>
  </si>
  <si>
    <t>de Pomereu, Jean/0000-0003-0058-765X</t>
  </si>
  <si>
    <t>10.3402/polar.v30i0.11153</t>
  </si>
  <si>
    <t>874KT</t>
  </si>
  <si>
    <t>WOS:000298956700001</t>
  </si>
  <si>
    <t>Convey, P; Hopkins, DW; Roberts, SJ; Tyler, AN</t>
  </si>
  <si>
    <t>Convey, Peter; Hopkins, David W.; Roberts, Stephen J.; Tyler, Andrew N.</t>
  </si>
  <si>
    <t>Global southern limit of flowering plants and moss peat accumulation</t>
  </si>
  <si>
    <t>Antarctic plants; distribution limits; peat accumulation; dating</t>
  </si>
  <si>
    <t>COLOBANTHUS-QUITENSIS; ALEXANDER-ISLAND; VASCULAR PLANTS; ANTARCTICA; CALIBRATION; REPRODUCTION; POPULATION; RESPONSES; GROWTH; BANK</t>
  </si>
  <si>
    <t>The ecosystems of the western Antarctic Peninsula, experiencing amongst the most rapid trends of regional climate warming worldwide, are important early warning indicators for responses expected in more complex systems elsewhere. Central among responses attributed to this regional warming are widely reported population and range expansions of the two native Antarctic flowering plants, Deschampsia antarctica and Colobanthus quitensis. However, confirmation of the predictions of range expansion requires baseline knowledge of species distributions. We report a significant southwards and westwards extension of the known natural distributions of both plant species in this region, along with several range extensions in an unusual moss community, based on a new survey work in a previously unexamined and un-named low altitude peninsula at 69 degrees 22.0'S 71 degrees 50.7'W in Lazarev Bay, north-west Alexander Island, southern Antarctic Peninsula. These plant species therefore have a significantly larger natural range in the Antarctic than previously thought. This site provides a potentially important monitoring location near the southern boundary of the region currently demonstrated to be under the influence of rapidly changing climate trends. Combined radiocarbon and lead isotope radiometric dating suggests that this location was most likely deglaciated sufficiently to allow peat to start accumulating towards the end of the 19th century, which we tentatively link to a phase of post-1870 climate amelioration. We conclude that the establishment of vegetation in this location is unlikely to be linked to the rapid regional warming trends recorded along the Antarctic Peninsula since the mid-20th century.</t>
  </si>
  <si>
    <t>[Convey, Peter; Roberts, Stephen J.] British Antarctic Survey, Natl Environm Res Council, Cambridge CB3 0ET, England; [Hopkins, David W.] Scottish Crop Res Inst, Dundee DD2 5DA, Scotland; [Hopkins, David W.; Tyler, Andrew N.] Univ Stirling, Sch Biol &amp; Environm Sci, Environm Radioact Lab, Stirling FK9 4LA, Scotland; [Hopkins, David W.] Heriot Watt Univ, Sch Life Sci, Edinburgh EH14 4AS, Midlothian, Scotland</t>
  </si>
  <si>
    <t>UK Research &amp; Innovation (UKRI); Natural Environment Research Council (NERC); NERC British Antarctic Survey; James Hutton Institute; University of Stirling; Heriot Watt University</t>
  </si>
  <si>
    <t>Convey, P (corresponding author), British Antarctic Survey, Natl Environm Res Council, Madingley Rd, Cambridge CB3 0ET, England.</t>
  </si>
  <si>
    <t>pcon@bas.ac.uk</t>
  </si>
  <si>
    <t>Tyler, Andrew N/F-2034-2010; Convey, Peter/AAV-5728-2020</t>
  </si>
  <si>
    <t>Convey, Peter/0000-0001-8497-9903; Tyler, Andrew/0000-0003-0604-5827; Roberts, Stephen/0000-0003-3407-9127; Hopkins, David/0000-0003-0953-8643</t>
  </si>
  <si>
    <t>Natural Environment Research Council Antarctic Funding Initiative [NE/D00893X/1]; Natural Environment Research Council [NE/D00893X/1, bas0100024, bas0100026] Funding Source: researchfish; NERC [bas0100024, bas0100026, NE/D00893X/1] Funding Source: UKRI</t>
  </si>
  <si>
    <t>Natural Environment Research Council Antarctic Funding Initiative(UK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</si>
  <si>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Captain and Ship's Company of HMS Endurance, particularly the flight and hydrographic survey personnel. R.I.L. Smith commented on an earlier manuscript version. We thank C. Ruhland and an anonymous referee for their encouraging and constructive suggestions. Figure 1 was prepared by P. Fretwell. DWH was funded under the Natural Environment Research Council Antarctic Funding Initiative (NE/D00893X/1). This paper contributes to the research programmes Polar Science for Planet Earth (British Antarctic Survey) and Evolution and Biodiversity in Antarctica (Scientific Committee on Antarctic Research). We thank R. Ochyra for bryophyte identification, S. Bradley for assistance with the 210Pb and 137C counting and P.G. Dennis for the soil analyses. Plant specimens are deposited with the Antarctic Herbarium, held at the British Antarctic Survey, Cambridge, UK.</t>
  </si>
  <si>
    <t>10.3402/polar.v30i0.8929</t>
  </si>
  <si>
    <t>WOS:000298040800001</t>
  </si>
  <si>
    <t>Hölemann, JA; Kirillov, S; Klagge, T; Novikhin, A; Kassens, H; Timokhov, L</t>
  </si>
  <si>
    <t>Hoelemann, Jens A.; Kirillov, Sergey; Klagge, Torben; Novikhin, Andrey; Kassens, Heidemarie; Timokhov, Leonid</t>
  </si>
  <si>
    <t>Near-bottom water warming in the Laptev Sea in response to atmospheric and sea-ice conditions in 2007</t>
  </si>
  <si>
    <t>Siberian Shelf seas; shelf oceanography; sea ice; atmospheric forcing</t>
  </si>
  <si>
    <t>SIBERIAN ARCTIC SHELF; THERMOHALINE STRUCTURE; HYDROGRAPHY</t>
  </si>
  <si>
    <t>In this paper we present new data from ship-based measurements and two-year observations from moorings in the Laptev Sea along with Russian historical data. The observations from the Laptev Sea in 2007 indicate that the bottom water temperatures on the mid-shelf increased by more than 3 degrees C compared to the long-term mean as a consequence of the unusually high summertime surface water temperatures. Such a distinct increase in near-bottom temperatures has not been observed before. Remnants of the relatively warm bottom water occupied the mid-shelf from September 2007 until April 2008. Strong polynya activity during March to May 2007 caused more summertime open water and therefore warmer sea surface temperatures in the Laptev Sea. During the ice-free period in August and September 2007, the prevailing cyclonic atmospheric circulation deflected the freshwater plume of the River Lena to the east, which increased the salinity on the mid-shelf north of the Lena Delta. The resulting weaker density stratification allowed more vertical mixing of the water column during storms in late September and early October, leading to the observed warming of the near-bottom layer in the still ice-free Laptev Sea. In summer and autumn 2008, when the density stratification was stronger and sea surface temperatures were close to the long-term mean, no near-bottom water warming was observed. Warmer water temperatures near the seabed may also impact the stability of the shelf's submarine permafrost.</t>
  </si>
  <si>
    <t>[Hoelemann, Jens A.] Alfred Wegener Inst Polar &amp; Marine Res, DE-27570 Bremerhaven, Germany; [Kirillov, Sergey; Novikhin, Andrey; Timokhov, Leonid] Arctic &amp; Antarctic Res Inst, RU-199397 St Petersburg, Russia; [Klagge, Torben; Kassens, Heidemarie] Leibniz Inst Marine Sci, DE-24148 Kiel, Germany</t>
  </si>
  <si>
    <t>Helmholtz Association; Alfred Wegener Institute, Helmholtz Centre for Polar &amp; Marine Research; Helmholtz Association; GEOMAR Helmholtz Center for Ocean Research Kiel</t>
  </si>
  <si>
    <t>Hölemann, JA (corresponding author), Alfred Wegener Inst Polar &amp; Marine Res, Handelshafen 12, DE-27570 Bremerhaven, Germany.</t>
  </si>
  <si>
    <t>jens.hoelemann@awi.de</t>
  </si>
  <si>
    <t>Novikhin, Andrey/J-6005-2016; Hoelemann, Jens/N-3608-2016</t>
  </si>
  <si>
    <t>Hoelemann, Jens/0000-0001-5102-4086</t>
  </si>
  <si>
    <t>German Federal Ministry of Education and Research [BMBF 03G0639A]; Ministry of Education and Science of the Russian Federation</t>
  </si>
  <si>
    <t>German Federal Ministry of Education and Research(Federal Ministry of Education &amp; Research (BMBF)); Ministry of Education and Science of the Russian Federation(Ministry of Education and Science, Russian Federation)</t>
  </si>
  <si>
    <t>We acknowledge that the constructive comments of Igor Semiletov and an anonymous reviewer helped to improve our manuscript significantly. We also thank all members of the Laptev Sea System project for contributing valuable information and discussions. Financial support for the project comes from the German Federal Ministry of Education and Research (grant BMBF 03G0639A) and the Ministry of Education and Science of the Russian Federation. We also would like to thank the Russian-German Otto Schmidt Laboratory for Polar and Marine Research in St. Petersburg for technical and logistical support. Comments on the manuscript by Dorothea Bauch, Ursula Schauer and Karen Volkmann-Lark were highly appreciated.</t>
  </si>
  <si>
    <t>10.3402/polar.v30i0.6425</t>
  </si>
  <si>
    <t>gold, Green Accepted</t>
  </si>
  <si>
    <t>WOS:000298040800004</t>
  </si>
  <si>
    <t>Martinez-Rosales, C; Castro-Sowinski, S</t>
  </si>
  <si>
    <t>Martinez-Rosales, Cecilia; Castro-Sowinski, Susana</t>
  </si>
  <si>
    <t>Antarctic bacterial isolates that produce cold-active extracellular proteases at low temperature but are active and stable at high temperature</t>
  </si>
  <si>
    <t>Antarctic; cold-active enzymes; protease</t>
  </si>
  <si>
    <t>SERINE ALKALINE PROTEASE; ENZYME-PURIFICATION; CULTURABLE BACTERIA; HYDROLYTIC ENZYMES; DIVERSITY; MICROORGANISMS; PROKARYOTES; ADAPTATION; EVOLUTION; CLONING</t>
  </si>
  <si>
    <t>We report the isolation and identification of bacteria that produce extracellular cold-active proteases, obtained from water samples collected near the Uruguayan Antarctic Base on King George Island, South Shetlands. The bacteria belonged to the genera Pseudomonas (growth between 4 and 30 degrees C) and Flavobacterium (growth between 4 and 18 degrees C). In all cases, extracellular protease production was evident when reaching the stationary phase at 18 and 4 degrees C but was not detected at 30 degrees C. The zymogram revealed the secretion of one extracellular protease per isolate, each with different relative electrophoretic mobility. The extracellular proteases produced at 4 degrees C showed thermal activity and stability at 30 degrees C. Both activity and stability at a temperature higher that 10 degrees C have no physiological meaning because the isolates do not experience such temperatures in the Antarctic environment; however, the possible ecological value of cold-active and -stable extracellular proteases is discussed.</t>
  </si>
  <si>
    <t>[Martinez-Rosales, Cecilia; Castro-Sowinski, Susana] Univ Republica, Fac Sci, Dept Biochem, Montevideo 11400, Uruguay; [Martinez-Rosales, Cecilia; Castro-Sowinski, Susana] Inst Clemente Estable, Mol Microbiol Lab, Montevideo 11600, Uruguay</t>
  </si>
  <si>
    <t>Universidad de la Republica, Uruguay; Instituto de Investigaciones Biologicas Clemente Estable Uruguay</t>
  </si>
  <si>
    <t>Castro-Sowinski, S (corresponding author), Univ Republica, Fac Sci, Dept Biochem, Igua 4225, Montevideo 11400, Uruguay.</t>
  </si>
  <si>
    <t>scs@iibce.edu.uy</t>
  </si>
  <si>
    <t>PEDECIBA; Uruguayan Antarctic Institute</t>
  </si>
  <si>
    <t>This work was partially supported by Uruguay's Basic Science Development Programme (PEDECIBA) and the Uruguayan Antarctic Institute. Dr Valerie Dee revised linguistic aspects of the manuscript.</t>
  </si>
  <si>
    <t>10.3402/polar.v30i0.7123</t>
  </si>
  <si>
    <t>WOS:000298039700016</t>
  </si>
  <si>
    <t>May, I; Carlson, D; Ardyna, M; Geoffroy, M; Heikkilä, M</t>
  </si>
  <si>
    <t>May, Inga; Carlson, David; Ardyna, Mathieu; Geoffroy, Maxime; Heikkilae, Maija</t>
  </si>
  <si>
    <t>Making science animations: new possibilities for making science accessible to the public</t>
  </si>
  <si>
    <t>[May, Inga] Univ Munich, Dept Geog, DE-80333 Munich, Germany; [May, Inga] Univ Tromso, Cent Adm B357, Assoc Polar Early Career Scientists, NO-9037 Tromso, Norway; [Carlson, David] British Antarctic Survey, Int Polar Year Int Programme Off, Cambridge CB3 0ET, England; [Ardyna, Mathieu; Geoffroy, Maxime] Univ Laval, Dept Biol, Quebec City, PQ G1V 0A6, Canada; [Heikkilae, Maija] Univ Manitoba, Dept Geog &amp; Environm, Ctr Earth Observat Sci, Winnipeg, MB R3T 2N2, Canada; [Heikkilae, Maija] Fisheries &amp; Oceans Canada, Inst Freshwater, Winnipeg, MB R3T 2N6, Canada</t>
  </si>
  <si>
    <t>University of Munich; UiT The Arctic University of Tromso; UK Research &amp; Innovation (UKRI); Natural Environment Research Council (NERC); NERC British Antarctic Survey; Laval University; University of Manitoba; Fisheries &amp; Oceans Canada</t>
  </si>
  <si>
    <t>May, I (corresponding author), Univ Munich, Dept Geog, DE-80333 Munich, Germany.</t>
  </si>
  <si>
    <t>ingamay@gmx.de</t>
  </si>
  <si>
    <t>Ardyna, Mathieu/N-2027-2018; Heikkila, Maija/N-7659-2013</t>
  </si>
  <si>
    <t>Ardyna, Mathieu/0000-0002-4703-6655; Heikkila, Maija/0000-0003-3885-8670; Geoffroy, Maxime/0000-0003-2633-5565</t>
  </si>
  <si>
    <t>NORWEGIAN POLAR INST</t>
  </si>
  <si>
    <t>TROMSO</t>
  </si>
  <si>
    <t>POLAR ENVIRONMENTAL CENTRE, HJALMAR JOHANSENSGATE 14, TROMSO, FRAMSENTERET, NORWAY</t>
  </si>
  <si>
    <t>10.3402/polar.v30i0.15315</t>
  </si>
  <si>
    <t>WOS:000298956700003</t>
  </si>
  <si>
    <t>Riaux-Gobin, C; Poulin, M; Dieckmann, G; Labrune, C; Vetion, G</t>
  </si>
  <si>
    <t>Riaux-Gobin, Catherine; Poulin, Michel; Dieckmann, Gerhard; Labrune, Celine; Vetion, Gilles</t>
  </si>
  <si>
    <t>Spring phytoplankton onset after the ice break-up and sea-ice signature (Adelie Land, East Antarctica)</t>
  </si>
  <si>
    <t>Ice break-up; phytoplankton; sea-ice signature; East Antarctica</t>
  </si>
  <si>
    <t>WEDDELL SEA; MICROBIAL COMMUNITIES; TERRE ADELIE; ASSEMBLAGES; ALGAE; ARCHAEOMONADACEAE; ACCLIMATION; BIOMASS; DIATOMS; SUMMER</t>
  </si>
  <si>
    <t>The phytoplankton onset following the spring ice break-up in Adelie Land, East Antarctica, was studied along a short transect, from 400 m off the continent to 5 km offshore, during the austral summer of 2002. Eight days after the ice break-up, some large colonial and solitary diatom cells, known to be associated with land-fast ice and present in downward fluxes, were unable to adapt in ice-free waters, while some other solitary and short-colony forming taxa (e.g., Fragilariopsis curta, F. cylindrus) did develop. Pelagic species were becoming more abundant offshore, replacing the typical sympagic (ice-associated) taxa. Archaeomonad cysts, usually associated with sea ice, were recorded in the surface waters nearshore. Rough weather restricted the data set, but we were able to confirm that some microalgae may be reliable sea-ice indicators and that seeding by sea ice only concerns a few taxa in this coastal area of East Antarctica.</t>
  </si>
  <si>
    <t>[Riaux-Gobin, Catherine] Univ Perpignan, Ctr Natl Rech Sci USR 3287, Ecole Prat Hautes Etudes, Ctr Rech Insulaires &amp; Observ Environm, FR-66860 Perpignan, France; [Riaux-Gobin, Catherine; Labrune, Celine; Vetion, Gilles] Univ Paris 06, Ctr Natl Rech Sci, UMR 7621, FR-66650 Banyuls Sur Mer, France; [Poulin, Michel] Canadian Museum Nat, Div Res, Ottawa, ON K1P 6P4, Canada; [Dieckmann, Gerhard] Alfred Wegener Inst Polar &amp; Marine Res, GE-27570 Bremerhaven, Germany</t>
  </si>
  <si>
    <t>Universite Perpignan Via Domitia; Universite PSL; Ecole Pratique des Hautes Etudes (EPHE); Sorbonne Universite; Centre National de la Recherche Scientifique (CNRS); CNRS - National Institute for Earth Sciences &amp; Astronomy (INSU); Helmholtz Association; Alfred Wegener Institute, Helmholtz Centre for Polar &amp; Marine Research</t>
  </si>
  <si>
    <t>Riaux-Gobin, C (corresponding author), Univ Perpignan, Ctr Natl Rech Sci USR 3287, Ecole Prat Hautes Etudes, Ctr Rech Insulaires &amp; Observ Environm, FR-66860 Perpignan, France.</t>
  </si>
  <si>
    <t>catherine.gobin@univ-perp.fr</t>
  </si>
  <si>
    <t>Natural Sciences and Engineering Research Council of Canada; Canadian Museum of Nature; Institut Polaire Francais Paul-Emile Victor, Brest, France</t>
  </si>
  <si>
    <t>Natural Sciences and Engineering Research Council of Canada(Natural Sciences and Engineering Research Council of Canada (NSERC)CGIAR); Canadian Museum of Nature; Institut Polaire Francais Paul-Emile Victor, Brest, France</t>
  </si>
  <si>
    <t>We thank the over-wintering team members for their field assistance and fellowship during EPONTA programmes and the Astrolabe polar ship crew. We also thank Louise Oriol (Laboratoire d'Oceanographie Biologique de Banyuls, Banyuls-sur-Mer, France) for providing the nutrient data and Melanie Simard (Institut des Sciences de la Mer, Universitedu Quebec a Rimouski, Canada) for providing cell enumeration. We acknowledge Dr Leanne Armand and an anonymous reviewer for their valuable suggestions and the journal Antarctic Science for giving approval to reproduce Fig. 2i k. We thank the Natural Sciences and Engineering Research Council of Canada and the Canadian Museum of Nature for research grants to Michel Poulin. Funds and logistic assistance in the field were supported by the Institut Polaire Francais Paul-Emile Victor, Brest, France.</t>
  </si>
  <si>
    <t>10.3402/polar.v30i0.5910</t>
  </si>
  <si>
    <t>WOS:000298039700022</t>
  </si>
  <si>
    <t>Singh, SM; Yadav, LS; Singh, SK; Singh, P; Singh, PN; Ravindra, R</t>
  </si>
  <si>
    <t>Singh, Shiv Mohan; Yadav, Lal Sahab; Singh, Sanjay Kumar; Singh, Purnima; Singh, Paras Nath; Ravindra, Rasik</t>
  </si>
  <si>
    <t>Phosphate solubilizing ability of two Arctic Aspergillus niger strains</t>
  </si>
  <si>
    <t>Phosphate; Arctic; fungi; Aspergillus</t>
  </si>
  <si>
    <t>ROCK PHOSPHATE; GROWTH</t>
  </si>
  <si>
    <t>Many filamentous fungi were isolated from the soils of Ny-Alesund, Spitsbergen, Svalbard, and were screened in vitro for their phosphate solubilizing ability. Two strains of Aspergillus niger showed good tricalcium phosphate (TCP) solubilizing ability in Pikovskaya's medium. The TCP solubilization index was calculated at varying levels of pH and temperatures. The ability of Aspergillus niger strain-1 to solubilize and release inorganic-P was 285 mu g ml(-1), while Aspergillus niger strain-2 solubilized 262 mu g ml(-1) from 0.5% TCP after seven days. This is the first report of TCP solubilization by Arctic strains that may serve as very good phosphate solubilizers in the form of biofertilizer.</t>
  </si>
  <si>
    <t>[Singh, Shiv Mohan; Ravindra, Rasik] Natl Ctr Antarctic &amp; Ocean Res, Vasco Da Gama 403804, Goa, India; [Yadav, Lal Sahab; Singh, Sanjay Kumar; Singh, Paras Nath] Agharkar Res Inst, Pune 411004, Maharashtra, India; [Singh, Purnima] Birla Inst Technol &amp; Sci Pilani, Zuarinagar 403726, Goa, India</t>
  </si>
  <si>
    <t>Ministry of Earth Sciences (MoES) - India; National Centre for Polar and Ocean Research (NCPOR); Department of Science &amp; Technology (India); Agharkar Research Institute (ARI); Birla Institute of Technology &amp; Science Pilani (BITS Pilani)</t>
  </si>
  <si>
    <t>Singh, SM (corresponding author), Natl Ctr Antarctic &amp; Ocean Res, Vasco Da Gama 403804, Goa, India.</t>
  </si>
  <si>
    <t>smsingh@ncaor.org</t>
  </si>
  <si>
    <t>Singh, Avtar/L-5584-2019; KUMAR, SANJAY/IYS-9415-2023; SINGH, SANJAY K/HIR-6999-2022; Singh, Sanjay Prithviraj/IQV-1492-2023; singh, krishna pal/JPL-4447-2023</t>
  </si>
  <si>
    <t>Singh, Avtar/0000-0002-5184-9085; KUMAR, SANJAY/0000-0002-9473-8078; Singh, Sanjay Prithviraj/0000-0001-5043-8762;</t>
  </si>
  <si>
    <t>Department of Science and Technology, Government of India</t>
  </si>
  <si>
    <t>Department of Science and Technology, Government of India(Department of Science &amp; Technology (India))</t>
  </si>
  <si>
    <t>We are highly indebted to Dr Shailesh Nayak, Secretary of the Ministry of Earth Sciences, for encouragement and facilities. We are also thankful to the directors of the Agharkar Research Institute and the Birla Institute of Technology and Science for facilities. SKS and PS are thankful to the Department of Science and Technology, Government of India, for financial support. Thanks are also due to Dr Nikolay Vassilev and anonymous reviewer for their valuable suggestions to improve the quality of the manuscript.</t>
  </si>
  <si>
    <t>10.3402/polar.v30i0.7283</t>
  </si>
  <si>
    <t>WOS:000298039700011</t>
  </si>
  <si>
    <t>Stichbury, G; Brabyn, L; Green, TGA; Cary, C</t>
  </si>
  <si>
    <t>Stichbury, Glen; Brabyn, Lars; Green, T. G. Allan; Cary, Craig</t>
  </si>
  <si>
    <t>Spatial modelling of wetness for the Antarctic Dry Valleys</t>
  </si>
  <si>
    <t>GIS; water; Antarctica; remote sensing</t>
  </si>
  <si>
    <t>DRAINAGE NETWORKS; FLOW</t>
  </si>
  <si>
    <t>This paper describes a method used to model relative wetness for part of the Antarctic Dry Valleys using Geographic Information Systems (GIS) and remote sensing. The model produces a relative index of liquid water availability using variables that influence the volume and distribution of water. Remote sensing using Moderate Resolution Imaging Spectroradiometer (MODIS) images collected over four years is used to calculate an average index of snow cover and this is combined with other water sources such as glaciers and lakes. This water source model is then used to weight a hydrological flow accumulation model that uses slope derived from Light Detection and Ranging (LIDAR) elevation data. The resulting wetness index is validated using three-dimensional visualization and a comparison with a high-resolution Advanced Land Observing Satellite image that shows drainage channels. This research demonstrates that it is possible to produce a wetness model of Antarctica using data that are becoming widely available.</t>
  </si>
  <si>
    <t>[Stichbury, Glen; Brabyn, Lars] Univ Waikato, Dept Geog Tourism &amp; Environm Planning, Hamilton 3240, New Zealand; [Green, T. G. Allan; Cary, Craig] Univ Waikato, Dept Biol Sci, Hamilton 3240, New Zealand</t>
  </si>
  <si>
    <t>University of Waikato; University of Waikato</t>
  </si>
  <si>
    <t>Brabyn, L (corresponding author), Univ Waikato, Dept Geog Tourism &amp; Environm Planning, Private Bag 3105, Hamilton 3240, New Zealand.</t>
  </si>
  <si>
    <t>larsb@waikato.ac.nz</t>
  </si>
  <si>
    <t>Brabyn, Lars/N-1479-2016</t>
  </si>
  <si>
    <t>Brabyn, Lars/0000-0002-3400-6182; Cary, Stephen/0000-0002-2876-2387</t>
  </si>
  <si>
    <t>special International Polar Year; Foundation for Research Science and Technology, New Zealand; University of Waikato</t>
  </si>
  <si>
    <t>special International Polar Year; Foundation for Research Science and Technology, New Zealand(New Zealand Foundation for Research, Science and Technology); University of Waikato</t>
  </si>
  <si>
    <t>The authors would like to thank the two anonymous reviewers for their very helpful questions and suggestions. This research was supported by special International Polar Year funding from the Foundation for Research Science and Technology, New Zealand. Antarctic New Zealand provided logistical support for fieldwork in the study area. Gateway Antarctica (University of Antarctica), in particular Irfon Jones and Bryan Storey, assisted with data compilation. Ian Hogg (University of Waikato) and Ashley Sparrow (University of Nevada) provided conceptual advice on abiotic and biotic constraints for Antarctic terrestrial biology. The University of Waikato provided a Master's scholarship and facilities to support this research.</t>
  </si>
  <si>
    <t>10.3402/polar.v30i0.6330</t>
  </si>
  <si>
    <t>WOS:000298039700019</t>
  </si>
  <si>
    <t>Trani, M; Falco, P; Zambianchi, E</t>
  </si>
  <si>
    <t>Trani, Marilisa; Falco, Pierpaolo; Zambianchi, Enrico</t>
  </si>
  <si>
    <t>Near-surface eddy dynamics in the Southern Ocean</t>
  </si>
  <si>
    <t>Antarctic Circumpolar Current; eddy fluxes; Global Drifter Program data; Lagrangian oceanography; Helmholtz decomposition</t>
  </si>
  <si>
    <t>ANTARCTIC CIRCUMPOLAR CURRENT; MEAN FLOW; DRIFTER OBSERVATIONS; NORTH-ATLANTIC; DEACON CELL; HEAT-FLUX; CIRCULATION; DECOMPOSITION; PACIFIC; MODEL</t>
  </si>
  <si>
    <t>The Antarctic Circumpolar Current (ACC) is a crucial component of the global ocean conveyor belt, acting as a zonal link among the major ocean basins but, to some extent, limiting meridional exchange and tending to isolate the ocean south of it from momentum and heat income. In this work we investigate one of the most important mechanisms contributing to the poleward transfer of properties in the Southern Ocean, that is the eddy component of the dynamics. For this particular purpose, observations obtained from near-surface drifters have been used: they represent a very useful data set to analyse the eddy field because of their ability to catch a large number of scales of motion while providing a quasi-synoptic coverage of the investigated area. Estimates of the eddy heat and momentum fluxes are carried out using data taken from the Global Drifter Program databank; they refer to Surface Velocity Program drifter trajectories collected in the area south of 358S between 1995 and 2006. Eddy kinetic energies, variance ellipses, momentum and heat fluxes have been calculated using the pseudo-Eulerian method, showing patterns in good agreement with those present in the literature based on observational and model data, although there are some quantitative differences. The eddy fluxes have been separated into their rotational and divergent portions, the latter being responsible for the meridional transports. The associated zonal and depth-exponentially integrated meridional heat transport exhibits values spanning over a range between -0.4 PW and -1.1 PW in the ACC region, consistent with previous estimates.</t>
  </si>
  <si>
    <t>[Trani, Marilisa; Falco, Pierpaolo; Zambianchi, Enrico] Parthenope Univ Naples, Ctr Direzionale, Dept Environm Sci, IT-80143 Naples, Italy; [Trani, Marilisa] Univ Siena, Doctoral Sch Polar Sci, IT-53100 Siena, Italy</t>
  </si>
  <si>
    <t>Parthenope University Naples; University of Siena</t>
  </si>
  <si>
    <t>Trani, M (corresponding author), Parthenope Univ Naples, Ctr Direzionale, Dept Environm Sci, Isola C4, IT-80143 Naples, Italy.</t>
  </si>
  <si>
    <t>marilisa.trani@uniparthenope.it</t>
  </si>
  <si>
    <t>zambianchi, enrico/KGK-8209-2024</t>
  </si>
  <si>
    <t>zambianchi, enrico/0000-0001-5474-7466; Falco, Pierpaolo/0000-0002-5130-5440</t>
  </si>
  <si>
    <t>Italian National Programme for Antarctic Research</t>
  </si>
  <si>
    <t>The authors warmly thank Giuseppe Buffoni for the fundamental support given to resolve the Helmholtz decomposition and Arnold L. Gordon for useful comments on an earlier version of this work. This article greatly benefited from the insightful input of an anonymous reviewer. This work was partly funded by the Italian National Programme for Antarctic Research. SVP drifter data have been kindly provided by NOAA's Atlantic Oceanographic and Meteorological Laboratory in Miami.</t>
  </si>
  <si>
    <t>10.3402/polar.v30i0.11203</t>
  </si>
  <si>
    <t>WOS:000298956700002</t>
  </si>
  <si>
    <t>Vera, ML</t>
  </si>
  <si>
    <t>Vera, Maria Luisa</t>
  </si>
  <si>
    <t>Colonization and demographic structure of Deschampsia antarctica and Colobanthus quitensis along an altitudinal gradient on Livingston Island, South Shetland Islands, Antarctica</t>
  </si>
  <si>
    <t>Antarctic vascular plants; altitude and habitat effect; colonization; population structure</t>
  </si>
  <si>
    <t>FLOWERING PLANTS; VASCULAR PLANTS; CLIMATE-CHANGE; REPRODUCTION; GROWTH; RADIATION; MOUNTAINS</t>
  </si>
  <si>
    <t>The colonization capacity and demographic structure of populations of Deschampsia antarctica and Colobanthus quitensis were studied in different microhabitats between 10 and 147 m a.s.l. on Livingston Island, South Shetland Islands, near the Spanish Antarctic base Juan Carlos I, in February 2002. At the highest site (147 m a.s.l.), mean temperatures were about 1 degrees C lower than at sea level. Both species are less common in inland areas and at the highest altitudes only occur at restricted sites that are frequently snow-free in the early austral summer. The diameters of the largest plants (C. quitensis cushions 7-8 cm; D. antarctica tufts 10-11 cm) in the populations growing at the highest altitudes (110 and 147 m a.s.l.) suggest that these populations were established about 24-28 years ago. The largest diameter plants (Deschampsia 20 cm; Colobanthus 18 cm) were found at the lowest altitudes on deep soil. The presence of numerous seedlings and young individuals on the periphery of populations established several years ago or at recently colonized sites suggests an active process of expansion. There were more emerged seedlings of C. quitensis than of D. antarctica, but the density of established individuals was higher for D. antarctica, suggesting these species have different demographic strategies.</t>
  </si>
  <si>
    <t>Univ Oviedo, Dept Organisms &amp; Syst Biol, ES-33071 Oviedo, Spain</t>
  </si>
  <si>
    <t>University of Oviedo</t>
  </si>
  <si>
    <t>Vera, ML (corresponding author), Univ Oviedo, Dept Organisms &amp; Syst Biol, Catedrat Rodrigo Uria S-N, ES-33071 Oviedo, Spain.</t>
  </si>
  <si>
    <t>mlvera@uniovi.es</t>
  </si>
  <si>
    <t>Vera-de la Puente, Maria Luisa/0000-0001-9332-5020</t>
  </si>
  <si>
    <t>Spanish Ministry of Science and Technology; Interministerial Commission of Science and Technology [Ant99-0680-C02-01]</t>
  </si>
  <si>
    <t>Spanish Ministry of Science and Technology(Spanish Government); Interministerial Commission of Science and Technology(Consejo Interinstitucional de Ciencia y Tecnologia (CICYT))</t>
  </si>
  <si>
    <t>Many thanks to the members of the 2001-02 ECOTER expedition, coordinated by L. Garcia Sancho, for their help and support and all the staff of the Spanish Antarctic base Juan Carlos I for their cooperation and hospitality. I am grateful to J. Lopez Martinez for providing the base map used and to M. Fernandez Marquez for assistance drawing the distribution map. I thank J. L. Acuna, R. Anadon and C. Fernandez Gonzalez for their valuable comments and suggestions. Finally, I am very grateful to Rod Seppelt for his encouragement, interest and inestimable help in the revision of this manuscript and to anonymous reviewers who have also provided helpful comments. Financial support was provided by the Spanish Ministry of Science and Technology and the Interministerial Commission of Science and Technology (grant no. Ant99-0680-C02-01).</t>
  </si>
  <si>
    <t>10.3402/polar.v30i0.7146</t>
  </si>
  <si>
    <t>WOS:000298039700015</t>
  </si>
  <si>
    <t>Willmes, S; Adams, S; Schröder, D; Heinemann, G</t>
  </si>
  <si>
    <t>Willmes, Sascha; Adams, Susanne; Schroeder, David; Heinemann, Guenther</t>
  </si>
  <si>
    <t>Spatio-temporal variability of polynya dynamics and ice production in the Laptev Sea between the winters of 1979/80 and 2007/08</t>
  </si>
  <si>
    <t>Polynya dynamics; ice production; sea-ice remote sensing</t>
  </si>
  <si>
    <t>PASSIVE-MICROWAVE DATA; ARCTIC-OCEAN; ROSS SEA; COASTAL POLYNYAS; AMSR-E; THICKNESS; SATELLITE; ANTARCTICA; ALASKAN; LAYER</t>
  </si>
  <si>
    <t>Polynyas in the Laptev Sea are examined with respect to recurrence and interannual wintertime ice production. We use a polynya classification method based on passive microwave satellite data to derive daily polynya area from long-term sea-ice concentrations. This provides insight into the spatial and temporal variability of open-water and thin-ice regions on the Laptev Sea Shelf. Using thermal infrared satellite data to derive an empirical thin-ice distribution within the thickness range from 0 to 20 cm, we calculate daily average surface heat loss and the resulting wintertime ice formation within the Laptev Sea polynyas between 1979 and 2008 using reanalysis data supplied by the National Centers for Environmental Prediction, USA, as atmospheric forcing. Results indicate that previous studies significantly overestimate the contribution of polynyas to the ice production in the Laptev Sea. Average wintertime ice production in polynyas amounts to approximately 55 km(3) +/- 9 27% and is mostly determined by the polynya area, wind speed and associated large-scale circulation patterns. No trend in ice production could be detected in the period from 1979/80 to 2007/08.</t>
  </si>
  <si>
    <t>[Willmes, Sascha; Adams, Susanne; Heinemann, Guenther] Univ Trier, Dept Environm Meteorol, DE-54286 Trier, Germany; [Schroeder, David] UCL, Ctr Polar Observat &amp; Modelling, London WC1E 6BT, England</t>
  </si>
  <si>
    <t>Universitat Trier; University of London; University College London</t>
  </si>
  <si>
    <t>Willmes, S (corresponding author), Univ Trier, Dept Environm Meteorol, Behringstr 21, DE-54286 Trier, Germany.</t>
  </si>
  <si>
    <t>Willmes, Sascha/J-5796-2012</t>
  </si>
  <si>
    <t>Heinemann, Gunther/0000-0002-4831-9016</t>
  </si>
  <si>
    <t>German Ministry for Education and Research [0360639E]</t>
  </si>
  <si>
    <t>German Ministry for Education and Research(Federal Ministry of Education &amp; Research (BMBF))</t>
  </si>
  <si>
    <t>We acknowledge that the constructive comments of two anonymous reviewers helped to improve our manuscript significantly. We are also grateful to Stefan Kern and Thorsten Markus for contributing valuable information and discussions. Sea-ice concentrations and AMSR-E brightness temperature data were provided by the National Snow and Ice Data Center, Boulder, CO, USA. MODIS thermal infrared satellite data were acquired from NASA's Level 1 and LAADS and meteorological reanalysis data from the NCEP/DOE. This work is supported by the German Ministry for Education and Research under grant no. 0360639E. Collaboration with project partners of the System Laptev Sea interdisciplinary research programme (Alfred Wegener Institute, Bremerhaven, Germany; GEOMAR, Kiel, Germany) and Russian colleagues from the Arctic and Antarctic Research Institute and the Otto Schmidt Laboratory for Polar and Marine Research, St. Petersburg, Russia is kindly acknowledged.</t>
  </si>
  <si>
    <t>10.3402/polar.v30i0.5971</t>
  </si>
  <si>
    <t>WOS:000298040800005</t>
  </si>
  <si>
    <t>Yu, LJ; Zhang, ZH; Zhou, MY; Zhong, SY; Sun, B; Hsu, HM; Gao, ZQ; Wu, HD; Ban, JM</t>
  </si>
  <si>
    <t>Yu, Lejiang; Zhang, Zhanhai; Zhou, Mingyu; Zhong, Shiyuan; Sun, Bo; Hsu, Hsiaoming; Gao, Zhiqiu; Wu, Huiding; Ban, Junmei</t>
  </si>
  <si>
    <t>The intraseasonal variability of winter semester surface air temperature in Antarctica</t>
  </si>
  <si>
    <t>Antarctic climate; surface air temperature; intraseasonal variability; Antarctic Oscillation</t>
  </si>
  <si>
    <t>OUTGOING LONGWAVE RADIATION; NINO-SOUTHERN OSCILLATION; LOW-FREQUENCY VARIABILITY; SEA-ICE EXTENT; CIRCUMPOLAR WAVE; INTERANNUAL VARIABILITY; SUMMER MONSOON; EL-NINO; TEMPORAL VARIABILITY; AMERICAN MODES</t>
  </si>
  <si>
    <t>This study investigates systematically the intraseasonal variability of surface air temperature over Antarctica by applying empirical orthogonal function (EOF) analysis to the National Centers for Environmental Prediction, US Department of Energy, Reanalysis 2 data set for the period of 1979 through 2007. The results reveal the existence of two major intraseasonal oscillations of surface temperature with periods of 26 - 30 days and 14 days during the Antarctic winter season in the region south of 60 degrees S. The first EOF mode shows a nearly uniform spatial pattern in Antarctica and the Southern Ocean associated with the Antarctic Oscillation. The mode-1 intraseasonal variability of the surface temperature leads that of upper atmosphere by one day with the largest correlation at 300-hPa level geopotential heights. The intraseasonal variability of the mode-1 EOF is closely related to the variations of surface net longwave radiation the total cloud cover over Antarctica. The other major EOF modes reveal the existence of eastward propagating phases over the Southern Ocean and marginal region in Antarctica. The leading two propagating modes respond to Pacific-South American modes. Meridional winds induced by the wave train from the tropics have a direct influence on the surface air temperature over the Southern Ocean and the marginal region of the Antarctic continent.</t>
  </si>
  <si>
    <t>[Yu, Lejiang; Zhang, Zhanhai; Zhou, Mingyu; Sun, Bo; Wu, Huiding] Polar Res Inst China, Shanghai 200136, Peoples R China; [Yu, Lejiang] Nanjing Univ Informat Sci &amp; Technol, Appl Hydrometeorol Res Inst, Nanjing 210044, Jiangsu, Peoples R China; [Zhong, Shiyuan] Michigan State Univ, E Lansing, MI 48824 USA; [Hsu, Hsiaoming; Ban, Junmei] Natl Ctr Atmospher Res, Boulder, CO 80307 USA; [Zhou, Mingyu; Gao, Zhiqiu] Chinese Acad Sci, Inst Atmospher Phys, State Key Lab Atmospher Boundary Layer Phys &amp; Atm, Beijing 100029, Peoples R China</t>
  </si>
  <si>
    <t>Polar Research Institute of China; Nanjing University of Information Science &amp; Technology; Michigan State University; National Center Atmospheric Research (NCAR) - USA; Chinese Academy of Sciences; Institute of Atmospheric Physics, CAS</t>
  </si>
  <si>
    <t>Yu, LJ (corresponding author), Polar Res Inst China, 451 Jinqiao Rd, Shanghai 200136, Peoples R China.</t>
  </si>
  <si>
    <t>yulejiang@pric.gov.cn</t>
  </si>
  <si>
    <t>LAPC, IAP/AAI-6991-2020; LIU, JIALIN/JXN-8034-2024; Gao, Zhiqiu/AAJ-6362-2020; sun, bo/JFA-9978-2023</t>
  </si>
  <si>
    <t>LAPC, IAP/0000-0002-0025-3484; Gao, Zhiqiu/0000-0001-8256-005X;</t>
  </si>
  <si>
    <t>National Natural Science Foundation of China [40233032-40640420556]; Polar Science Strategy Research Foundation of China [20080218]; Major State Basic Research Development Program of China (973 Program) [2010CB950301]; Ministry of Science and Technology of China [2006BAB18B03, 2006BAB18B05]; US National Science Foundation</t>
  </si>
  <si>
    <t>National Natural Science Foundation of China(National Natural Science Foundation of China (NSFC)); Polar Science Strategy Research Foundation of China; Major State Basic Research Development Program of China (973 Program)(National Basic Research Program of China); Ministry of Science and Technology of China(Ministry of Science and Technology, China); US National Science Foundation(National Science Foundation (NSF))</t>
  </si>
  <si>
    <t>This study was supported by the National Natural Science Foundation of China (grant no. 40233032-40640420556), the Polar Science Strategy Research Foundation of China (grant no. 20080218), the Major State Basic Research Development Program of China (973 Program; grant no. 2010CB950301) and the Ministry of Science and Technology of China (grant nos. 2006BAB18B03 and 2006BAB18B05). The National Center for Atmospheric Research is sponsored by the US National Science Foundation.</t>
  </si>
  <si>
    <t>10.3402/polar.v30i0.6039</t>
  </si>
  <si>
    <t>WOS:000298039700020</t>
  </si>
  <si>
    <t>Yu, LJ; Zhang, ZH; Zhong, SY; Zhou, MY; Gao, ZQ; Wu, HD; Sun, B</t>
  </si>
  <si>
    <t>Yu, Lejiang; Zhang, Zhanhai; Zhong, Shiyuan; Zhou, Mingyu; Gao, Zhiqiu; Wu, Huiding; Sun, Bo</t>
  </si>
  <si>
    <t>An inter-comparison of six latent and sensible heat flux products over the Southern Ocean</t>
  </si>
  <si>
    <t>Latent heat flux; sensible heat flux; Southern Ocean</t>
  </si>
  <si>
    <t>AIR-SEA FLUXES; BULK AERODYNAMIC ALGORITHMS; SURFACE TURBULENT HEAT; GLOBAL ATMOSPHERE; NCEP-NCAR; WARM POOL; DATA SETS; PART I; ECMWF; PARAMETERIZATION</t>
  </si>
  <si>
    <t>The latent heat fluxes (LHF) and sensible heat fluxes (SHF) over the Southern Ocean from six different data sets are inter-compared for the period 1988-2000. The six data sets include three satellite-based products, namely, the second version of the Goddard Satellite-Based Surface Turbulent Fluxes data set (GSSTF-2), the third version of the Hamburg Ocean Atmosphere Parameters and Fluxes from Satellite Data (HOAPS-3) and the Japanese Ocean Fluxes Data Sets with Use of Remote Sensing Observations (J-OFURO); two global reanalysis products, namely, the National Centers for Environmental Prediction-Department of Energy Reanalysis 2 data set (NCEP-2) and the European Centre for Medium-Range Weather Forecasts 40 Year Re-analysis data set (ERA-40); and the Objectively Analyzed Air-Sea Fluxes for the Global Oceans data set (OAFlux). All these products reveal a similar pattern in the averaged flux fields. The zonal mean LHF fields all exhibit a continuous increase equatorward. With an exception of HOAPS-3, the zonal mean SHF fields display a minimum value near 50 degrees S, increasing both pole -and equatorward. The differences in the standard deviation for LHF are larger among the six data products than the differences for SHF. Over the regions where the surface fluxes are significantly influenced by the Antarctic Oscillation and the Pacific-South American teleconnection, the values and distributions of both LHF and SHF are consistent among the six products. It was found that the spatial patterns of the standard deviations and trends of LHF and SHF can be explained primarily by sea-air specific humidity and temperature differences; wind speed plays a minor role.</t>
  </si>
  <si>
    <t>[Yu, Lejiang] Nanjing Univ Informat Sci &amp; Technol, Appl Hydrometeorol Res Inst, Nanjing 210044, Jiangsu, Peoples R China; [Yu, Lejiang; Zhang, Zhanhai; Zhou, Mingyu; Wu, Huiding; Sun, Bo] Polar Res Inst China, Shanghai 200136, Peoples R China; [Zhong, Shiyuan] Michigan State Univ, Dept Geog, E Lansing, MI 48824 USA; [Gao, Zhiqiu] Chinese Acad Sci, Inst Atmospher Phys, Beijing 100029, Peoples R China</t>
  </si>
  <si>
    <t>Nanjing University of Information Science &amp; Technology; Polar Research Institute of China; Michigan State University; Chinese Academy of Sciences; Institute of Atmospheric Physics, CAS</t>
  </si>
  <si>
    <t>Yu, LJ (corresponding author), Nanjing Univ Informat Sci &amp; Technol, Appl Hydrometeorol Res Inst, 219 Ningliu Rd, Nanjing 210044, Jiangsu, Peoples R China.</t>
  </si>
  <si>
    <t>yulejiang@sina.com.cn</t>
  </si>
  <si>
    <t>LAPC, IAP/AAI-6991-2020; Gao, Zhiqiu/AAJ-6362-2020; LIU, JIALIN/JXN-8034-2024; sun, bo/JFA-9978-2023</t>
  </si>
  <si>
    <t>National Natural Science Foundation of China [40930848, 41106164]; National High-Tech Research and Development Program of China [2008AA09Z117]; Ministry of Science and Technology of China [2006BAB18B03, 2006BAB18B05]</t>
  </si>
  <si>
    <t>National Natural Science Foundation of China(National Natural Science Foundation of China (NSFC)); National High-Tech Research and Development Program of China(National High Technology Research and Development Program of China); Ministry of Science and Technology of China(Ministry of Science and Technology, China)</t>
  </si>
  <si>
    <t>This study was supported by the key project of the National Natural Science Foundation of China (grant number: 40930848 and 41106164), the National High-Tech Research and Development Program of China (grant number: 2008AA09Z117) and the Ministry of Science and Technology of China (grant number: 2006BAB18B03 and 2006BAB18B05). The GSSTF-2 LHF were obtained from the GSSTF-2 website (http://apdrc.soest.hawaii.edu/datadoc/gsstf_mon.php). The HOAPS-3 heat fluxes were obtained from the HOAPS website (http://www.hoaps.zmaw.de/). The J-OFURO heat fluxes were obtained from the J-OFURO website (http://dtsv.scc.u-tokai.ac.jp/j-ofuro/). The OAFlux heat fluxes were obtained from the OAFlux website (http://oaflux.whoi.edu/). The NCEP-2 data were obtained from the Climate Diagnostics Center (http://www.esrl.noaa.gov/psd/). The ECMWF re-analysis data were obtained from the website http://data-portal.ecmwf.int/data/d/era40_moda/.</t>
  </si>
  <si>
    <t>10.3402/polar.v30i0.10167</t>
  </si>
  <si>
    <t>WOS:000298039700003</t>
  </si>
  <si>
    <t>Shih, CY; Nyquist, LE; Reese, Y; Misawa, K</t>
  </si>
  <si>
    <t>Shih, C. -Y.; Nyquist, L. E.; Reese, Y.; Misawa, K.</t>
  </si>
  <si>
    <t>Sm-Nd and Rb-Sr studies of lherzolitic shergottite Yamato 984028</t>
  </si>
  <si>
    <t>POLAR SCIENCE</t>
  </si>
  <si>
    <t>Mars; Lherzolitic shergottite; Sm-Nd; Rb-Sr; Crystallization age</t>
  </si>
  <si>
    <t>ISOTOPIC SYSTEMATICS; SAMARIUM-NEODYMIUM; PETROGENESIS; PETROLOGY; ABUNDANCES; CHRONOLOGY; METEORITES; STRONTIUM; CHEMISTRY; EVOLUTION</t>
  </si>
  <si>
    <t>The distribution pattern of the trace elements Rb, Sr, Nd and Sm for Yamato 984028 (Y984028) is consistent with its classification as a lherzolitic shergottite. The Sm-Nd mineral isochron of this lherzolitic shergottite defines its age to be 170 +/- 10 Ma for an initial epsilon(Nd) = +11.6 +/- 0.2. The corresponding Rb-Sr mineral isochron yields an identical age of 170 +/- 9 Ma and an initial Sr-87/Sr-86 = 0.710389 +/- 0.000029. The concordant Sm-Nd and Rb-Sr isochron ages suggest that Y984028 crystallized 170 +/- 7 Ma ago contemporaneously with five other lherzolitic shergottites and ten enriched basaltic and olivine-phyric shergottites. The age, Sr- and Nd- isotopic signatures further suggest that Y984028 and Y-793605, and also probably Y000097 could come from a single magmatic body. Using a two-stage evolution model, the time-averaged Rb-87/Sr-86-ratio for the mantle source of the parent magma of Y984028 is similar to 0.182, within the range of 0.178-0.182 that has been reported for other lherzolitic shergottites. The corresponding time-averaged Sm-147/Nd-144-ratio for the source mantle of its parent magma is super-chondritic at similar to 0.217, implying its source was a depleted mafic part of the Martian mantle similar to that of diabasic shergottite Northwest Africa (NWA) 1460. Rb, Sr, Sm and Nd distributions in Y984028 are likely produced by pyroxene and olivine accumulation, probably from a NWA 1460-like parental melt, in an intrusive magma body. (C) 2010 Elsevier B.V. and NIPR. All rights reserved.</t>
  </si>
  <si>
    <t>[Shih, C. -Y.] ESCG Jacobs Sverdrup, Houston, TX 77258 USA; [Nyquist, L. E.] NASA, Johnson Space Ctr, Houston, TX 77058 USA; [Reese, Y.] ESCG MEI Technol, Houston, TX 77058 USA; [Misawa, K.] Grad Univ Adv Studies SOKENDAI, Natl Inst Polar Res, Tachikawa, Tokyo 1908518, Japan</t>
  </si>
  <si>
    <t>National Aeronautics &amp; Space Administration (NASA); Research Organization of Information &amp; Systems (ROIS); National Institute of Polar Research (NIPR) - Japan; Graduate University for Advanced Studies - Japan</t>
  </si>
  <si>
    <t>Shih, CY (corresponding author), ESCG Jacobs Sverdrup, Mail Code JE-23,POB 58477, Houston, TX 77258 USA.</t>
  </si>
  <si>
    <t>chi-yu.shih-1@nasa.gov; laurence.e.nyquist@nasa.gov; young.reese-1@nasa.gov; misawa@nipr.ac.jp</t>
  </si>
  <si>
    <t>National Institute of Polar Research of Japan; NASA Cosmochemistry Program; NIPR Research Project Funds, P8 (Evolution of the Early Solar System Materials); [17540464]</t>
  </si>
  <si>
    <t>National Institute of Polar Research of Japan; NASA Cosmochemistry Program(National Aeronautics &amp; Space Administration (NASA)); NIPR Research Project Funds, P8 (Evolution of the Early Solar System Materials);</t>
  </si>
  <si>
    <t>We appreciate two anonymous referees for their thorough reviews and comments which greatly improve the manuscript. We thank the National Institute of Polar Research of Japan for providing the Y984028 sample for this study and for its financial support for presenting the preliminary results at the 32nd Symposium on Antarctic Meteorites in Tokyo. Financial support for the isotopic studies was provided by funding from the NASA Cosmochemistry Program to L. Nyquist, a Grand-in-Aid for Scientific Research (No. 17540464) to K. Misawa, and by NIPR Research Project Funds, P8 (Evolution of the Early Solar System Materials).</t>
  </si>
  <si>
    <t>1873-9652</t>
  </si>
  <si>
    <t>1876-4428</t>
  </si>
  <si>
    <t>POLAR SCI</t>
  </si>
  <si>
    <t>Polar Sci.</t>
  </si>
  <si>
    <t>10.1016/j.polar.2010.05.004</t>
  </si>
  <si>
    <t>V40AA</t>
  </si>
  <si>
    <t>WOS:000209450300002</t>
  </si>
  <si>
    <t>Dyar, MD; Glotch, TD; Lane, MD; Wopenka, B; Tucker, JM; Seaman, SJ; Marchand, GJ; Klima, R; Hiroi, T; Bishop, JL; Pieters, C; Sunshine, J</t>
  </si>
  <si>
    <t>Dyar, M. D.; Glotch, T. D.; Lane, M. D.; Wopenka, B.; Tucker, J. M.; Seaman, S. J.; Marchand, G. J.; Klima, R.; Hiroi, T.; Bishop, J. L.; Pieters, C.; Sunshine, J.</t>
  </si>
  <si>
    <t>Spectroscopy of Yamato 984028</t>
  </si>
  <si>
    <t>Y-984028; Reflectance spectroscopy; Thermal emission spectroscopy; Mossbauer spectroscopy; Raman spectroscopy; Transmission spectroscopy</t>
  </si>
  <si>
    <t>MARTIAN METEORITE; MOSSBAUER-SPECTROSCOPY; MINERAL CHEMISTRY; ABSORPTION-BANDS; OXYGEN FUGACITY; OLIVINE; MANTLE; CLINOPYROXENE; DECONVOLUTION; REFLECTANCE</t>
  </si>
  <si>
    <t>Comprehensive spectroscopic characterization of interior and exterior chips of the lherzolitic shergottite Y-984028 has been performed using results from six techniques. Data from UV-visible-near-IR reflectance spectra, thermal (mid-IR) emission spectra, attenuated total reflectance (ATR) spectra, transmission FTIR spectra, Raman microprobe spectra, and Mossbauer spectra of whole rock and mineral separates from this meteorite are integrated and compared. Five of these analytical techniques accurately determined the similar to Fo(65) composition of the olivine within +/- 10 mol%. Both transmission FTIR and ATR spectra show broad features near 3500 cm(-1) indicating the presence of OH/H2O that does not arise from surface water adsorption. The brown color of the Y-984028 olivine is likely due to the presence of nanophase metallic iron particles (npFe(0)) dispersed throughout the olivine during a major shock event on Mars. Y-984028 olivine also contains a significant amount of Fe3+, but this cannot be distinguished from Fe3+ that is present in pyroxene and possibly clay minerals. This meteorite and the nakhlite MIL03346 are the two most oxidized of the SNC meteorites studied to date, with Fe3+ contents consistent with high-temperature equilibration near the QFM oxygen buffer. (C) 2010 Elsevier B.V. and NIPR. All rights reserved.</t>
  </si>
  <si>
    <t>[Dyar, M. D.; Tucker, J. M.; Marchand, G. J.] Mt Holyoke Coll, Dept Astron, S Hadley, MA 01075 USA; [Glotch, T. D.] SUNY Stony Brook, Dept Geosci, Stony Brook, NY 11794 USA; [Lane, M. D.] Planetary Sci Inst, Tucson, AZ 85719 USA; [Wopenka, B.] Washington Univ, Dept Earth &amp; Planetary Sci, St Louis, MO 63130 USA; [Wopenka, B.] Washington Univ, McDonnell Ctr Space Sci, St Louis, MO 63130 USA; [Seaman, S. J.] Univ Massachusetts, Dept Geosci, Amherst, MA 01003 USA; [Klima, R.; Hiroi, T.; Pieters, C.] Brown Univ, Dept Geol Sci, Providence, RI 02912 USA; [Bishop, J. L.] NASA, Ames Res Ctr, SETI Inst, Mountain View, CA 94043 USA; [Sunshine, J.] Univ Maryland, Dept Astron, College Pk, MD 20742 USA</t>
  </si>
  <si>
    <t>Mount Holyoke College; State University of New York (SUNY) System; State University of New York (SUNY) Stony Brook; Washington University (WUSTL); Washington University (WUSTL); University of Massachusetts System; University of Massachusetts Amherst; Brown University; National Aeronautics &amp; Space Administration (NASA); NASA Ames Research Center; University System of Maryland; University of Maryland College Park</t>
  </si>
  <si>
    <t>Dyar, MD (corresponding author), Mt Holyoke Coll, Dept Astron, S Hadley, MA 01075 USA.</t>
  </si>
  <si>
    <t>mdyar@mtholyoke.edu</t>
  </si>
  <si>
    <t>Glotch, Timothy D/B-6829-2008</t>
  </si>
  <si>
    <t>Sunshine, Jessica/0000-0002-9413-8785; Hiroi, Takahiro/0000-0003-2866-9091; Bishop, Janice/0000-0002-6681-9954</t>
  </si>
  <si>
    <t>NASA grant from Mars Fundamental Research Program [NNX07AR66G]; NASA grant [NNG06GJ31G]</t>
  </si>
  <si>
    <t>NASA grant from Mars Fundamental Research Program; NASA grant(National Aeronautics &amp; Space Administration (NASA))</t>
  </si>
  <si>
    <t>We thank the curators of the Antarctic Meteorite Research Center, National Institute of Polar Research, Japan for the loan of this sample. Helpful suggestions from two anonymous reviewers and the editor greatly improved this manuscript. We are grateful for support from NASA grant NNX07AR66G from the Mars Fundamental Research Program. Reflectance spectra were acquired using the NASA/Keck RELAB, a multi-user facility supported by NASA grant NNG06GJ31G.</t>
  </si>
  <si>
    <t>10.1016/j.polar.2010.06.001</t>
  </si>
  <si>
    <t>WOS:000209450300003</t>
  </si>
  <si>
    <t>Niihara, T; Imae, N; Misawa, K; Kojima, H</t>
  </si>
  <si>
    <t>Niihara, Takafumi; Imae, Naoya; Misawa, Keiji; Kojima, Hideyasu</t>
  </si>
  <si>
    <t>Petrology and mineralogy of the shock-melted H chondrites Yamato-791088 and LaPaz Ice Field 02240</t>
  </si>
  <si>
    <t>Y-791088; LAP 02240; Ordinary chondrite; Shock melt; Petrogenesis</t>
  </si>
  <si>
    <t>IMPACT-MELT; PORTALES VALLEY; ROSE-CITY; CHICO; FRACTIONATION; METAMORPHISM; SIDEROPHILE; CHONDRULES; ORIGIN; METAL</t>
  </si>
  <si>
    <t>We studied the petrology and mineralogy of two types of shock-melted H chondrites: Yamato (Y)-791088 and LaPaz Ice Field (LAP) 02240. Y-791088, which consists of numerous coarse-grained relict phases (40%) and euhedral fine-grained minerals solidified from the shock melt (60%), experienced incomplete melting; a quiescent melt is indicated by the existence of abundant relict phases, pseudomorphed chondrules, and two types of glass. LAP 02240, which consists of small amounts of coarse-grained relict phases (similar to 10%) and fine-grained minerals (similar to 90%), experienced near-complete melting; a rapidly cooled mobilized melt is indicated by the homogeneous compositions of glass and opaque veins. The homogeneous compositions of relict olivines indicate that the precursors of both chondrites were equilibrated H chondrites. The melting features of Y-791088 and LAP 02240 are very similar to those of Y-790964 (LL) and the fine-grained lithology of Y-790519 (LL), respectively. These two types of shock-melted ordinary chondrites possibly formed in situ during dike formation. The quiescent melt is thought to have originated from the injection of shock-heated chondrite blocks into mobilized melt. These two types of melting could have occurred during dike formation on the H chondrite parent body. The textures of the two types of shock melts were not simply affected by the degree of shock melting: they were also controlled by the degree of shear stress. (C) 2010 Elsevier B.V. and NIPR. All rights reserved.</t>
  </si>
  <si>
    <t>[Niihara, Takafumi; Imae, Naoya; Misawa, Keiji; Kojima, Hideyasu] Grad Univ Adv Studies, Dept Polar Sci, Tachikawa, Tokyo 1908518, Japan; [Imae, Naoya; Misawa, Keiji; Kojima, Hideyasu] Natl Inst Polar Res, Antarctic Meteorite Res Ctr, Tachikawa, Tokyo 1908518, Japan</t>
  </si>
  <si>
    <t>Graduate University for Advanced Studies - Japan; Research Organization of Information &amp; Systems (ROIS); National Institute of Polar Research (NIPR) - Japan</t>
  </si>
  <si>
    <t>Niihara, T (corresponding author), Grad Univ Adv Studies, Dept Polar Sci, 10-3 Midori Cho, Tachikawa, Tokyo 1908518, Japan.</t>
  </si>
  <si>
    <t>niihara@nipr.ac.jp</t>
  </si>
  <si>
    <t>Niihara, Takafumi/0000-0001-9535-6728</t>
  </si>
  <si>
    <t>NIPR Project Funds (Evolution of the Early Solar System Materials); Center for the Promotion of Integrated Sciences (CPIS) of Sokendai</t>
  </si>
  <si>
    <t>NIPR Project Funds (Evolution of the Early Solar System Materials); Center for the Promotion of Integrated Sciences (CPIS) of Sokendai(Graduate University for Advanced Studies - Japan)</t>
  </si>
  <si>
    <t>We are grateful to the NASA Meteorite Working Group for providing the sample of LAP 02240. We also thank Drs. K. Righter, M. Kimura, T. Noguchi, and N. Tomioka for providing useful information on shock-melted ordinary chondrites, and Dr. L. E. Nyquist for making valuable comments regarding the manuscript. Substantive reviews by Alan Rubin and an anonymous reviewer improved and clarified the paper. We are grateful to associate-editor T. Noguchi for his judicious handling of the manuscript. This research was partly supported by NIPR Project Funds, No. 8 (Evolution of the Early Solar System Materials). This work was supported in part by the Center for the Promotion of Integrated Sciences (CPIS) of Sokendai.</t>
  </si>
  <si>
    <t>10.1016/j.polar.2010.08.003</t>
  </si>
  <si>
    <t>WOS:000209450300005</t>
  </si>
  <si>
    <t>Gwal, AK; Jain, A</t>
  </si>
  <si>
    <t>Gwal, A. K.; Jain, Amit</t>
  </si>
  <si>
    <t>GPS scintillation studies in the arctic region during the first winter-phase 2008 Indian Arctic Expedition</t>
  </si>
  <si>
    <t>Polar ionosphere; Scintillation; Polar patches; Auroral oval</t>
  </si>
  <si>
    <t>TOTAL ELECTRON-CONTENT; PATCHES; IRREGULARITIES; FLUCTUATIONS; SATELLITE</t>
  </si>
  <si>
    <t>We present the results of scintillation studies based on the data obtained during the first winter-phase Indian Arctic Expedition in March 2008 at the Indian Himadri Station, Ny-angstrom lesund (78.9 degrees N, 11.9 degrees E), in the vicinity of the daytime cusp and under the nightside polar cap. A global-positioning-system ionospheric scintillation and TEC monitor (GISTM) receiver (model GSV4004A) was used to record scintillations and the total electron content (TEC). The polar ionosphere is more sensitive to phase than to amplitude scintillations. Occurrence of amplitude scintillation is confined to well-defined regions, while phase scintillation shows a strong characterization both in magnetic latitude and magnetic local time. Occurrence of amplitude and phase scintillation increases during disturbed compared with quiet days. During disturbed days, the phase-scintillation region is displaced towards lower latitudes, following the auroral oval. The observed noon peak in scintillation occurrence may indicate that the irregularities that generate scintillation are caused by precipitation in the daytime cusp/cleft region. A significant enhancement of the TEC and the rate of change of the TEC index (ROTI) signified transits of polar-cap patches across different satellite trajectories during geomagnetic storms. We found that patches are most likely to occur when IMF Bz is southward and/or K-p &gt; 4. Loss of signal lock was more for the L2 signal than for L1, and shows a maximum in the morning sector. Positional errors tend to increase during disturbed conditions. (C) 2010 Elsevier B.V. and NIPR. All rights reserved.</t>
  </si>
  <si>
    <t>[Gwal, A. K.; Jain, Amit] Barkatullah Univ, Dept Phys, Space Sci Lab, Bhopal 462026, India</t>
  </si>
  <si>
    <t>Barkatullah University</t>
  </si>
  <si>
    <t>Gwal, AK (corresponding author), Barkatullah Univ, Dept Phys, Space Sci Lab, Bhopal 462026, India.</t>
  </si>
  <si>
    <t>sslakg@gmail.com</t>
  </si>
  <si>
    <t>National Centre for Antarctic and Ocean Research (NCAOR), GOA; Ministry of Earth Science of Government of India</t>
  </si>
  <si>
    <t>The authors thank the National Centre for Antarctic and Ocean Research (NCAOR), GOA, and the Ministry of Earth Science of the Government of India for financial and logistic support under the Arctic Space Weather Program. Kp-index data were downloaded from http://spidr.ngdc.noaa.gov/spidr. The authors also thank the National Space Science Data Center (NSSDC) for the software used for calculating the auroral oval positions, and thank the model's authors, Holzworth and Meng. Authors thank reviewers for their specific suggestions in improving the content of the paper.</t>
  </si>
  <si>
    <t>10.1016/j.polar.2010.08.001</t>
  </si>
  <si>
    <t>WOS:000209450300006</t>
  </si>
  <si>
    <t>Salunkhe, D; Tiwari, N; Walujkar, S; Bhadekar, R</t>
  </si>
  <si>
    <t>Salunkhe, Dipti; Tiwari, Neha; Walujkar, Sandeep; Bhadekar, Rama</t>
  </si>
  <si>
    <t>Halomonas sp nov., an EPA-Producing Mesophilic Marine Isolate from the Indian Ocean</t>
  </si>
  <si>
    <t>POLISH JOURNAL OF MICROBIOLOGY</t>
  </si>
  <si>
    <t>Gammaproteobacteria; Halomonas bolviensis; Alpha-linoleic acid; nutraceuticals; polyunsaturated fatty acid</t>
  </si>
  <si>
    <t>POLYUNSATURATED FATTY-ACIDS; EICOSAPENTAENOIC ACID; ANTARCTIC BACTERIUM; FISH; INTESTINES; GROWTH</t>
  </si>
  <si>
    <t>Marine samples from the Indian Ocean were used to isolate and characterize the organisms with respect to their fatty acid profiles. Six mesophilic isolates (MBRI 6, MBRI 8, MBRI 9, MBRI 10, MBRI 12 and MBRI 13) were obtained from three different water samples. They were i) Gram-negative, ii) catalase positive, iii) produced acid from glucose and maltose, iv) tolerated 5 to 15% NaCl v) except MBRI 9, showed pH tolerance in the range of 5.0 to 9.0 with optimum pH 7.0 to 8.0 v) grew well at 30 degrees C and were able to grow in the range of 15 to 45 degrees C. EPA, an essential omega-3 fatty acid, was produced by these isolates in the range of 12 to 60% at 30 degrees C. MBRI 12 was found to be a potential source as it produced 60% EPA. This isolate was further identified by partial 16S rDNA sequencing and phylogenetic analysis revealed that the strain belonged to Gammaproteobacteria and was closely related to Halomonas bolviensis (96% sequence similarity, 570 bp). Thus a new genus of Halomonas may be included in earlier reported EPA- producing prokaryotic genera affiliated to the Gammaproteobacteria.</t>
  </si>
  <si>
    <t>[Salunkhe, Dipti; Tiwari, Neha; Bhadekar, Rama] Bharati Vidyapeeth Deemed Univ, Dept Microbial Biotechnol, Rajiv Gandhi Inst IT &amp; Biotechnol, Pune 411046, Maharashtra, India; [Walujkar, Sandeep] Univ Pune, Natl Ctr Cell Sci, Pune 411007, Maharashtra, India</t>
  </si>
  <si>
    <t>Bharati Vidyapeeth Deemed University; Department of Biotechnology (DBT) India; National Centre for Cell Science, Pune (NCCS); Savitribai Phule Pune University</t>
  </si>
  <si>
    <t>Bhadekar, R (corresponding author), Bharati Vidyapeeth Deemed Univ, Dept Microbial Biotechnol, Rajiv Gandhi Inst IT &amp; Biotechnol, Pune 411046, Maharashtra, India.</t>
  </si>
  <si>
    <t>neeta.bhadekar@gmail.com</t>
  </si>
  <si>
    <t>Bhadekar, Rama/GPC-4358-2022</t>
  </si>
  <si>
    <t>Department of Biotechnology; New Delhi, Government of India</t>
  </si>
  <si>
    <t>Department of Biotechnology; New Delhi, Government of India(Department of Biotechnology (DBT) India)</t>
  </si>
  <si>
    <t>This work is financially supported by the Department of Biotechnology; New Delhi, Government of India. We are thankful to Honorable Dr. Shivajirao Kadam, V.C., Bharati Vidyapeeth Deemed University and Dr. R.M. Kothari, Principal, Rajiv Gandhi Institute of IT and Biotechnology, (BVDU) for providing facilities to undertake this work. We are also thankful to Dr. D.P. Nerkar and Ms. V. V. Jadhav for their assistance.</t>
  </si>
  <si>
    <t>POLSKIE TOWARZYSTWO MIKROBIOLOGOW-POLISH SOCIETY OF MICROBIOLOGISTS</t>
  </si>
  <si>
    <t>CHELMSKA STR 30-34, WARSAW, 00-725, POLAND</t>
  </si>
  <si>
    <t>1733-1331</t>
  </si>
  <si>
    <t>2544-4646</t>
  </si>
  <si>
    <t>POL J MICROBIOL</t>
  </si>
  <si>
    <t>Pol. J. Microbiol.</t>
  </si>
  <si>
    <t>10.33073/pjm-2011-010</t>
  </si>
  <si>
    <t>742FY</t>
  </si>
  <si>
    <t>WOS:000288927900010</t>
  </si>
  <si>
    <t>Wong, CMVL; Tam, HK; Alias, SA; González, M; González-Rocha, G; Domínguez-Yévenes, M</t>
  </si>
  <si>
    <t>Wong, Clemente Michael Vui Ling; Tam, Heng Keat; Alias, Siti Aisyah; Gonzalez, Marcelo; Gonzalez-Rocha, Gerardo; Dominguez-Yevenes, Mariana</t>
  </si>
  <si>
    <t>Pseudomonas and Pedobacter isolates from King George Island inhibited the growth of foodborne pathogens</t>
  </si>
  <si>
    <t>Antarctic; antimicrobial; foodborne pathogen; 16S rDNA sequence</t>
  </si>
  <si>
    <t>PSYCHROTROPHIC BACTERIA; ANTIBIOTIC-RESISTANCE; MICROORGANISMS; TEMPERATURE; DIVERSITY</t>
  </si>
  <si>
    <t>This report describes the isolation and characterization of bacterial isolates that produce anti-microbial compounds from one of the South Shetland Islands, King George Island, Antarctica. Of a total 2465 bacterial isolates recovered from the soil samples, six (BG5, MTC3, WEK1, WEA1, MA2 and CG21) demonstrated inhibitory effects on the growth of one or more Gram-negative or Gram-positive indicator foodborne pathogens (i.e. Escherichia coli 0157: H7, Salmonella spp., Klebsiella pneumoniae, Enterobacter cloacae, Vibrio parahaemolyticus and Bacillus cereus). Upon examination of their 16S rRNA sequences and biochemical profiles, the six Antarctic bacterial isolates were identified as Gram-negative Pedobacter cryoconitis (BG5), Pseudomonas migulae (WEK1), P. corrugata (WEA1) and Pseudomonas spp. (MTC3, MA2, and CG21). While inhibitors produced by strains BG5, MTC3 and CG21 were sensitive to protease treatment, those produced by strains WEK1, WEA1, and MA2 were insensitive to catalase, lipase, alpha-amylase, and protease enzymes. In addtion, the six Antarctic bacterial isolates appeared to be resistant to multiple antibiotics.</t>
  </si>
  <si>
    <t>[Wong, Clemente Michael Vui Ling; Tam, Heng Keat] Univ Malaysia Sabah, Biotechnol Res Inst, Kota Kinabalu 88400, Sabah, Malaysia; [Alias, Siti Aisyah] Univ Malaya, Fac Sci, Inst Biol Sci, Kuala Lumpur 50603, Malaysia; [Gonzalez, Marcelo] Inst Antartico Chileno, Dept Cient, Punta Arenas, Chile; [Gonzalez-Rocha, Gerardo; Dominguez-Yevenes, Mariana] Univ Concepcion, Fac Ciencias Biol, Dept Microbiol, Concepcion, Chile</t>
  </si>
  <si>
    <t>Universiti Malaysia Sabah; Universiti Malaya; Universidad de Concepcion</t>
  </si>
  <si>
    <t>Wong, CMVL (corresponding author), Univ Malaysia Sabah, Biotechnol Res Inst, Jalan UMS, Kota Kinabalu 88400, Sabah, Malaysia.</t>
  </si>
  <si>
    <t>michaelw@ums.edu.my</t>
  </si>
  <si>
    <t>Gonzalez, Gerardo/KHE-5265-2024; González, Marcelo/ABF-1450-2020; Bello-Toledo, H/AAA-2387-2022; FASc, SITI AISYAH A. HJ ALIAS/B-9785-2010; Wong, Clemente Michael Vui Ling/M-8372-2013; Gonzalez-Rocha, Gerardo/AAP-1793-2021</t>
  </si>
  <si>
    <t>Bello-Toledo, H/0000-0002-9277-4681; FASc, SITI AISYAH A. HJ ALIAS/0000-0002-6759-5745; Wong, Clemente Michael Vui Ling/0000-0003-3431-8896; Gonzalez-Rocha, Gerardo/0000-0003-2351-1236; Gonzalez, Marcelo/0000-0001-9986-9504; Tam, Heng-Keat/0000-0002-7894-1957</t>
  </si>
  <si>
    <t>Ministry of Science, Technology and Innovation (MOSTI), Malaysia; Instituto Antartico Chileno (INACH), Chile</t>
  </si>
  <si>
    <t>Ministry of Science, Technology and Innovation (MOSTI), Malaysia(Ministry of Energy, Science, Technology, Environment and Climate Change (MESTECC), Malaysia); Instituto Antartico Chileno (INACH), Chile</t>
  </si>
  <si>
    <t>This work was funded by the Malaysian Antarctic Research Programme (MARP), Ministry of Science, Technology and Innovation (MOSTI), Malaysia and Instituto Antartico Chileno (INACH), Chile. The authors would like to thank personnel at INACH especially Jose Retamales, Marcelo Leppe, Paulina Julio Rocamora, Veronica Vallejos, Cristian Rodrigo and Patricio Barraza for advice and logistic support.</t>
  </si>
  <si>
    <t>10.2478/v10183-011-0003-y</t>
  </si>
  <si>
    <t>WOS:000288909300001</t>
  </si>
  <si>
    <t>Chwedorzewska, KJ; Bednarek, PT</t>
  </si>
  <si>
    <t>Chwedorzewska, Katarzyna J.; Bednarek, Piotr T.</t>
  </si>
  <si>
    <t>Genetic and epigenetic studies on populations of Deschampsia antarctica Desv. from contrasting environments on King George Island</t>
  </si>
  <si>
    <t>Antarctic; South Shetland Islands; Deschampsia antarctica; genetic/methylation diversity</t>
  </si>
  <si>
    <t>METHYLATION; STRESS; PLANT; AFLP; DIVERSITY</t>
  </si>
  <si>
    <t>Populations of Antarctic hairgrass Deschampsia antarctica Desv. from King George Island exhibit variation in many traits. The reason for that is not evident and could be addressed to variable environmental conditions. Obviously, phenotypic variation could be due to stable or temporal changes in expression pattern as the result of adaptation. Stable changes could be due to mutations or site DNA methylation variation that modified expression pattern. Recently, metAFLP approach was proposed to study such effects. A variant of methylation sensitive AFLP (Amplified Fragment Length Polymorphism), based on the isoschizomeric combinations Acc65I/MseI and KpnI/MseI was applied to analyze the sequence and site DNA methylation differences between two D. antarctica populations exhibiting morphological dissimilarities. Both DNA sequence mutations and site methylation pattern alternations were detected among and within analyzed populations. It is assumed that such changes might have originated as the response to environmental conditions that induced site methylation alternations leading to phenotypic variation of D. antarctica populations from South Shetland Islands.</t>
  </si>
  <si>
    <t>[Chwedorzewska, Katarzyna J.] Polish Acad Sci, Zaklad Biol Antarktyki, PL-02141 Warsaw, Poland; [Bednarek, Piotr T.] Inst Hodowli &amp; Aklimatyzacji Roslin, PL-05870 Blonie, Radzikow, Poland</t>
  </si>
  <si>
    <t>Polish Academy of Sciences; Institute of Plant Breeding &amp; Acclimatization</t>
  </si>
  <si>
    <t>Chwedorzewska, KJ (corresponding author), Polish Acad Sci, Zaklad Biol Antarktyki, Ul Ustrzycka 10-12, PL-02141 Warsaw, Poland.</t>
  </si>
  <si>
    <t>kchwedorzewska@go2.pl; p.bednarek@ihar.edu.pl</t>
  </si>
  <si>
    <t>Chwedorzewska, Katarzyna/M-9721-2019; Chwedorzewska, Katarzyna J/A-9480-2008; Bednarek, Piotr/A-9523-2009</t>
  </si>
  <si>
    <t>Chwedorzewska, Katarzyna/0000-0001-6860-3666; Bednarek, Piotr Tomasz/0000-0002-1553-8378</t>
  </si>
  <si>
    <t>[IPY/27/2007]</t>
  </si>
  <si>
    <t>We would like to thank two anonymous reviewers for constructive advice that has improved our paper. This research was supported by grant IPY/27/2007.</t>
  </si>
  <si>
    <t>10.2478/v10183-011-0005-9</t>
  </si>
  <si>
    <t>WOS:000288909300002</t>
  </si>
  <si>
    <t>Maestro, A; López-Martínez, J</t>
  </si>
  <si>
    <t>Maestro, Adolfo; Lopez-Martinez, Jeronimo</t>
  </si>
  <si>
    <t>Cenozoic stress field in the southwestern Antarctic Peninsula from brittle mesostructures in Wright Peninsula, Adelaide Island</t>
  </si>
  <si>
    <t>Antarctica; Adelaide Island; fore-arc basin; palaeostress orientation</t>
  </si>
  <si>
    <t>EARTHQUAKE FOCAL MECHANISMS; ICELAND SEISMIC ZONE; REGIONAL JOINT SETS; PALEOSTRESS FIELDS; TECTONIC EVOLUTION; TRANSFORM MOTION; CENTRAL SPAIN; BASIN SPAIN; GRAHAM LAND; EBRO BASIN</t>
  </si>
  <si>
    <t>Palaeostresses inferred from brittle mesostructures in the southern Wright Peninsula show a stress field characterized by compressional, strike-slip and extensional regime stress states. The compressional stress (sigma(1)) shows a main NW-SE direction and the extensional stress (sigma(3)) shows a relative scattering with two main modes: NE-SW to E-W and NW-SE. The maximum horizontal stress (sigma(y)) has a bimodal distribution with NW-SE and NE-SW direction. The compressional orientation is related to subduction of the former Phoenix Plate under the Antarctic Plate from the Early Jurassic to the Early Miocene. Extensional structures within a broad-scale compressional stress field can be related to both the decrease in relative stress magnitudes from active margins to intraplate regions and stretching processes occurring in eastern Adelaide Island, which develop a fore-arc or intra-arc basin from the Early Miocene. Stress states with NW-SE-trending sigma(1) are compatible with the dominant pattern established for the western Antarctic Peninsula. NW-SE orientations of sigma(3) suggest the occurrence of tectonic forces coming from fore-arc extension along the western Antarctic Peninsula.</t>
  </si>
  <si>
    <t>[Maestro, Adolfo] Inst Geol &amp; Minero Espana, Madrid 28003, Spain; [Maestro, Adolfo; Lopez-Martinez, Jeronimo] Univ Autonoma Madrid, Fac Ciencias, Dept Geol &amp; Geoquim, E-28049 Madrid, Spain</t>
  </si>
  <si>
    <t>Maestro, A (corresponding author), Inst Geol &amp; Minero Espana, Rios Rosas 23, Madrid 28003, Spain.</t>
  </si>
  <si>
    <t>a.maestro@igme.es; jeronimo.lopez@uam.es</t>
  </si>
  <si>
    <t>Maestro, Adolfo/K-2434-2014; Maestro, Adolfo/ABG-7268-2021; Lopez-Martinez, Jeronimo/C-5744-2011</t>
  </si>
  <si>
    <t>Maestro, Adolfo/0000-0002-7474-725X; Lopez-Martinez, Jeronimo/0000-0002-1750-8287</t>
  </si>
  <si>
    <t>Spanish Ministry of Education and Science [CGL2005-03256/ANT, CGL2007-28812E/ANT]</t>
  </si>
  <si>
    <t>Spanish Ministry of Education and Science(Spanish Government)</t>
  </si>
  <si>
    <t>The field work was carried out thanks to the logistic support of the British Antarctic Survey. The authors express their gratitude to the director and the logistic personnel of the British Antarctic Survey, and the Rothera station commander. We also acknowledge the very interesting comments of Professor Antoni K. Tokarski, who have improved this paper. This work was supported by the projects CGL2005-03256/ANT and CGL2007-28812E/ANT of the Spanish Ministry of Education and Science.</t>
  </si>
  <si>
    <t>10.2478/v10183-011-0006-8</t>
  </si>
  <si>
    <t>Green Published, Green Submitted</t>
  </si>
  <si>
    <t>WOS:000288909300004</t>
  </si>
  <si>
    <t>Bölter, M</t>
  </si>
  <si>
    <t>Boelter, Manfred</t>
  </si>
  <si>
    <t>Soil development and soil biology on King George Island, Maritime Antarctic</t>
  </si>
  <si>
    <t>Antarctic; King George Island; soil development; soil microbial communities</t>
  </si>
  <si>
    <t>DESCHAMPSIA-ANTARCTICA; ARCTOWSKI-STATION; VASCULAR PLANTS; ORGANIC-MATTER; CASEY STATION; COLOBANTHUS-QUITENSIS; PEDOGENIC ZONATION; PENGUIN ROOKERIES; ALGAL COMMUNITIES; MACHU-PICCHU</t>
  </si>
  <si>
    <t>This review covers aspects of soil science and soil biology of Antarctica with special focus on King George Island, South Shetlands, the martitime Antarctic. New approaches in soil descriptions and soil taxonomy show a great variety of soil types, related to different parent material, mainly volcanic origin, as well as on influences by soil biological processes. The spread of higher rooting plants attract microorganisms, nematodes and collemboles which in turn build new organic material and change the environment for further successors. Microbial communities are drivers with respect to metabolic and physiological properties indicating a great potential in a changing environment. The literature review also shows a lack of investigations on processes of carbon and nitrogen turnover, despite wide knowledge on its standing stock in different environments. Further, only few reports were found on the processes of humification. Only few data are available which can be regarded as long term monitorings, hence, such projects need to be established in order to follow ecological changes.</t>
  </si>
  <si>
    <t>Univ Kiel, Inst Polar Ecol, D-24148 Kiel, Germany</t>
  </si>
  <si>
    <t>University of Kiel</t>
  </si>
  <si>
    <t>Bölter, M (corresponding author), Univ Kiel, Inst Polar Ecol, Wischhofstr 1-3, D-24148 Kiel, Germany.</t>
  </si>
  <si>
    <t>mboelter@ipoe.uni-kiel.de</t>
  </si>
  <si>
    <t>10.2478/v10183-011-0002-z</t>
  </si>
  <si>
    <t>781KE</t>
  </si>
  <si>
    <t>WOS:000291929700001</t>
  </si>
  <si>
    <t>Alstrup, V; Sochting, U</t>
  </si>
  <si>
    <t>Alstrup, Vagn; Sochting, Ulrik</t>
  </si>
  <si>
    <t>Massalongia olechiana (Massalongiaceae, Peltigerales), a new lichen species from the Antarctic</t>
  </si>
  <si>
    <t>Antarctic; lichens; lichenized ascomycetes; Massalongia</t>
  </si>
  <si>
    <t>A new species of lichenized ascomycete, Massalongia olechiana Alstrup et Sochting, sp. nov. (Massalongiaceae) is described from the South Shetland Islands and the Antarctic Peninsula. The species is distinguished by laminal isidia and 5-7-septate ascospores. The relationships with the other species of the genus are discussed. From Massalongia carnosa, recorded from both the Arctic and the Antarctic, the new species is distinguished by its lack of isidioid squamules and in having pluriseptate ascospores instead of 1-septate ascospores.</t>
  </si>
  <si>
    <t>[Alstrup, Vagn] Nat Hist Museum Denmark, Bot Garden &amp; Museum, DK-1123 Copenhagen K, Denmark; [Sochting, Ulrik] Univ Copenhagen, Dept Biol, DK-2100 Copenhagen O, Denmark</t>
  </si>
  <si>
    <t>University of Copenhagen</t>
  </si>
  <si>
    <t>Alstrup, V (corresponding author), Nat Hist Museum Denmark, Bot Garden &amp; Museum, Gothersgade 130, DK-1123 Copenhagen K, Denmark.</t>
  </si>
  <si>
    <t>vagna@snm.ku.dk; ulriks@bi.ku.dk</t>
  </si>
  <si>
    <t>Sochting, Ulrik/M-2886-2014</t>
  </si>
  <si>
    <t>Sochting, Ulrik/0000-0001-7122-9425</t>
  </si>
  <si>
    <t>10.2478/v10183-011-0011-y</t>
  </si>
  <si>
    <t>WOS:000291929700002</t>
  </si>
  <si>
    <t>Smykla, J; Krzewicka, B; Wilk, K; Emslie, SD; Sliwa, L</t>
  </si>
  <si>
    <t>Smykla, Jerzy; Krzewicka, Beata; Wilk, Karina; Emslie, Steven D.; Sliwa, Lucyna</t>
  </si>
  <si>
    <t>Additions to the lichen flora of Victoria Land, Antarctica</t>
  </si>
  <si>
    <t>Antarctica; Victoria Land; lichenized fungi; Ascomycota; penguin colonies</t>
  </si>
  <si>
    <t>LATITUDINAL GRADIENT; PENGUIN ROOKERIES; ROSS SEA; VEGETATION; CLASSIFICATION; ECOSYSTEMS; REVISION; SOUTHERN; ECOLOGY</t>
  </si>
  <si>
    <t>Lichens of relict penguin colonies and sites affected by active penguin colonies were investigated in Victoria Land, Ross Sea sector, continental Antarctica. A total of 17 coastal sites, seven in northern and ten in southern Victoria Land, have been investigated across 7 degrees of latitude from 71 degrees to 78 degrees S. Altogether 40 taxa of lichens have been identified. Four of the recorded species are new to the Antarctic - Caloplaca erecta, C. soropelta, C. tominii and Physcia tenella; two species are new to the Victoria Land area - Lecania nylanderiana and Lecanora polytropa. The first lichen records from Beaufort Island are also provided. Data presented here expand the knowledge on the occurrence, diversity and distribution of Victoria Land lichens.</t>
  </si>
  <si>
    <t>[Smykla, Jerzy] Polish Acad Sci, Inst Ochrony Przyrody, Zaklad Bioroznorodnosci, PL-31120 Krakow, Poland; [Krzewicka, Beata; Wilk, Karina; Sliwa, Lucyna] Polish Acad Sci, Inst Bot W Szafera, Pracownia Lichenol, PL-31512 Krakow, Poland; [Emslie, Steven D.] Univ N Carolina, Dept Biol &amp; Marine Biol, Wilmington, NC 28403 USA</t>
  </si>
  <si>
    <t>Polish Academy of Sciences; Institute of Nature Conservation - Polish Academy of Sciences; Polish Academy of Sciences; University of North Carolina; University of North Carolina Wilmington</t>
  </si>
  <si>
    <t>Smykla, J (corresponding author), Polish Acad Sci, Inst Ochrony Przyrody, Zaklad Bioroznorodnosci, Ul Mickiewicza 33, PL-31120 Krakow, Poland.</t>
  </si>
  <si>
    <t>smykla@iop.krakow.pl; b.krzewicka@botany.pl; k.wilk@botany.pl; emslies@uncw.edu; l.sliwa@botany.pl</t>
  </si>
  <si>
    <t>Krzewicka, Beata/AAB-3191-2021; Smykla, Jerzy/N-3288-2014</t>
  </si>
  <si>
    <t>Wilk, Karina/0000-0003-2094-7130; Smykla, Jerzy/0000-0001-8228-6695; Sliwa, Lucyna/0000-0002-7662-1415; Krzewicka, Beata/0000-0002-9478-0911</t>
  </si>
  <si>
    <t>National Science Foundation [ANT 0739575]; Polish Ministry of Science and Higher Education [2P04F00127, NN305376438]</t>
  </si>
  <si>
    <t>National Science Foundation(National Science Foundation (NSF)); Polish Ministry of Science and Higher Education(Ministry of Science and Higher Education, Poland)</t>
  </si>
  <si>
    <t>We dedicate this paper to Maria Agata Olech in recognition of her significant contribution to polar lichenology and extensive academic activity. Adam Flakus is thanked for TLC analysis and two reviewers for their constructive comments on the manuscript. Special thanks are due to Larry Coats for comradeship and assistance during field studies, and to personnel of the U.S. Antarctic Program at McMurdo Station and the Italian National Program for Antarctic Research (PNRA) at Mario Zucchelli Station at Terra Nova Bay for logistical aid. The field survey was made possible with funding to S. Emslie from the National Science Foundation (ANT 0739575) and through logistical support supplied by Raytheon Polar Services. This work was also supported by the Polish Ministry of Science and Higher Education within the program Supporting International Mobility of Scientists III edition project no. 2 and grants nos. 2P04F00127 and NN305376438 to J. Smykla.</t>
  </si>
  <si>
    <t>10.2478/v10183-011-0009-5</t>
  </si>
  <si>
    <t>WOS:000291929700003</t>
  </si>
  <si>
    <t>Gielwanowska, I; Bochenek, A; Gojlo, E; Górecki, R; Kellmann, W; Pastorczyk, M; Szczuka, E</t>
  </si>
  <si>
    <t>Gielwanowska, Irena; Bochenek, Anna; Gojlo, Ewa; Gorecki, Ryszard; Kellmann, Wioleta; Pastorczyk, Marta; Szczuka, Ewa</t>
  </si>
  <si>
    <t>Biology of generative reproduction of Colobanthus quitensis (Kunth) Bartl. from King George Island, South Shetland Islands</t>
  </si>
  <si>
    <t>Antarctic; Colobanthus quitensis; microsporogenesis; sexual reproduction; seed development</t>
  </si>
  <si>
    <t>ANTARCTIC VASCULAR PLANTS; DESCHAMPSIA-ANTARCTICA; VEGETATIVE NUCLEUS; PLUMBAGO-ZEYLANICA; POLLEN DEVELOPMENT; ULTRASTRUCTURE; CYTOSKELETON; ASSOCIATION; LOCALITIES; RADIATION</t>
  </si>
  <si>
    <t>Our macroscopic observations and microscopic studies conducted by means of a light microscope (LM) and transmission electron microscope (TEM) concerning the reproduction biology of Colobanthus quitensis (Caryophyllaceae) growing in natural conditions in the Antarctic and in a greenhouse in Olsztyn (northern Poland) showed that this plant develops two types of bisexual flowers: opening, chasmogamous flowers and closed, cleistogamous ones. Cleistogamy was caused by a low temperature, high air humidity and strong wind. A small number of microspores differentiated in the microsporangia of C. quitensis, which is typical of cleistogamous species. Microsporocytes, and later microspores, formed very thick callose walls. More than twenty spheroidal, polypantoporate pollen grains differentiated in the microsporangium. They germinated on the surface of receptive cells on the dry stigma of the gynoecium or inside the microsporangium. A monosporic embryo sac of the Polygonum type differentiated in the crassinucellar ovule. During this differentiation the nucellus tissue formed and stored reserve materials. In the development of generative cells, a male germ unit (MGU) with differentiated sperm cells was observed. The smaller cell contained mainly mitochondria, and the bigger one plastids. In the process of fertilization in C. quitensis only one nucleus of the sperm cell, without cytoplasm fragments, entered the egg cell, and the proembryo developed according to the Caryophyllad type. Almost all C. quitensis ovules developed and formed perispermic seeds with a completely differentiated embryo both under natural conditions in the Antarctic and in a greenhouse in Olsztyn.</t>
  </si>
  <si>
    <t>[Gielwanowska, Irena; Bochenek, Anna; Gojlo, Ewa; Gorecki, Ryszard; Kellmann, Wioleta; Pastorczyk, Marta] Uniwersytet Warminsko Mazurski Olsztynie, Katedra Fizjol &amp; Biotechnol Roslin, Wydzial Biol, PL-10719 Olsztyn, Poland; [Gielwanowska, Irena] Polish Acad Sci, Zaklad Biol Antarktyki, PL-02141 Warsaw, Poland; [Szczuka, Ewa] Uniwersytet Marii Curie Sklodowskiej, Zaklad Anat &amp; Cytol Roslin, PL-20033 Lublin, Poland</t>
  </si>
  <si>
    <t>Polish Academy of Sciences; Maria Curie-Sklodowska University</t>
  </si>
  <si>
    <t>Gielwanowska, I (corresponding author), Uniwersytet Warminsko Mazurski Olsztynie, Katedra Fizjol &amp; Biotechnol Roslin, Wydzial Biol, Ul Oczapowskiego 1A, PL-10719 Olsztyn, Poland.</t>
  </si>
  <si>
    <t>i.gielwanowska@uwm.edu.pl</t>
  </si>
  <si>
    <t>Gojlo, Ewa/KCL-0248-2024; Pastorczyk-Szlenkier, Marta/AAK-2859-2021</t>
  </si>
  <si>
    <t>Pastorczyk-Szlenkier, Marta/0000-0002-9747-8283; Gielwanowska, Irena/0000-0002-9001-1285; Gorecki, Ryszard/0000-0002-6751-3340; Szczuka, Ewa/0000-0002-0042-6656; Gojlo, Ewa/0000-0002-1250-9010</t>
  </si>
  <si>
    <t>10.2478/v10183-011-0008-6</t>
  </si>
  <si>
    <t>WOS:000291929700004</t>
  </si>
  <si>
    <t>Köhler, P; Olech, M</t>
  </si>
  <si>
    <t>Koehler, Piotr; Olech, Maria</t>
  </si>
  <si>
    <t>Polish botanical and mycological studies of the Antarctic terrestrial and fresh water ecosystems in 1977-2009: An overview</t>
  </si>
  <si>
    <t>Antarctic; plants; fungi</t>
  </si>
  <si>
    <t>KING-GEORGE-ISLAND; SOUTH-SHETLAND-ISLANDS; COLOBANTHUS-QUITENSIS; CLADONIA-MITIS; DIATOM COMMUNITIES; PENGUIN ROOKERIES; DEEP DEHYDRATION; USNEA-ANTARCTICA; LICHEN THALLUS; TRACE-ELEMENTS</t>
  </si>
  <si>
    <t>This paper recapitulates Polish botanical and mycological research on terrestrial and freshwater Antarctic ecosystems carried out between 1977 and 2009. The main results are briefly summarized. The references encompass nearly 200 papers on floristics, taxonomy, biogeography, ecology, cytology, biochemistry, physiology and genetics of lichens, mosses, fungi, algae and vascular plants inhabiting soils, rocks and inland waters in the Antarctic.</t>
  </si>
  <si>
    <t>[Koehler, Piotr; Olech, Maria] Uniwersytet Jagiellonski, Inst Bot, Zaklad Badan &amp; Dokumentacji Polarnej Prof Z Czepp, PL-31501 Krakow, Poland</t>
  </si>
  <si>
    <t>Jagiellonian University</t>
  </si>
  <si>
    <t>Köhler, P (corresponding author), Uniwersytet Jagiellonski, Inst Bot, Zaklad Badan &amp; Dokumentacji Polarnej Prof Z Czepp, Ul Kopernika 27, PL-31501 Krakow, Poland.</t>
  </si>
  <si>
    <t>piotr.kohler@uj.edu.pl; maria.olech@uj.edu.pl</t>
  </si>
  <si>
    <t>Kohler, Piotr/0000-0001-8713-0817</t>
  </si>
  <si>
    <t>10.2478/v10183-011-0010-z</t>
  </si>
  <si>
    <t>WOS:000291929700005</t>
  </si>
  <si>
    <t>Hospitaleche, CA; Jadwiszczak, P</t>
  </si>
  <si>
    <t>Acosta Hospitaleche, Carolina; Jadwiszczak, Piotr</t>
  </si>
  <si>
    <t>Enigmatic morphological disparity in tarsometatarsi of giant penguins from the Eocene of Antarctica</t>
  </si>
  <si>
    <t>Antarctic Peninsula; Eocene La Meseta Formation; penguins; Anthropornis; tarsometatarsi</t>
  </si>
  <si>
    <t>SEYMOUR ISLAND</t>
  </si>
  <si>
    <t>The only record of the Paleogene Antarctic Sphenisciformes comes from the Eocene La Meseta Formation (Seymour Island, Antarctic Peninsula). The analysis of tarsometatarsi attributed to the genus Anthropornis (giant penguins) from the Argentine, Polish and Swedish collections revealed an intriguing heterogeneity within these taxonomically important elements of the skeleton. The unique hypotarsal morphology challenges the current systematics of large-bodied penguins and sheds new light on their evolution.</t>
  </si>
  <si>
    <t>[Jadwiszczak, Piotr] Uniwersytet Bialymstoku, Inst Biol, PL-15950 Bialystok, Poland; [Acosta Hospitaleche, Carolina] Museo La Plata, Div Paleontol Vertebrados, La Plata, Buenos Aires, Argentina</t>
  </si>
  <si>
    <t>University of Bialystok; National University of La Plata; Museo La Plata</t>
  </si>
  <si>
    <t>Jadwiszczak, P (corresponding author), Uniwersytet Bialymstoku, Inst Biol, Ul Swierkowa 20B, PL-15950 Bialystok, Poland.</t>
  </si>
  <si>
    <t>acostacaro@fcnym.unlp.edu.ar; piotrj@uwb.edu.pl</t>
  </si>
  <si>
    <t>Jadwiszczak, Piotr/K-5136-2014; Acosta Hospitaleche, Carolina/E-5740-2017; Jadwiszczak, Piotr/P-4336-2019</t>
  </si>
  <si>
    <t>Acosta Hospitaleche, Carolina/0000-0002-2614-1448; Jadwiszczak, Piotr/0000-0002-5263-1125</t>
  </si>
  <si>
    <t>European Community [SETAF-4399]</t>
  </si>
  <si>
    <t>European Community</t>
  </si>
  <si>
    <t>We greatly appreciate a helpful review by Magdalena Borsuk-Bialynicka (Institute of Paleobiology, Polish Academy of Sciences, Warszawa). CAH acknowledges the Consejo Nacional de Investigaciones Cientificas y Tecnicas, and Universidad Nacional de La Plata for their constant support. PJ is grateful for the financial support through SYNTHESYS funding made available by the European Community - Research Infrastructure Action under the FP6 Structuring the European Research Area Programme; project SETAF-4399.</t>
  </si>
  <si>
    <t>10.2478/v10183-011-0013-9</t>
  </si>
  <si>
    <t>WOS:000291929700006</t>
  </si>
  <si>
    <t>Golemansky, V</t>
  </si>
  <si>
    <t>Golemansky, Vassil</t>
  </si>
  <si>
    <t>Coccidian parasites (Apicomplexa) of penguins (Pygoscelis ssp.) from Livingston Island and King George Island, the Antarctic</t>
  </si>
  <si>
    <t>Antarctic; Eucoccidiida; South Shetland Islands; coccidia; penguins</t>
  </si>
  <si>
    <t>The results of investigations on the coccidian parasites of three species of penguins (Pygoscelis antarctica, P. papua and P. adeliae), nesting at Livingston and King George Island (South Shetland Islands, the Antarctic) are presented. Three coccidian parasites: Eimeria pygosceli Golemansky, 2003, Eimeria sp. and Isospora sp. were identified in faecal samples from 360 examined birds. The total prevalence of coccidian parasites was high: about 35% in all of examined penguins. No host specificity was observed. It is attributed due to the close phylogenetic relations, common habitats and nesting territories, similar feeding and reproductive biology of the three penguin species. In more than 20 specimens of investigated penguins a high intensity of oocysts in their guano was observed (80-220 oocysts in one microscopic field at magnification of 150x) an indirect indication of the negative role of the coccidian infections on penguin populations.</t>
  </si>
  <si>
    <t>Inst Zool BAS, Sofia 1000, Bulgaria</t>
  </si>
  <si>
    <t>Golemansky, V (corresponding author), Inst Zool BAS, 1 Tsar Osvoboditel Blvd, Sofia 1000, Bulgaria.</t>
  </si>
  <si>
    <t>golemansky@zoology.bas.bg</t>
  </si>
  <si>
    <t>Bulgarian National Science Fund [B-1516/2005]</t>
  </si>
  <si>
    <t>Bulgarian National Science Fund(National Science Fund of Bulgaria)</t>
  </si>
  <si>
    <t>I would like to thank all my colleagues: R. Mecheva, N. Chipev, I. Pandourski, K. Dimitrov, E Trakiiska, I. Yankov and A. Kovachev from the Bulgarian Academy of Sciences, for the precise collection of the examined samples of the studied penguins from Livingston and King George Islands during their participation in the Bulgarian and Polish Antarctic expeditions. Dr. Roger Bamber (ARTOO) has kindly improved English through the manuscript. The study was supported by the Bulgarian National Science Fund (Grant B-1516/2005).</t>
  </si>
  <si>
    <t>10.2478/v10183-011-0018-4</t>
  </si>
  <si>
    <t>832JI</t>
  </si>
  <si>
    <t>WOS:000295800600004</t>
  </si>
  <si>
    <t>Jadwiszczak, P; Chapman, SD</t>
  </si>
  <si>
    <t>Jadwiszczak, Piotr; Chapman, Sandra D.</t>
  </si>
  <si>
    <t>The earliest fossil record of a medium-sized penguin</t>
  </si>
  <si>
    <t>Antarctic Peninsula; La Meseta Formation; Telm3; early Eocene; Sphenisciformes; humerus</t>
  </si>
  <si>
    <t>SEYMOUR ISLAND; EOCENE PENGUINS; ANTARCTICA; SPHENISCIFORMES; DIVERSITY; EVOLUTION; VALLEY; SHELF; AVES</t>
  </si>
  <si>
    <t>The fossil record of Antarctic Sphenisciformes dates as early as the late Palaeocene Cross Valley Formation, Seymour Island, Antarctic Peninsula. However, the best known Antarctic locality for early penguin remains (mainly isolated bones) is the Eocene La Meseta Formation that outcrops in the northeast of Seymour Island. The analysis of an unstudied set of specimens collected there by members of the British Antarctic Survey in 1989 has resulted in identification of a distal humerus from the unit Telm3 (early Eocene) of the formation that is the oldest known bone attributable to a medium-sized (in the context of the entire Cainozoic era) penguin. This find suggests that the origin of these birds, in conjunction with an increase in taxonomic diversity of the Eocene Sphenisciformes, was related to the Early Eocene Climatic Optimum (EECO) or, more probably, the early phase of subsequent cooling.</t>
  </si>
  <si>
    <t>[Jadwiszczak, Piotr] Uniwersytet Bialymstoku, Inst Biol, PL-15950 Bialystok, Poland; [Chapman, Sandra D.] Nat Hist Museum, Dept Palaeontol, London SW7 5BD, England</t>
  </si>
  <si>
    <t>University of Bialystok; Natural History Museum London</t>
  </si>
  <si>
    <t>piotrj@uwb.edu.pl; S.Chapman@nhm.ac.uk</t>
  </si>
  <si>
    <t>Jadwiszczak, Piotr/P-4336-2019; Jadwiszczak, Piotr/K-5136-2014</t>
  </si>
  <si>
    <t>Jadwiszczak, Piotr/0000-0002-5263-1125;</t>
  </si>
  <si>
    <t>European Community [GBTAF-987]</t>
  </si>
  <si>
    <t>We are very grateful to Martha Richter (Natural History Museum, London) for the information about the exact localization of the collecting station DJ 153 (same as her DJ 251). We greatly appreciate helpful reviews by Steven D. Emslie (University of North Carolina, Wilmington) and Magdalena Borsuk-Bialynicka (Institute of Paleobiology, Polish Academy of Sciences, Warszawa). PJ acknowledges the financial support through SYNTHESYS funding made available by the European Community - Research Infrastructure Action under the FP7 Structuring the European Research Area Programme; project GBTAF-987.</t>
  </si>
  <si>
    <t>POLISH ACAD SCIENCES</t>
  </si>
  <si>
    <t>PL DEFILAD 1, WARSZAWA, 00000, POLAND</t>
  </si>
  <si>
    <t>10.2478/v10183-011-0020-x</t>
  </si>
  <si>
    <t>WOS:000295800600005</t>
  </si>
  <si>
    <t>Gautam, S; Singh, J; Pant, AB</t>
  </si>
  <si>
    <t>Gautam, Sanghdeep; Singh, Jaswant; Pant, Aditya Bhushan</t>
  </si>
  <si>
    <t>Effect of UV-B radiations on the pigments of two Antarctic lichens of Schirmacher Oasis, East Antarctica</t>
  </si>
  <si>
    <t>Antarctica; UV-B radiation; lichens; carotenoids; phenolics; chlorophyll</t>
  </si>
  <si>
    <t>STRATOSPHERIC OZONE DEPLETION; ULTRAVIOLET-RADIATION; COLOBANTHUS-QUITENSIS; GENE-EXPRESSION; PLANTS; LEAF; BRYOPHYTES; STRESS; WATER</t>
  </si>
  <si>
    <t>Antarctic plants experience UV-B stress and for their survival they have been showing various adaptive strategies. The first line of defence is to screen UV-B radiation before it reaches the cell, then to minimize damage within the cells through other protective strategies, and finally to repair damage once it has occurred. A fifteen days experiment was designed to study lichen: Dermatocarpon sp. and Acarospora gwynnii under natural UV and below UV filter frames in the Indian Antarctic Station Maitri region of Schirmacher Oasis, East Antarctica. Changes in UV absorbing compounds, total phenolics, total carotenoids and chlorophyll content were studied. The change in total phenolics and total carotenoid content was significant in both Dermatocarpon sp. and A. gwynnii indicating that the increase in UV absorbing compounds, total phenolics and total carotenoid content act as a protective mechanism against the deleterious effect of UV-B radiations, whereas the change in chlorophyll content was not significant in both lichen species.</t>
  </si>
  <si>
    <t>[Gautam, Sanghdeep; Singh, Jaswant] Dr RML Avadh Univ, Dept Environm Sci, Faizabad 224001, Uttar Pradesh, India; [Pant, Aditya Bhushan] Indian Inst Toxicol Res, Lucknow, Uttar Pradesh, India</t>
  </si>
  <si>
    <t>Council of Scientific &amp; Industrial Research (CSIR) - India; CSIR - Indian Institute of Toxicology Research (IITR)</t>
  </si>
  <si>
    <t>Singh, J (corresponding author), Dr RML Avadh Univ, Dept Environm Sci, Faizabad 224001, Uttar Pradesh, India.</t>
  </si>
  <si>
    <t>jaswant1983@yahoo.co.in</t>
  </si>
  <si>
    <t>Pant, Aditya B/F-1267-2011</t>
  </si>
  <si>
    <t>Council of Scientific and Industrial Research (CSIR), New Delhi</t>
  </si>
  <si>
    <t>Council of Scientific and Industrial Research (CSIR), New Delhi(Council of Scientific &amp; Industrial Research (CSIR) - India)</t>
  </si>
  <si>
    <t>We would like to thank Council of Scientific and Industrial Research (CSIR), New Delhi for providing the financial aid. Thanks are also to two anonymous rewievers for their constructive comments.</t>
  </si>
  <si>
    <t>10.2478/v10183-011-0019-3</t>
  </si>
  <si>
    <t>WOS:000295800600006</t>
  </si>
  <si>
    <t>Jazdzewska, A; Krapp-Schickel, T</t>
  </si>
  <si>
    <t>Jazdzewska, Anna; Krapp-Schickel, Traudl</t>
  </si>
  <si>
    <t>New data on the distribution of stenothoid amphipods (Crustacea) from Scotia Arc, West Antarctic</t>
  </si>
  <si>
    <t>Antarctic; Scotia Arc; Amphipoda; Stenothoidae; taxonomy; distribution</t>
  </si>
  <si>
    <t>SCAPHODACTYLUS CRUSTACEA; SOUTHERN-OCEAN; GENUS; BIOGEOGRAPHY; PROBOLOIDES; METOPOIDES; TOROMETOPA; FAUNA</t>
  </si>
  <si>
    <t>This paper presents new records of stenothoids from the Scotia Arc (West Antarctic). Altogether twenty species were recorded, two of which are reported in the West Antarctic for the first time. In addition, two species are here recorded for the first time since their description. New data on distribution are supplemented by taxonomical remarks on the collected species.</t>
  </si>
  <si>
    <t>[Jazdzewska, Anna] Uniwersytet Lodzki, Zaklad Biol Polarnej &amp; Oceanobiol, PL-90237 Lodz, Poland; [Krapp-Schickel, Traudl] Forsch Museum A Koenig, D-53113 Bonn, Germany</t>
  </si>
  <si>
    <t>Jazdzewska, A (corresponding author), Uniwersytet Lodzki, Zaklad Biol Polarnej &amp; Oceanobiol, Ul Banacha 12-16, PL-90237 Lodz, Poland.</t>
  </si>
  <si>
    <t>jazdz@wp.pl; traudl.krapp@uni-bonn.de</t>
  </si>
  <si>
    <t>Jazdzewska, Anna/AAK-4697-2020</t>
  </si>
  <si>
    <t>Jazdzewska, Anna/0000-0003-2529-0641</t>
  </si>
  <si>
    <t>University of Lodz [UL 545/225, UL 506/837]</t>
  </si>
  <si>
    <t>We want to thank Dr Cedric d'Udekem d'Acoz for offering us some material of the British Antarctic Survey, collected and sorted by him personally. We are grateful also to Professor Jacek Sicinski for offering the material from Admiralty Bay. This work was supported from the University of Lodz grants: UL 545/225 and UL 506/837.</t>
  </si>
  <si>
    <t>10.2478/v10183-011-0025-5</t>
  </si>
  <si>
    <t>880HH</t>
  </si>
  <si>
    <t>WOS:000299395700001</t>
  </si>
  <si>
    <t>Zemko, K; Brix, S</t>
  </si>
  <si>
    <t>Zemko, Karol; Brix, Saskia</t>
  </si>
  <si>
    <t>New species of desmosomatid isopods from Admiralty Bay, King George Island</t>
  </si>
  <si>
    <t>Antarctic; South Shetland Islands; Isopoda; Desmosomatidae; Eugerdella</t>
  </si>
  <si>
    <t>DEEP-SEA; SOUTHERN-OCEAN; CRUSTACEA; ASELLOTA; MALACOSTRACA; PATTERNS</t>
  </si>
  <si>
    <t>Two new species of desmosomatid isopods, Eugerdella margaretae sp. n. and Eugerdella celata sp. n. are described from Admiralty Bay, King George Island, South Shetlands. Information is added to the original description of Eugerdella falklandica (Nordenstam, 1933) based on re-examination of the holotype. Both new species are similar to E. falklandica, for example by the body shape, the shape of pleotelson and presence of rows of four horn-like spines on the head. They are distinguished from E. falklandica by the number of setae on pereopod articles. Eugerdella celata sp. n. is distinguished by the presence of ventral spines on pereonites 1-4.</t>
  </si>
  <si>
    <t>[Zemko, Karol] Uniwersytet Lodzki, Zaklad Biol Polarnej &amp; Oceanobiol, PL-90237 Lodz, Poland; [Brix, Saskia] Bioctr Grindel, Senckenberg Meer German Ctr Marine Biodivers Res, D-20146 Hamburg, Germany</t>
  </si>
  <si>
    <t>University of Lodz; University of Hamburg</t>
  </si>
  <si>
    <t>Zemko, K (corresponding author), Uniwersytet Lodzki, Zaklad Biol Polarnej &amp; Oceanobiol, Ul Banacha 12-16, PL-90237 Lodz, Poland.</t>
  </si>
  <si>
    <t>karolzemko@vp.pl</t>
  </si>
  <si>
    <t>CAREX (Transfer of Knowledge, European Science Foundation); CeDAMar (Census of the Diversity of Abyssal Marine Life)</t>
  </si>
  <si>
    <t>We would like to thank Professor Sicinski and colleagues from the Department of Polar Biology and Oceanobiology (University of Lodz) for collecting the material and making it available for the study. Thanks are also due to Dr Marina Malyutina (Russian Academy of Sciences) and Dr Gary Poore (Melbourne Museum) for their critical comments over the early stage of the manuscript. Stephanie Kaiser kindly informed us about the number of undescribed species from the BIOPEARL Expeditions. Dr Roger Bamber (ARTOO) and Melanie Mackenzie (Melbourne Museum) have kindly helped to improve the English through the manuscript. The research was supported by two grants: CAREX (Transfer of Knowledge, European Science Foundation) and CeDAMar (Census of the Diversity of Abyssal Marine Life) within taxonomic exchange fellowship program.</t>
  </si>
  <si>
    <t>10.2478/v10183-011-0022-8</t>
  </si>
  <si>
    <t>WOS:000299395700002</t>
  </si>
  <si>
    <t>Pabis, K; Blazewicz-Paszkowycz, M</t>
  </si>
  <si>
    <t>Pabis, Krzysztof; Blazewicz-Paszkowycz, Magdalena</t>
  </si>
  <si>
    <t>Distribution and diversity of cumacean assemblages in Admiralty Bay, King George Island</t>
  </si>
  <si>
    <t>Antarctic; South Shetlands; Cumacea; benthic communities; glacial fjord</t>
  </si>
  <si>
    <t>SOUTH-SHETLAND ISLANDS; CRUSTACEAN FAUNA; PERACARIDA; SEA; MALACOSTRACA; COMMUNITY; SEDIMENTS; TAXONOMY</t>
  </si>
  <si>
    <t>Eleven species of cumaceans were found in 105 samples collected in Admiralty Bay (King George Island) in the summers of 1984/85 and 1985/86, from 20 to 500 m depth range. Four cumacean assemblages were distinguished using the multivariate analysis. They were characterized by the dominance of one or two species often with low density values. Two assemblages were found in open waters of Admiralty Bay. The first inhabited on sandy-clay-silt and silty-clay-sand bottom deposits in the depth range from 140 to 330 m, with Campylaspis maculata (1.6 +/- 2.1 ind./0.1m(2); F = 72.4%) and Leucon sp. (1.4 +/- 1.6 ind./0.1m(2); F = 68.9%) as key species. The second assemblage was found in the depth range from 50 to 120 m with silty-sand sediments, and it was characterized by the presence of Vauthompsonia inermis (6.5 +/- 6.6 ind./0.1m(2); F = 92.0%). A third assemblage was found in shallow waters influenced by glaciers in the bottom area of Ezcurra Inlet. It was characterized by sandy-clay-silt sediments and the presence of Eudorella splendida (14.6 +/- 9.4 ind./0.1m(2); F = 100.0%) as a core species. The last assemblage was found in the shallow sublittoral (50-100 m) of Ezcurra Inlet and the central basin, with Diastylis anderssoni armata (1.5 +/- 1.1 ind./0.1m(2); F = 85.7%) and Diastylopsis goekei (1.1 +/- 1.0 ind./0.1m(2); F = 71.4%) as the most frequent and abundant species. V. inermis is considered a eurytopic species with high frequency in the whole material, and was present in all four distinguished assemblages. E. splendida and D. goekei were also recorded in each of the assemblages, but their total frequency was lower.</t>
  </si>
  <si>
    <t>[Pabis, Krzysztof; Blazewicz-Paszkowycz, Magdalena] Uniwersytet Lodzki, Zaklad Biol Polarnej &amp; Oceanobiol, PL-90237 Lodz, Poland</t>
  </si>
  <si>
    <t>Pabis, K (corresponding author), Uniwersytet Lodzki, Zaklad Biol Polarnej &amp; Oceanobiol, Banacha 12-16, PL-90237 Lodz, Poland.</t>
  </si>
  <si>
    <t>cataclysta@wp.pl</t>
  </si>
  <si>
    <t>Błażewicz, Magdalena/J-5175-2017; Pabis, Krzysztof/O-8628-2017</t>
  </si>
  <si>
    <t>Blazewicz, Magdalena/0000-0002-4753-3424; Pabis, Krzysztof/0000-0002-9625-3453</t>
  </si>
  <si>
    <t>We thank Jacek Sicinski (University of Lodz) for collecting the material and making it available for our study. We are grateful to Angelika Brandt (University of Hamburg) and Jordi Corbera (Museu de Mataro) for their constructive comments on the manuscript and to Roger Bamber (ARTOO) for improving the English. The study was funded by the University of Lodz.</t>
  </si>
  <si>
    <t>10.2478/v10183-011-0024-6</t>
  </si>
  <si>
    <t>WOS:000299395700003</t>
  </si>
  <si>
    <t>Korczak-Abshire, M; Lees, AC; Jojczyk, A</t>
  </si>
  <si>
    <t>Korczak-Abshire, Malgorzata; Lees, Alexander C.; Jojczyk, Agata</t>
  </si>
  <si>
    <t>First documented record of barn swallow (Hirundo rustica) in the Antarctic</t>
  </si>
  <si>
    <t>Antarctic; South Shetlands; barn swallow; vagrant birds; environmental monitoring</t>
  </si>
  <si>
    <t>ISLANDS</t>
  </si>
  <si>
    <t>Here we report a photo-documented record of a barn swallow (Hirundo rustica) from the South Shetland Islands. We also review previous records of passerine vagrants in the Antarctic (south of the Antarctic Convergence Zone). This barn swallow is the first recorded member of the Hirundinidae family on King George Island and is only the second passerine recorded in the South Shetland Islands. This sighting, along with previous records of austral negrito and austral trush represent the southernmost sightings of any passerine bird anywhere in the world.</t>
  </si>
  <si>
    <t>[Korczak-Abshire, Malgorzata] Polish Acad Sci, Zaklad Biol Antarktyki, PL-02141 Warsaw, Poland; [Lees, Alexander C.] MCT Museu Paraense Emilio Goeldi, Dept Zool, BR-66040170 Belem, PA, Brazil; [Jojczyk, Agata] Szkola Glowna Gospodarstwa Wiejskiego, Samodzielna Pracownia Oceny &amp; Wyceny Zasobow Przy, PL-02787 Warsaw, Poland</t>
  </si>
  <si>
    <t>Polish Academy of Sciences; Museu Paraense Emilio Goeldi; Warsaw University of Life Sciences</t>
  </si>
  <si>
    <t>Korczak-Abshire, M (corresponding author), Polish Acad Sci, Zaklad Biol Antarktyki, Ul Ustrzycka 10-12, PL-02141 Warsaw, Poland.</t>
  </si>
  <si>
    <t>korczakm@gmail.com</t>
  </si>
  <si>
    <t>Lees, Alexander C/D-2189-2014; Korczak-Abshire, Malgorzata/AAA-1563-2020; Lees, Alexander Charles/S-2443-2019</t>
  </si>
  <si>
    <t>Korczak-Abshire, Malgorzata/0000-0001-7695-0588; Lees, Alexander Charles/0000-0001-7603-9081; Jojczyk, Agata/0000-0003-4993-3226</t>
  </si>
  <si>
    <t>10.2478/v10183-011-0021-9</t>
  </si>
  <si>
    <t>WOS:000299395700004</t>
  </si>
  <si>
    <t>Corvino, AF; Wilson, CJL; Boger, SD</t>
  </si>
  <si>
    <t>Corvino, Adrian F.; Wilson, Christopher J. L.; Boger, Steven D.</t>
  </si>
  <si>
    <t>The structural and tectonic evolution of a Rodinian continental fragment in the Mawson Escarpment, Prince Charles Mountains, Antarctica</t>
  </si>
  <si>
    <t>PRECAMBRIAN RESEARCH</t>
  </si>
  <si>
    <t>Rayner Belt; Prydz Belt; Lambert Complex; Palaeoproterozoic; East Antarctica; Rodinia</t>
  </si>
  <si>
    <t>MINERAL EQUILIBRIA CALCULATIONS; EASTERN GHATS BELT; U-PB GEOCHRONOLOGY; KEMP-LAND COAST; T-T PATHS; PRYDZ BAY; BROKEN-HILL; METAPELITIC GRANULITES; PROTEROZOIC TECTONICS; IGNEOUS CHARNOCKITES</t>
  </si>
  <si>
    <t>Part of East Antarctica's shield collided with Greater India during assembly of the Rodinia supercontinent. The pre-Rodinia continental margin of the Antarctic landmass is represented by Palaeoproterozoic basement rocks of the Lambert Complex, which are best exposed in the North Mawson Escarpment area of Antarctica's Prince Charles Mountains. Having investigated the structure of this escarpment, we conclude that rocks of the Lambert Complex were stacked by oblique northward overthrusting motions while deforming pervasively in the infrastructure zone of a convergent orogen, i.e. when this continental fragment of pre-Rodinia Antarctica collided with India around 960-905 m.y. ago. This resulted in exhumation to shallower, but still deep, crustal levels, so that the deformation was accompanied by Barrovian-type metamorphism that evolved to high-temperature, low-pressure conditions. The metamorphism outlasted most of the ductile deformation with temperatures reaching 750 degrees C, though potentially greater, under pressure conditions of about 5 kbar. In this paper we outline the structures and, from a plate tectonics viewpoint, consider their likely association with Rodinian and Gondwanan orogens in East Antarctica, i.e. the Rayner and Prydz Belts. (C) 2010 Elsevier B.V. All rights reserved.</t>
  </si>
  <si>
    <t>[Corvino, Adrian F.; Wilson, Christopher J. L.; Boger, Steven D.] Univ Melbourne, Sch Earth Sci, Melbourne, Vic 3010, Australia; [Wilson, Christopher J. L.] Monash Univ, Sch Geosci, Clayton, Vic 3800, Australia</t>
  </si>
  <si>
    <t>University of Melbourne; Melbourne Bioinformatics; Monash University</t>
  </si>
  <si>
    <t>Corvino, AF (corresponding author), Deep Yellow Ltd, 76 Hilary St, Mt Isa, Qld 4825, Australia.</t>
  </si>
  <si>
    <t>adrian@deepyellow.com.au; cjlw@bigpond.net.au; sdboger@unimelb.edu.au</t>
  </si>
  <si>
    <t>Boger, Steven/B-8799-2013</t>
  </si>
  <si>
    <t>Boger, Steven/0000-0003-0739-6266</t>
  </si>
  <si>
    <t>Australian Antarctic Division and Bundesanstalt fur Geowissenschaften und Rohstoffe</t>
  </si>
  <si>
    <t>This paper forms part of A.F.C.'s Ph.D. thesis submitted to The University of Melbourne in 2009. Fieldwork was undertaken during the 2002-03 Prince Charles Mountains Expedition of Germany and Australia funded by the Australian Antarctic Division and Bundesanstalt fur Geowissenschaften und Rohstoffe. We kindly thank all members of the Australian National Antarctic Research Expeditions for their friendship and logistic support, in particular Bill Baxter and Gary Kuehn for their field guidance. We are grateful to Simon Harley and Jacqueline Halpin for their helpful reviews and Peter Cawood for his editorial handling.</t>
  </si>
  <si>
    <t>0301-9268</t>
  </si>
  <si>
    <t>1872-7433</t>
  </si>
  <si>
    <t>PRECAMBRIAN RES</t>
  </si>
  <si>
    <t>Precambrian Res.</t>
  </si>
  <si>
    <t>10.1016/j.precamres.2010.11.001</t>
  </si>
  <si>
    <t>710TY</t>
  </si>
  <si>
    <t>WOS:000286541100005</t>
  </si>
  <si>
    <t>Ke, CF; Zhang, ZH; Wang, SP</t>
  </si>
  <si>
    <t>Kuek, M; Liu, Y; Zhao, R</t>
  </si>
  <si>
    <t>Ke Chuanfang; Zhang Zhenhua; Wang Shuping</t>
  </si>
  <si>
    <t>Study on Some Slope Stability Evaluation and Reinforcement Measures Under the Condition of Rainfall</t>
  </si>
  <si>
    <t>PROCEEDINGS OF 2011 INTERNATIONAL SYMPOSIUM - MULTI-FIELD COUPLING THEORY OF ROCK AND SOIL AND ITS APPLICATIONS IN EXPLOITATION AND UTILIZATION OF RESOURCES</t>
  </si>
  <si>
    <t>International Symposium on Multi-field Coupling Theory of Rock and Soil and its Applications in Exploitation and Utilization of Resources</t>
  </si>
  <si>
    <t>AUG 08-10, 2011</t>
  </si>
  <si>
    <t>Heilongjiand Prov, PEOPLES R CHINA</t>
  </si>
  <si>
    <t>Seepage; Reinforcement; Drainage measures</t>
  </si>
  <si>
    <t>Rainfall is one of important factors influencing slope stability. The excavation slope along a reservoir bank was taken as the research object. Based on saturated - unsaturated seepage theory, the seepage field and water table of the slope was obtained by finite element method under the condition of rainfall, and then the factor of safety of the slope under the condition of no reinforcement, under the condition of reinforcement, under the condition of reinforcement and drainage holes, under the condition of reinforcement, drainage holes and deep tunnel were obtained by Mongenstem-Price Method. The factor of safety of the first condition is 0.989 that can't meet the Stability control standard of the Momentary condition. The factor of safety of the last condition is 1.073 that met the Stability control standard. When the drainage measures continue to improve, the slope becomes more stable was obtained by analyzing the factor of safety. The result provide helpful for the design of slope protection works.</t>
  </si>
  <si>
    <t>[Ke Chuanfang; Zhang Zhenhua] China Three Gorges Univ, Coll Civil Engn &amp; Architecture, Yichang 443002, Peoples R China; [Wang Shuping] Hydro China Chengdu Engn Corp, Chengdu, Peoples R China</t>
  </si>
  <si>
    <t>China Three Gorges University</t>
  </si>
  <si>
    <t>Ke, CF (corresponding author), China Three Gorges Univ, Coll Civil Engn &amp; Architecture, Yichang 443002, Peoples R China.</t>
  </si>
  <si>
    <t>National Natural Science Foundation of China [50909053, 50839004]; Foundation of Geological Hazards Control in Three Gorges Reservoir Area [SXKY3-2-2-200903]; Doctoral Foundation of China Three Gorges University [KJ2008B005]; Hubei Provincial Natural Science Foundation of China [2008CDB051]; Seismogenic Mechanism Research of the Antarctic Continent under the Influence of Springback [200803]</t>
  </si>
  <si>
    <t>National Natural Science Foundation of China(National Natural Science Foundation of China (NSFC)); Foundation of Geological Hazards Control in Three Gorges Reservoir Area; Doctoral Foundation of China Three Gorges University; Hubei Provincial Natural Science Foundation of China(National Natural Science Foundation of China (NSFC)); Seismogenic Mechanism Research of the Antarctic Continent under the Influence of Springback</t>
  </si>
  <si>
    <t>We acknowledge the following funds to give financial supports. They are National Natural Science Foundation of China under Grant no. 50909053 and no. 50839004, the Third Stage Foundation of Geological Hazards Control in Three Gorges Reservoir Area under Grant no.SXKY3-2-2-200903, Doctoral Foundation of China Three Gorges University under Grant no.KJ2008B005, Hubei Provincial Natural Science Foundation of China under Grant no. 2008CDB051, Seismogenic Mechanism Research of the Antarctic Continent under the Influence of Springback(200803).</t>
  </si>
  <si>
    <t>ST PLUM-BLOSSOM PRESS PTY LTD</t>
  </si>
  <si>
    <t>HAWTHORN EAST</t>
  </si>
  <si>
    <t>STE 4, LEVEL 3, 695 BURKE RD, HAWTHORN EAST, VC 3123, AUSTRALIA</t>
  </si>
  <si>
    <t>978-0-646-56167-7</t>
  </si>
  <si>
    <t>Engineering, Mechanical; Engineering, Geological; Mechanics</t>
  </si>
  <si>
    <t>Engineering; Mechanics</t>
  </si>
  <si>
    <t>BB6OT</t>
  </si>
  <si>
    <t>WOS:000344904800039</t>
  </si>
  <si>
    <t>Zhu, GH; Chen, LH; Jin, M; Liu, ZL</t>
  </si>
  <si>
    <t>Li, S; Niu, P; Wang, W; An, Y</t>
  </si>
  <si>
    <t>Zhu Genhai; Chen Lihong; Jin Mao; Liu Zilin</t>
  </si>
  <si>
    <t>Studies on the Community Structure of Phytoplankton and its Environmental Restriction in the Water Encircling the Antarctica</t>
  </si>
  <si>
    <t>PROGRESS IN ENVIRONMENTAL SCIENCE AND TECHNOLOGY, VOL III: PROCEEDINGS OF THE 2011 INTERNATIONAL SYMPOSIUM ON ENVIRONMENTAL SCIENCE AND TECHNOLOGY</t>
  </si>
  <si>
    <t>3rd International Symposium on Environmental Science and Technology (2011 ISEST)</t>
  </si>
  <si>
    <t>JUN 01-04, 2011</t>
  </si>
  <si>
    <t>Dongguan, PEOPLES R CHINA</t>
  </si>
  <si>
    <t>phytoplankton; community structure; environmental restriction; the Antarctica</t>
  </si>
  <si>
    <t>SCOTIA CONFLUENCE AREA; AUSTRAL SUMMER; SOUTHERN-OCEAN; ROSS SEA; BIOMASS; FLUXES; ZONE</t>
  </si>
  <si>
    <t>This paper focused on the cell abundance and community structure of phytoplankton and its environmental restriction in the sea area encircling the eastern Indian Ocean, Prydz Bay, the western Indian Ocean, the Southern Atlantic Ocean, the Drake Passage and returning to Prydz Bay. The results showed that there was marked feature of spatial in the sea areas surveyed. In the Antarctic waters, phytoplankton cell abundance and nutrients were higher than the subantarctic water and subtropical water. The mean phytoplankton cell abundance was 7.8x10(4) cells.dm(-3), 3.6x10(4) cells.dm(-3) and 1.4x10(4) cells.dm(-3) respectively in the Antarctic water, the subantarctic water and subtropical water. In the water encircling the Antarctica, the Southern Atlantic Ocean is the most fertile, where phytoplankton cell abundance was more than in the Drake Passage and the Southern Indian Ocean. Because the temperature raised, floe ice melted, ice algae released into the seawater, the phytoplankton cell abundance was the highest at austral summer. The phytoplankton community structure were mainly composed of diatoms, such as Chaetocerous dichaeta, Corethron criophilum, Fragilariopsis curia, F kerguelensis, Nitzschia barkleyi, Proboscis alata, Rhizosolenia styliformis, Trichotoxon reinboldii, Thalassiosira Antarctica; pyrrophyta, such as Gymnodinium gracile, G baccatum, Gyrodinium lachtyma, Protoperidinium archiovatum, Protoperidinium obovatum, etc.</t>
  </si>
  <si>
    <t>[Zhu Genhai] State Ocean Adm, Marine Ecosyst &amp; Biogeochem Key Lab, Hangzhou 310012, Zhejiang, Peoples R China; State Ocean Adm, Inst Oceanog 2, Hangzhou 310012, Zhejiang, Peoples R China</t>
  </si>
  <si>
    <t>Zhu, GH (corresponding author), State Ocean Adm, Marine Ecosyst &amp; Biogeochem Key Lab, Hangzhou 310012, Zhejiang, Peoples R China.</t>
  </si>
  <si>
    <t>National Natural Science Foundation of China [40876105]</t>
  </si>
  <si>
    <t>Supported by the National Natural Science Foundation of China (Grant No. 40876105)</t>
  </si>
  <si>
    <t>SCIENCE PRESS BEIJING</t>
  </si>
  <si>
    <t>16 DONGHUANGCHENGGEN NORTH ST, BEIJING 100707, PEOPLES R CHINA</t>
  </si>
  <si>
    <t>978-7-03-030935-8</t>
  </si>
  <si>
    <t>Engineering, Environmental; Environmental Sciences</t>
  </si>
  <si>
    <t>Engineering; Environmental Sciences &amp; Ecology</t>
  </si>
  <si>
    <t>BG8BJ</t>
  </si>
  <si>
    <t>WOS:000392162200010</t>
  </si>
  <si>
    <t>Cravatte, S; Ganachaud, A; Duong, QP; Kessler, WS; Eldin, G; Dutrieux, P</t>
  </si>
  <si>
    <t>Cravatte, Sophie; Ganachaud, Alexandre; Duong, Quoc-Phi; Kessler, William S.; Eldin, Gerard; Dutrieux, Pierre</t>
  </si>
  <si>
    <t>Observed circulation in the Solomon Sea from SADCP data</t>
  </si>
  <si>
    <t>PROGRESS IN OCEANOGRAPHY</t>
  </si>
  <si>
    <t>WESTERN EQUATORIAL PACIFIC; MERIDIONAL OVERTURNING CIRCULATION; PAPUA-NEW-GUINEA; TROPICAL PACIFIC; CLIMATE FLUCTUATIONS; IN-SITU; OCEAN; VARIABILITY; WATER; CURRENTS</t>
  </si>
  <si>
    <t>The Solomon Sea, in the western tropical Pacific, is part of a major oceanic pathway for waters connecting the tropics to the equator via low latitude western boundary currents. Shipboard Acoustic Doppler Current Profiler data from 94 various cruises and transits are used to describe the Solomon Sea mean circulation and its seasonal variability above 300 m depth, providing an unprecedently detailed picture from observations. The circulation in the near-surface (20-100 m) and thermocline (100-300 m) layers were analyzed separately but found to have many similar features. They are compared with circulations inferred from hydrological and satellite data. The New Guinea Coastal Undercurrent enters the Solomon Sea east of the Louisiade Archipelago (15 Sv inflow above 300 m), splits and rejoins around the Woodlark Chain, then divides against the coast of New Britain forming two branches flowing westward and eastward. The westward branch has been previously observed flowing through Vitiaz Strait; in the present SADCP data this transport is found to be 7-8 Sv in the upper 300 m. The eastward branch has been suspected and occurs in some models; it exits the Solomon Sea through St. George's Channel (1-2 Sv) and Solomon Strait (4-5 Sv) in the thermocline. At the surface, waters enter the Solomon Strait from the north. The seasonal variability can be documented in locations of sufficient data coverage. It is shown that this western boundary system strengthens in June-August. A summary of transport variability in the straits of the Solomon Sea from individual cruises is also presented. Transports in the straits display some stable features, but also high non-seasonal variability. (C) 2010 Elsevier Ltd. All rights reserved.</t>
  </si>
  <si>
    <t>[Cravatte, Sophie] Univ Toulouse, UPS OMP PCA, LEGOS, IRD, F-31400 Toulouse, France; [Ganachaud, Alexandre; Eldin, Gerard] IRD, Noumea, New Caledonia; [Duong, Quoc-Phi] Ecole Natl Meteorol, Toulouse, France; [Kessler, William S.] NOAA, Pacific Marine Environm Lab, Seattle, WA 98115 USA; [Dutrieux, Pierre] British Antarctic Survey, Nat Environm Res Council, Cambridge CB3 0ET, England</t>
  </si>
  <si>
    <t>Universite de Toulouse; Universite Toulouse III - Paul Sabatier; Centre National de la Recherche Scientifique (CNRS); Institut de Recherche pour le Developpement (IRD); Laboratoire d'Etudes en Geophysique et oceanographie spatiales; Institut de Recherche pour le Developpement (IRD); Universite Federale Toulouse Midi-Pyrenees (ComUE); Universite de Toulouse; Institut National Polytechnique de Toulouse; National Oceanic Atmospheric Admin (NOAA) - USA; UK Research &amp; Innovation (UKRI); Natural Environment Research Council (NERC); NERC British Antarctic Survey</t>
  </si>
  <si>
    <t>Cravatte, S (corresponding author), Univ Toulouse, UPS OMP PCA, LEGOS, IRD, 14 Ave Edouard Belin, F-31400 Toulouse, France.</t>
  </si>
  <si>
    <t>sophie.cravatte@legos.obs-mip.fr</t>
  </si>
  <si>
    <t>Ganachaud, Alexandre/B-7556-2013; Cravatte, Sophie/AAI-4635-2021; Cravatte, Sophie/J-7081-2016; Dutrieux, Pierre/GVS-2890-2022</t>
  </si>
  <si>
    <t>Ganachaud, Alexandre/0000-0002-9709-1396; Cravatte, Sophie/0000-0002-2439-8952; Cravatte, Sophie/0000-0002-2439-8952; Dutrieux, Pierre/0000-0002-8066-934X</t>
  </si>
  <si>
    <t>ANR [ANR-09-BLAN-0233-01]; INSU/LEFE; NERC [bas0100028] Funding Source: UKRI; Natural Environment Research Council [bas0100028] Funding Source: researchfish</t>
  </si>
  <si>
    <t>ANR(Agence Nationale de la Recherche (ANR)); INSU/LEFE; NERC(UK Research &amp; Innovation (UKRI)Natural Environment Research Council (NERC)); Natural Environment Research Council(UK Research &amp; Innovation (UKRI)Natural Environment Research Council (NERC))</t>
  </si>
  <si>
    <t>This study has been possible thanks to the effort of many scientists, engineers and crews who carefully recorded, processed and made available SADCP data. The authors recognize the hard work done to accomplish this task, and are very grateful to all who contributed. SADCP data were downloaded freely from various databases. Many of them come from the Joint Archive for Shipboard ADCP (JASADCP, http://ilikai.soest.hawaii.edu/sadcp/main_inv.html). We greatly thank E. Firing, J. Hammon and P. Caldwell for maintaining this resource. Other SADCP data come from R/V Franklin (http://www.marine.csiro.au/maru/marlin_admin.survey_list), and from IRD (P. Grimigni, E. Kestenare, http://www.ird.nc/ECOP/sadcp_inventory.html). The authors also wish to thank M. Tivey, C. Maes and J. Murray who made their SADCP cruise available. The authors wish to thank Laurent Testut who kindly made the tidal analyses and hindcasts, and M.-H. Rio who provided the modified CMDT product, answered questions about it and made specific analyses very useful for this study. L. Gourdeau, A. Melet, T. Delcroix, E. Kestenare and an anonymous reviewer made useful comments about an earlier version of this manuscript. The authors finally wish to acknowledge use of the Ferret program for analysis and graphics in this paper. Ferret is a product of NOAA's Pacific Marine Environmental Laboratory. (Information is available at http://ferret.pmel.noaa.gov/Ferret.). This work is co-funded by ANR project ANR-09-BLAN-0233-01 and INSU/LEFE project IDAO; it is a contribution to the CLIVAR/SPICE International program (http://www.clivar.org; http://www.solomonseaoceanography.org). This is PMEL Contribution # 3563.</t>
  </si>
  <si>
    <t>0079-6611</t>
  </si>
  <si>
    <t>1873-4472</t>
  </si>
  <si>
    <t>PROG OCEANOGR</t>
  </si>
  <si>
    <t>Prog. Oceanogr.</t>
  </si>
  <si>
    <t>10.1016/j.pocean.2010.12.015</t>
  </si>
  <si>
    <t>727VH</t>
  </si>
  <si>
    <t>WOS:000287830400007</t>
  </si>
  <si>
    <t>Compo, GP; Whitaker, JS; Sardeshmukh, PD; Matsui, N; Allan, RJ; Yin, X; Gleason, BE; Vose, RS; Rutledge, G; Bessemoulin, P; Brönnimann, S; Brunet, M; Crouthamel, RI; Grant, AN; Groisman, PY; Jones, PD; Kruk, MC; Kruger, AC; Marshall, GJ; Maugeri, M; Mok, HY; Nordli, O; Ross, TF; Trigo, RM; Wang, XL; Woodruff, SD; Worley, SJ</t>
  </si>
  <si>
    <t>Compo, G. P.; Whitaker, J. S.; Sardeshmukh, P. D.; Matsui, N.; Allan, R. J.; Yin, X.; Gleason, B. E., Jr.; Vose, R. S.; Rutledge, G.; Bessemoulin, P.; Broennimann, S.; Brunet, M.; Crouthamel, R. I.; Grant, A. N.; Groisman, P. Y.; Jones, P. D.; Kruk, M. C.; Kruger, A. C.; Marshall, G. J.; Maugeri, M.; Mok, H. Y.; Nordli, O.; Ross, T. F.; Trigo, R. M.; Wang, X. L.; Woodruff, S. D.; Worley, S. J.</t>
  </si>
  <si>
    <t>The Twentieth Century Reanalysis Project</t>
  </si>
  <si>
    <t>QUARTERLY JOURNAL OF THE ROYAL METEOROLOGICAL SOCIETY</t>
  </si>
  <si>
    <t>data assimilation; Ensemble Kalman Filter; state estimation; surface pressure; sea-level pressure</t>
  </si>
  <si>
    <t>ENSEMBLE KALMAN FILTER; MODEL-ERROR REPRESENTATION; DATA ASSIMILATION; LEVEL PRESSURE; SURFACE-TEMPERATURE; NORTHERN-HEMISPHERE; ATMOSPHERIC CIRCULATION; GLOBAL PRECIPITATION; GEOPOTENTIAL HEIGHT; DATA SET</t>
  </si>
  <si>
    <t>The Twentieth Century Reanalysis (20CR) project is an international effort to produce a comprehensive global atmospheric circulation dataset spanning the twentieth century, assimilating only surface pressure reports and using observed monthly sea-surface temperature and sea-ice distributions as boundary conditions. It is chiefly motivated by a need to provide an observational dataset with quantified uncertainties for validations of climate model simulations of the twentieth century onall time-scales, with emphasis on the statistics of daily weather. It uses an Ensemble Kalman Filter data assimilation method with background 'first guess' fields supplied by an ensemble of forecasts from a global numerical weather prediction model. This directly yields a global analysis every 6 hours as the most likely state of the atmosphere, and also an uncertainty estimate of that analysis. The 20CR dataset provides the first estimates of global tropospheric variability, and of the dataset's time-varying quality, from 1871 to the present at 6-hourly temporal and 2 degrees spatial resolutions. Intercomparisons with independent radiosonde data indicate that the reanalyses are generally of high quality. The quality in the extratropical Northern Hemisphere throughout the century is similar to that of current three-day operational NWP forecasts. Intercomparisons over the second half-century of these surface-based reanalyses with other reanalyses that also make use of upper-air and satellite data are equally encouraging. It is anticipated that the 20CR dataset will be a valuable resource to the climate research community for both model validations and diagnostic studies. Some surprising results are already evident. For instance, the long-term trends of indices representing the North Atlantic Oscillation, the tropical Pacific Walker Circulation, and the Pacific-North American pattern are weak or non-existent over the full period of record. The long-term trends of zonally averaged precipitation minus evaporation also differ in character from those in climate model simulations of the twentieth century. Copyright (C) 2011 Royal Meteorological Society and Crown Copyright.</t>
  </si>
  <si>
    <t>[Compo, G. P.; Sardeshmukh, P. D.; Matsui, N.] Univ Colorado, CIRES, Climate Diagnost Ctr, Boulder, CO 80309 USA; [Compo, G. P.; Whitaker, J. S.; Sardeshmukh, P. D.; Matsui, N.; Woodruff, S. D.] NOAA, Earth Syst Res Lab, Div Phys Sci, Boulder, CO USA; [Allan, R. J.] Met Off, Hadley Ctr, ACRE Project, Exeter, Devon, England; [Yin, X.; Kruk, M. C.] STG Inc, Asheville, NC USA; [Gleason, B. E., Jr.; Vose, R. S.; Rutledge, G.; Groisman, P. Y.] NOAA, Natl Climat Data Ctr, Asheville, NC USA; [Bessemoulin, P.] Meteo France, Toulouse, France; [Broennimann, S.; Grant, A. N.] ETH, Zurich, Switzerland; [Broennimann, S.] Univ Bern, Oeschger Ctr Climate Change Res, CH-3012 Bern, Switzerland; [Brunet, M.] Univ Rovira &amp; Virgili, Ctr Climate Change, Tarragona, Spain; [Crouthamel, R. I.] Int Environm Data Rescue Org, Deale, MD USA; [Groisman, P. Y.] Univ Corp Atmospher Res, Boulder, CO USA; [Brunet, M.; Jones, P. D.] Univ E Anglia, Climat Res Unit, Norwich NR4 7TJ, Norfolk, England; [Kruger, A. C.] S African Weather Serv, Pretoria, South Africa; [Marshall, G. J.] British Antarctic Survey, Cambridge CB3 0ET, England; [Maugeri, M.] Univ Milan, Dipartimento Fis, Milan, Italy; [Mok, H. Y.] Hong Kong Observ, Hong Kong, Hong Kong, Peoples R China; [Nordli, O.] Norwegian Meteorol Inst, Oslo, Norway; [Ross, T. F.] NOAA, Climate Database Modernizat Program, NCDC, Asheville, NC USA; [Trigo, R. M.] Univ Lisbon, Ctr Geofis, IDL, P-1699 Lisbon, Portugal; [Wang, X. L.] Environm Canada, Toronto, ON, Canada; [Worley, S. J.] Natl Ctr Atmospher Res, Boulder, CO 80307 USA</t>
  </si>
  <si>
    <t>University of Colorado System; University of Colorado Boulder; National Oceanic Atmospheric Admin (NOAA) - USA; Met Office - UK; Hadley Centre; National Center Atmospheric Research (NCAR) - USA; National Oceanic Atmospheric Admin (NOAA) - USA; Swiss Federal Institutes of Technology Domain; ETH Zurich; University of Bern; Universitat Rovira i Virgili; National Center Atmospheric Research (NCAR) - USA; University of East Anglia; UK Research &amp; Innovation (UKRI); Natural Environment Research Council (NERC); NERC British Antarctic Survey; University of Milan; Norwegian Meteorological Institute; National Oceanic Atmospheric Admin (NOAA) - USA; Universidade de Lisboa; Environment &amp; Climate Change Canada; National Center Atmospheric Research (NCAR) - USA</t>
  </si>
  <si>
    <t>Compo, GP (corresponding author), 325 Broadway R PSD1, Boulder, CO 80305 USA.</t>
  </si>
  <si>
    <t>compo@colorado.edu</t>
  </si>
  <si>
    <t>Jones, Philip Douglas/C-8718-2009; COMPO, GILBERT P./X-3024-2019; Yin, Xungang/G-1334-2012; Vose, Russell/GSI-5687-2022; Brönnimann, Stefan/A-5737-2008; Groisman, Pavel Y/C-8145-2016; Trigo, Ricardo/Q-8391-2019; Manola, Brunet-India/E-8239-2010; Maugeri, Maurizio/B-4116-2018; Grant, Andrea/A-1693-2008</t>
  </si>
  <si>
    <t>Jones, Philip Douglas/0000-0001-5032-5493; COMPO, GILBERT P./0000-0001-5199-9633; Trigo, Ricardo/0000-0002-4183-9852; Bronnimann, Stefan/0000-0001-9502-7991; Manola, Brunet-India/0000-0002-9386-710X; Maugeri, Maurizio/0000-0002-4110-9737; Groisman, Pavel/0000-0001-6255-324X; Grant, Andrea/0000-0002-1553-596X</t>
  </si>
  <si>
    <t>Queensland Climate Change Centre of Excellence; UK Joint Department of Energy and Climate Change and Department for Environment, Food and Rural Affairs (DECC/Defra) [DECC/Defra GA01101]; National Science Foundation; Swiss National Science Foundation; US Department of Energy, Office of Science Innovative and Novel Computational Impact on Theory and Experiment (DOE INCITE); Office of Biological and Environmental Research (BER); NOAA Climate Goal; Office of Science of the US Department of Energy [DE-AC02-05CH11231, DE-AC05-00OR22725]; Natural Environment Research Council [bas0100023] Funding Source: researchfish; NERC [bas0100023] Funding Source: UKRI</t>
  </si>
  <si>
    <t>Queensland Climate Change Centre of Excellence; UK Joint Department of Energy and Climate Change and Department for Environment, Food and Rural Affairs (DECC/Defra)(Department for Environment, Food &amp; Rural Affairs (DEFRA)); National Science Foundation(National Science Foundation (NSF)); Swiss National Science Foundation(Swiss National Science Foundation (SNSF)); US Department of Energy, Office of Science Innovative and Novel Computational Impact on Theory and Experiment (DOE INCITE)(United States Department of Energy (DOE)); Office of Biological and Environmental Research (BER); NOAA Climate Goal(National Oceanic Atmospheric Admin (NOAA) - USA); Office of Science of the US Department of Energy(United States Department of Energy (DOE)); Natural Environment Research Council(UK Research &amp; Innovation (UKRI)Natural Environment Research Council (NERC)); NERC(UK Research &amp; Innovation (UKRI)Natural Environment Research Council (NERC))</t>
  </si>
  <si>
    <t>The Twentieth Century Reanalysis Project received support and observational data from many people, organizations, and projects. The NOAA NCEP/EMC staff's years of work improving the GFS, and particularly the help of S. Moorthi, H.L. Pan, S. Saha, R. Kistler, and S. Lord is gratefully acknowledged. The NOAA ESRL/Physical Sciences Division (PSD) and CIRES/Climate Diagnostics Center (CDC) IT staff provided invaluable computer support, especially K. Healy, R. Jesse, A. McColl, C. McColl, B. McInnes, and N. Wilde. Assistance with ISPD calculations by C. McColl is also gratefully acknowledged. The work of D. Hooper and C. Smith to make the dataset available at NOAA ESRL/PSD and CIRES/CDC, and the work of the NCAR Data Support Section, especially J. Comeaux, D. Schuster and C.-F. Shi, to make the dataset available at NCAR is gratefully acknowledged. Consulting and support provided by the staff of the US DOE National Energy Research Scientific Computing Center, especially H. He and F. Verdier, and by the staff of the US DOE National Center for Computational Sciences, especially I. Carpenter and D. Kothe, is gratefully acknowledged. Useful discussions are acknowledged with colleagues in ESRL/PSD and CIRES/CDC (especially T. Hamill, R. Webb, R. Dole, C. McColl, M. Newman, and W. Neff), colleagues at NCAR (especially J. Anderson, J. Comeaux, R. Jenne, and K. Trenberth), colleagues at ECMWF(especially D. Dee, A. Simmons, and J-N. Thepaut), colleagues at the UK Met Office Hadley Centre (especially P. Brohan and T. Ansell), colleagues at the University of Maryland (especially P. Arkin and E. Kalnay), and colleagues at the US DOE (especially A. Bamzai and K. Yelick). The US Department of Commerce-Boulder and NCAR librarians kindly assisted with manuscript research. The authors would like to thank the organizations and projects listed in Table II and the following individuals for invaluable assistance in exchanging observations for the ISPD: W. Adam of the Lindenberg Observatory, DWD; K. Andsager of NOAA's Midwestern Regional Climate Center; T. Brandsma of KNMI; J. Burroughs, S. Doty, J. Elms, K. R. Knapp, D. H. Levinson, N. Lott, T. C. Peterson, and R. Truesdell of NOAA's NCDC; J. Comeaux and C.-F. Shi of NCAR; F. Le Blancq of the Jersey Met Service; S. J. Lubker of NOAA ESRL; G. Lentini of Universita degli Studi Milano; N. Nichols of Monash University; L. Srnec of the Meteorological and Hydrological Service of Croatia; A. Stickler of ETH Zurich for CHUAN; V. Swail of Environment Canada; B. Trewin and D. Jones of the Australian Bureau of Meteorology; D. Tse of the Hong Kong Observatory; M. A. Valente of the University of Lisbon and M. Barros of the University of Porto for SIGN contributions; J. S. Woollen of NOAA/NCEP; and V. Wagner and R. Zoellner of DWD. The IBTrACS dataset benefitted from the considerable work of C. Landsea and the HURDAT Reanalysis Project. The assembly of the ISPD under the auspices of the GCOS AOPC/OOPC Working Group on Surface Pressure and the WCRP/GCOS Working Group on Observational Data Sets for Reanalysis by NOAA/ESRL, NOAA's National Climatic Data Center (NCDC), and the Climate Diagnostics Center (CDC) of the University of Colorado's Cooperative Institute for Research in Environmental Sciences (CIRES) is gratefully acknowledged. The HadISST fields are courtesy of N. Rayner, BADC, and the UK Met Office Hadley Centre. The assistance of M. Fiorino with daily interpolation of HadISST fields is acknowledged. Access to the ECHAM4.5 AGCM integrations was courtesy of the IRI data library.; The ERA-40 and ERA-Interim datasets are curtesy of ECMWF. Access to the NCEP-NCARReanalysis dataset is courtesy of NOAA ESRL/PSD. The authors would like to thank referees D. Dee, H. Mitchell, and an anonymous reviewer for constructive comments on an earlier version of the manuscript. R. J. Allan receives support under ACRE from the Queensland Climate Change Centre of Excellence, and from the UK Joint Department of Energy and Climate Change and Department for Environment, Food and Rural Affairs Integrated Climate Programme (DECC/Defra GA01101). NCAR is sponsored by the National Science Foundation. Any opinions, findings, and conclusions or recommendations expressed in this publication are those of the authors and do not necessarily reflect the views of the National Science Foundation. S. Bronnimann and A. N. Grant were supported by the Swiss National Science Foundation. Support for the Twentieth Century Reanalysis Project dataset is provided by the US Department of Energy, Office of Science Innovative and Novel Computational Impact on Theory and Experiment (DOE INCITE) program, and Office of Biological and Environmental Research (BER), and by the NOAA Climate Goal. The project used resources of the National Energy Research Scientific Computing Center and of the National Center for Computational Sciences at Oak Ridge National Laboratory, which are supported by the Office of Science of the US Department of Energy under contract No. DE-AC02-05CH11231 and contract No. DE-AC05-00OR22725, respectively.</t>
  </si>
  <si>
    <t>0035-9009</t>
  </si>
  <si>
    <t>1477-870X</t>
  </si>
  <si>
    <t>Q J ROY METEOR SOC</t>
  </si>
  <si>
    <t>Q. J. R. Meteorol. Soc.</t>
  </si>
  <si>
    <t>A</t>
  </si>
  <si>
    <t>10.1002/qj.776</t>
  </si>
  <si>
    <t>724QX</t>
  </si>
  <si>
    <t>WOS:000287592400001</t>
  </si>
  <si>
    <t>Linders, T; Saetra, O; Bracegirdle, TJ</t>
  </si>
  <si>
    <t>Linders, T.; Saetra, O.; Bracegirdle, T. J.</t>
  </si>
  <si>
    <t>Limited polar low sensitivity to sea-surface temperature</t>
  </si>
  <si>
    <t>air-sea interaction; convection</t>
  </si>
  <si>
    <t>TROPICAL CYCLONES; CYCLOGENESIS; GULF</t>
  </si>
  <si>
    <t>The sensitivity of the intensity of polar lows to changes in the sea-surface temperature (SST) is investigated. This is done by using an axisymmetric non-hydrostatic numerical model. It is found that the intensity of the simulated polar lows responds linearly to SST perturbations, with positive perturbations leading to deeper sea-level pressure (SLP) depressions and higher azimuthal winds. The numerical simulations give an SLP depression sensitivity of only about -0.6 hPa K-1 and a sensitivity of the maximum azimuthal wind of only about +0.6 m s(-1) K-1. This is about one order of magnitude less than the sensitivity of the theoretical maximum intensity. It is suggested that the very limited sensitivity can be explained within the wind-induced surface heat exchange (WISHE) theory. The limited sensitivity can thus be attributed, in roughly equal parts, to the limited efficiency with which the polar low extracts heat from the ocean and the limited mean height of the convection. Copyright (C) 2011 Royal Meteorological Society</t>
  </si>
  <si>
    <t>[Linders, T.] Univ Gothenburg, Dept Earth Sci, S-40530 Gothenburg, Sweden; [Linders, T.; Saetra, O.] Norwegian Meteorol Inst, Oslo, Norway; [Bracegirdle, T. J.] British Antarctic Survey, Cambridge CB3 0ET, England</t>
  </si>
  <si>
    <t>University of Gothenburg; Norwegian Meteorological Institute; UK Research &amp; Innovation (UKRI); Natural Environment Research Council (NERC); NERC British Antarctic Survey</t>
  </si>
  <si>
    <t>Linders, T (corresponding author), Univ Gothenburg, Dept Earth Sci, Box 460, S-40530 Gothenburg, Sweden.</t>
  </si>
  <si>
    <t>torsten.linders@gvc.gu.se</t>
  </si>
  <si>
    <t>Bracegirdle, Tom/AAD-6060-2020; Linders, Torsten/N-6802-2017</t>
  </si>
  <si>
    <t>Linders, Torsten/0000-0002-5962-7532; Bracegirdle, Thomas/0000-0002-8868-4739</t>
  </si>
  <si>
    <t>European Commission [MRTN-CT-2005-019369]; Research Council of Norway [IPY-THORPEX, 175992/S30, 178577/S30]; NERC [bas0100023] Funding Source: UKRI; Natural Environment Research Council [bas0100023] Funding Source: researchfish</t>
  </si>
  <si>
    <t>European Commission(European Union (EU)European Commission Joint Research Centre); Research Council of Norway(Research Council of Norway); NERC(UK Research &amp; Innovation (UKRI)Natural Environment Research Council (NERC)); Natural Environment Research Council(UK Research &amp; Innovation (UKRI)Natural Environment Research Council (NERC))</t>
  </si>
  <si>
    <t>The contribution from Torsten Linders was funded by the European Commission through a research fellowship under the ModObs project, contract MRTN-CT-2005-019369, and by the Research Council of Norway through the project IPY-THORPEX, contract 175992/S30. Oyvind Saetra was funded by the Research Council of Norway through the projects ArcChange, contract 178577/S30, and IPY-THORPEX, contract 175992/S30. We thank Professor Jan Erik Weber for support and valuable discussions.</t>
  </si>
  <si>
    <t>10.1002/qj.718</t>
  </si>
  <si>
    <t>WOS:000287592400004</t>
  </si>
  <si>
    <t>Franzke, C; Feldstein, SB; Lee, S</t>
  </si>
  <si>
    <t>Franzke, Christian; Feldstein, Steven B.; Lee, Sukyoung</t>
  </si>
  <si>
    <t>Synoptic analysis of the Pacific-North American teleconnection pattern</t>
  </si>
  <si>
    <t>low-frequency variability; breaking waves; tropical convection; optimal growth</t>
  </si>
  <si>
    <t>MADDEN-JULIAN OSCILLATION; STORM TRACK VARIABILITY; FREQUENCY DIPOLE MODES; ROSSBY-WAVE-BREAKING; ATLANTIC OSCILLATION; LIFE-CYCLES; SUBTROPICAL TROPOPAUSE; CIRCULATION ANOMALIES; SOUTHERN-OSCILLATION; BAROTROPIC DECAY</t>
  </si>
  <si>
    <t>In this study, we use various diagnostic techniques to investigate the synoptic evolution of the Pacific-North American teleconnection pattern (PNA). National Center for Environment Prediction/National Center for Atmospheric Research reanalysis data are used. These data cover the years 1948-2008 for the months of November-March. It is found that the positive PNA is initiated by enhanced convection over the western tropical Pacific and weakened convection over the tropical Indian Ocean. The excitation of the negative PNA exhibits opposite features. For both phases, the response to tropical convection excites a small-amplitude PNA about 8-12 days prior to the pattern attaining its maximum amplitude. This is followed by slow, steady growth for about 5 days, after which driving by synoptic scale waves, via their eddy vorticity flux, together with stationary eddy advection lead to much more rapid growth and the establishment of the full PNA. For the positive PNA, the synoptic scale waves propagate eastward into the midlatitude northeastern Pacific, where they are observed to undergo cyclonic wave breaking. For the negative PNA, the synoptic scale waves first amplify over the midlatitude northeastern Pacific and then propagate equatorward into the Subtropics where they undergo anticyclonic wave breaking. Once established, for both phases, the PNA appears to be maintained through a positive feedback that involves a succession of wave breakings. These results suggest that preconditioning may play an important role in the formation of the PNA. For the positive PNA, in its early development, the strengthening and eastward extension of the subtropical jet result in an increase in the cyclonic shear and a decrease in the meridional potential vorticity gradient, features that are known to favour cyclonic wave breaking. For the negative PNA, opposite changes were observed for the background flow, which favour equatorward wave propagation and anticyclonic wave breaking. The role of optimal growth is also discussed. Our results also suggest that the PNA is potentially predictable 1-2 weeks in advance. Copyright (c) 2011 Royal Meteorological Society</t>
  </si>
  <si>
    <t>[Franzke, Christian] British Antarctic Survey, Cambridge CB3 0ET, England; [Feldstein, Steven B.; Lee, Sukyoung] Penn State Univ, Dept Meteorol, University Pk, PA 16802 USA</t>
  </si>
  <si>
    <t>UK Research &amp; Innovation (UKRI); Natural Environment Research Council (NERC); NERC British Antarctic Survey; Pennsylvania Commonwealth System of Higher Education (PCSHE); Pennsylvania State University; Pennsylvania State University - University Park</t>
  </si>
  <si>
    <t>Franzke, Christian/A-6191-2012</t>
  </si>
  <si>
    <t>Franzke, Christian/0000-0003-4111-1228; Franzke, Christian/0000-0002-8084-3256</t>
  </si>
  <si>
    <t>Natural Environment Research Council; National Science Foundation [ATM-0649512, ATM-0852379]; Natural Environment Research Council [bas010021, bas0100026] Funding Source: researchfish; Directorate For Geosciences; Div Atmospheric &amp; Geospace Sciences [0852459] Funding Source: National Science Foundation; Div Atmospheric &amp; Geospace Sciences; Directorate For Geosciences [0852379] Funding Source: National Science Foundation; NERC [bas0100026, bas010021] Funding Source: UKRI</t>
  </si>
  <si>
    <t>Natural Environment Research Council(UK Research &amp; Innovation (UKRI)Natural Environment Research Council (NERC)); National Science Foundation(National Science Foundation (NSF)); Natural Environment Research Council(UK Research &amp; Innovation (UKRI)Natural Environment Research Council (NERC)); Directorate For Geosciences; Div Atmospheric &amp; Geospace Sciences(National Science Foundation (NSF)NSF - Directorate for Geosciences (GEO)); Div Atmospheric &amp; Geospace Sciences; Directorate For Geosciences(National Science Foundation (NSF)NSF - Directorate for Geosciences (GEO)); NERC(UK Research &amp; Innovation (UKRI)Natural Environment Research Council (NERC))</t>
  </si>
  <si>
    <t>This study is part of the British Antarctic Survey Polar Science for Planet Earth Programme. It was funded by the Natural Environment Research Council and by the National Science Foundation Grants ATM-0649512 and ATM-0852379. We thank two anonymous reviewers for their helpful comments and the NOAA Earth Systems Research Laboratory for providing us with the NCEP/NCAR reanalysis and OLR data sets. Parts of the study were carried out while the first author was affiliated with the National Center for Atmospheric Research.</t>
  </si>
  <si>
    <t>10.1002/qj.768</t>
  </si>
  <si>
    <t>731UL</t>
  </si>
  <si>
    <t>WOS:000288134800005</t>
  </si>
  <si>
    <t>Graham, AGC; Stoker, MS; Lonergan, L; Bradwell, T; Stewart, MA</t>
  </si>
  <si>
    <t>Ehlers, J; Gibbard, PL; Hughes, PD</t>
  </si>
  <si>
    <t>Graham, Alastair G. C.; Stoker, Martyn S.; Lonergan, Lidia; Bradwell, Tom; Stewart, Margaret A.</t>
  </si>
  <si>
    <t>The Pleistocene Glaciations of the North Sea Basin</t>
  </si>
  <si>
    <t>QUATERNARY GLACIATIONS - EXTENT AND CHRONOLOGY: A CLOSER LOOK</t>
  </si>
  <si>
    <t>Developments in Quaternary Science</t>
  </si>
  <si>
    <t>LATE-WEICHSELIAN GLACIATION; 3-DIMENSIONAL SEISMIC DATA; WITCH GROUND BASIN; BRITISH ICE-SHEET; TUNNEL-VALLEYS; NORWEGIAN CHANNEL; MICROMORPHOLOGICAL EVIDENCE; DEPOSITIONAL-ENVIRONMENTS; HIGH-RESOLUTION; QUATERNARY</t>
  </si>
  <si>
    <t>[Graham, Alastair G. C.] British Antarctic Survey, Ice Sheets Programme, Cambridge CB3 0ET, England; [Stoker, Martyn S.; Bradwell, Tom] British Geol Survey, Edinburgh EH9 3LA, Midlothian, Scotland; [Lonergan, Lidia; Stewart, Margaret A.] Univ London Imperial Coll Sci Technol &amp; Med, Dept Earth Sci &amp; Engn, London SW7 2AZ, England</t>
  </si>
  <si>
    <t>UK Research &amp; Innovation (UKRI); Natural Environment Research Council (NERC); NERC British Antarctic Survey; UK Research &amp; Innovation (UKRI); Natural Environment Research Council (NERC); NERC British Geological Survey; Imperial College London</t>
  </si>
  <si>
    <t>Lonergan, Lidia/JMC-5636-2023</t>
  </si>
  <si>
    <t>Bradwell, Tom/0000-0003-0947-3309; Graham, Alastair/0000-0002-2880-2908; Stoker, Martyn/0000-0002-5314-0950</t>
  </si>
  <si>
    <t>1571-0866</t>
  </si>
  <si>
    <t>978-0-44-453537-5; 978-0-44-453447-7</t>
  </si>
  <si>
    <t>DEV QUATER SCI</t>
  </si>
  <si>
    <t>10.1016/B978-0-444-53447-7.00021-0</t>
  </si>
  <si>
    <t>BCP75</t>
  </si>
  <si>
    <t>WOS:000310976900022</t>
  </si>
  <si>
    <t>Harrison, S; Glasser, NF</t>
  </si>
  <si>
    <t>Harrison, Stephan; Glasser, Neil F.</t>
  </si>
  <si>
    <t>The Pleistocene Glaciations of Chile</t>
  </si>
  <si>
    <t>COSMOGENIC NUCLIDE CHRONOLOGY; SOUTHERNMOST SOUTH-AMERICA; NORTH PATAGONIAN ICEFIELD; ANTARCTIC COLD REVERSAL; LAGO BUENOS-AIRES; LATE QUATERNARY; LAKE DISTRICT; ICE-SHEET; LAST GLACIATION; CLIMATE-CHANGE</t>
  </si>
  <si>
    <t>[Harrison, Stephan] Univ Exeter, Coll Life &amp; Environm Sci, Penryn, Cornwall, England; [Glasser, Neil F.] Aberystwyth Univ, Inst Geog &amp; Earth Sci, Aberystwyth, Dyfed, Wales</t>
  </si>
  <si>
    <t>University of Exeter; Aberystwyth University</t>
  </si>
  <si>
    <t>Harrison, S (corresponding author), Univ Exeter, Coll Life &amp; Environm Sci, Penryn, Cornwall, England.</t>
  </si>
  <si>
    <t>Stephan.harrison@exeter.ac.uk</t>
  </si>
  <si>
    <t>Glasser, Neil/0000-0002-8245-2670</t>
  </si>
  <si>
    <t>10.1016/B978-0-444-53447-7.00054-4</t>
  </si>
  <si>
    <t>WOS:000310976900055</t>
  </si>
  <si>
    <t>Hall, K; Meiklejohn, I</t>
  </si>
  <si>
    <t>Hall, Kevin; Meiklejohn, Ian</t>
  </si>
  <si>
    <t>Glaciation in Southern Africa and in the Sub-Antarctic</t>
  </si>
  <si>
    <t>QUATERNARY GLACIATION; FALKLAND-ISLANDS; DRAKENSBERG ESCARPMENT; GLACIER FLUCTUATIONS; ENVIRONMENTAL-CHANGE; LATE PLEISTOCENE; GEOMORPHOLOGY; SEDIMENTS; HISTORY</t>
  </si>
  <si>
    <t>[Hall, Kevin] Univ Pretoria, Dept Geog Geoinformat &amp; Meteorol, ZA-0002 Pretoria, South Africa; [Hall, Kevin] Univ No British Columbia, Dept Geog, Prince George, BC V2N 4Z9, Canada; [Meiklejohn, Ian] Rhodes Univ, Dept Geog, ZA-6140 Grahamstown, South Africa</t>
  </si>
  <si>
    <t>University of Pretoria; University of Northern British Columbia; Rhodes University</t>
  </si>
  <si>
    <t>Hall, K (corresponding author), Univ Pretoria, Dept Geog Geoinformat &amp; Meteorol, ZA-0002 Pretoria, South Africa.</t>
  </si>
  <si>
    <t>Meiklejohn, Ian/F-3183-2012</t>
  </si>
  <si>
    <t>Meiklejohn, Ian/0000-0001-8890-2938</t>
  </si>
  <si>
    <t>10.1016/B978-0-444-53447-7.00078-7</t>
  </si>
  <si>
    <t>WOS:000310976900079</t>
  </si>
  <si>
    <t>Balco, G</t>
  </si>
  <si>
    <t>Balco, Greg</t>
  </si>
  <si>
    <t>Contributions and unrealized potential contributions of cosmogenic-nuclide exposure dating to glacier chronology, 1990-2010</t>
  </si>
  <si>
    <t>QUATERNARY SCIENCE REVIEWS</t>
  </si>
  <si>
    <t>HE-3 PRODUCTION-RATES; LATE QUATERNARY GLACIATION; ACCELERATOR MASS-SPECTROMETRY; PRODUCTION-RATE CALIBRATION; IMPLY SECULAR VARIATIONS; SLIP-RATE MEASUREMENTS; HOLOCENE LAVA FLOWS; ANTARCTIC ICE-SHEET; MARIE-BYRD-LAND; YOUNGER DRYAS</t>
  </si>
  <si>
    <t>This paper reviews the application of cosmogenic-nuclide exposure dating to glacier chronology. Exposure dating of glacial landforms has made an outsize impact on this field because the technique filled an obvious need that had already been recognized by glacial geologists. By now, hundreds of studies have used cosmogenic-nuclide exposure dating to date glacial deposits, and in fact it is rare to find a study of glacial geology or glacier chronology, or any paleoclimate synthesis that makes use of such studies, that does not involve exposure dating. These developments have resulted in major contributions to glacier chronology and paleoclimate, in particular i) reconstructing Antarctic ice sheet change, ii) establishing the chronology of late Pleistocene and Holocene glacier change in mountain regions where it was previously unknown; iii) establishing the broad chronological outlines of mountain glaciations prior to the Last Glacial Maximum; and iv) gaining insight into subglacial erosional processes through the observation that many glaciated surfaces preserve cosmogenic-nuclide inventories from long past ice-free periods as well as the present one. An important potential future contribution will be the application of the large data set of exposure-dated glacier chronologies to better understand global and regional climate dynamics during Lateglacial and Holocene millennial-scale climate changes. However, this contribution cannot be realized without significant progress in two areas: i) understanding and accounting for geologic processes that cause apparent exposure ages on glacial landforms to differ from the true age of the landform, and ii) minimizing systematic uncertainties in exposure ages that stem from cosmogenic-nuclide production-rate estimates and scaling schemes. At present there exists an enormous data set of exposure ages on glacial deposits, but these data cannot be used to their full potential in paleoclimate syntheses due to an inadequate understanding of geologic scatter and production-rate uncertainties. The intent of this paper is to highlight this situation and suggest some strategies for realizing this potential. (C) 2010 Elsevier Ltd. All rights reserved.</t>
  </si>
  <si>
    <t>Berkeley Geochronol Ctr, Berkeley, CA 94709 USA</t>
  </si>
  <si>
    <t>Berkeley Geochronolgy Center</t>
  </si>
  <si>
    <t>Balco, G (corresponding author), Berkeley Geochronol Ctr, 2455 Ridge Rd, Berkeley, CA 94709 USA.</t>
  </si>
  <si>
    <t>balcs@bgc.org</t>
  </si>
  <si>
    <t>0277-3791</t>
  </si>
  <si>
    <t>QUATERNARY SCI REV</t>
  </si>
  <si>
    <t>Quat. Sci. Rev.</t>
  </si>
  <si>
    <t>10.1016/j.quascirev.2010.11.003</t>
  </si>
  <si>
    <t>717SH</t>
  </si>
  <si>
    <t>WOS:000287067200002</t>
  </si>
  <si>
    <t>Mooney, SD; Harrison, SP; Bartlein, PJ; Daniau, AL; Stevenson, J; Brownlie, KC; Buckman, S; Cupper, M; Luly, J; Black, M; Colhoun, E; D'Costa, D; Dodson, J; Haberle, S; Hope, GS; Kershaw, P; Kenyon, C; McKenzie, M; Williams, N</t>
  </si>
  <si>
    <t>Mooney, S. D.; Harrison, S. P.; Bartlein, P. J.; Daniau, A. -L; Stevenson, J.; Brownlie, K. C.; Buckman, S.; Cupper, M.; Luly, J.; Black, M.; Colhoun, E.; D'Costa, D.; Dodson, J.; Haberle, S.; Hope, G. S.; Kershaw, P.; Kenyon, C.; McKenzie, M.; Williams, N.</t>
  </si>
  <si>
    <t>Late Quaternary fire regimes of Australasia</t>
  </si>
  <si>
    <t>MILLENNIAL-SCALE VARIABILITY; LAST GLACIAL MAXIMUM; NEW-SOUTH-WALES; EL-NINO/SOUTHERN-OSCILLATION; CLIMATE-CHANGE; THERMOHALINE CIRCULATION; VEGETATION RECORDS; POLLEN RECORD; LAKE GEORGE; PACIFIC</t>
  </si>
  <si>
    <t>We have compiled 223 sedimentary charcoal records from Australasia in order to examine the temporal and spatial variability of fire regimes during the Late Quaternary. While some of these records cover more than a full glacial cycle, here we focus on the last 70,000 years when the number of individual records in the compilation allows more robust conclusions. On orbital time scales, fire in Australasia predominantly reflects climate, with colder periods characterized by less and warmer intervals by more biomass burning. The composite record for the region also shows considerable millennial-scale variability during the last glacial interval (73.5-14.7 ka). Within the limits of the dating uncertainties of individual records, the variability shown by the composite charcoal record is more similar to the form, number and timing of Dansgaard-Oeschger cycles as observed in Greenland ice cores than to the variability expressed in the Antarctic ice-core record. The composite charcoal record suggests increased biomass burning in the Australasian region during Greenland Interstadials and reduced burning during Greenland Stadials. Millennial-scale variability is characteristic of the composite record of the subtropical high pressure belt during the past 21 ka, but the tropics show a somewhat simpler pattern of variability with major peaks in biomass burning around 15 ka and 8 ka. There is no distinct change in fire regime corresponding to the arrival of humans in Australia at 50 +/- 10 ka and no correlation between archaeological evidence of increased human activity during the past 40 ka and the history of biomass burning. However, changes in biomass burning in the last 200 years may have been exacerbated or influenced by humans. (C) 2010 Elsevier Ltd. All rights reserved.</t>
  </si>
  <si>
    <t>[Mooney, S. D.; Black, M.] Univ New S Wales, Sch Biol Earth &amp; Environm Sci, Sydney, NSW 2052, Australia; [Harrison, S. P.] Macquarie Univ, Sch Biol Sci, N Ryde, NSW 2109, Australia; [Bartlein, P. J.] Univ Oregon, Dept Geog, Eugene, OR 97403 USA; [Daniau, A. -L] Univ Bristol, Sch Geog Sci, Bristol, Avon, England; [Stevenson, J.; Haberle, S.; Hope, G. S.] Australian Natl Univ, Dept Archaeol &amp; Nat Hist, Canberra, ACT, Australia; [Brownlie, K. C.; Buckman, S.] Univ Wollongong, Sch Earth &amp; Environm Sci, Wollongong, NSW 2522, Australia; [Cupper, M.] Univ Melbourne, Sch Earth Sci, Melbourne, Vic 3010, Australia; [Luly, J.] James Cook Univ, Sch Earth &amp; Environm Sci, Townsville, Qld 4811, Australia; [Colhoun, E.] Univ Newcastle, Sch Geosci, Callaghan, NSW 2308, Australia; [D'Costa, D.] Univ Auckland, Sch Environm, Auckland 1, New Zealand; [Dodson, J.] Australia Nucl Sci &amp; Technol Org, Kirrawee, NSW 2232, Australia; [Kershaw, P.; McKenzie, M.] Monash Univ, Sch Geog &amp; Environm Sci, Clayton, Vic, Australia; [Kenyon, C.] Univ Melbourne, Melbourne Sch Land &amp; Environm, Melbourne, Vic 3010, Australia; [Williams, N.] New S Wales Dept Environm Climate Change &amp; Water, Sydney, NSW 1232, Australia</t>
  </si>
  <si>
    <t>University of New South Wales Sydney; Macquarie University; University of Oregon; University of Bristol; Australian National University; University of Wollongong; University of Melbourne; Melbourne Bioinformatics; James Cook University; University of Newcastle; University of Auckland; Australian Nuclear Science &amp; Technology Organisation; Monash University; University of Melbourne; Melbourne Bioinformatics</t>
  </si>
  <si>
    <t>Mooney, SD (corresponding author), Univ New S Wales, Sch Biol Earth &amp; Environm Sci, Sydney, NSW 2052, Australia.</t>
  </si>
  <si>
    <t>s.mooney@unsw.edu.au</t>
  </si>
  <si>
    <t>Hope, Geoffrey/O-2757-2019; IPO, PAGES/JXY-7546-2024; Bartlein, Patrick J./E-4643-2011; Luly, Jon/K-6731-2012; BUCKMAN, Solomon/J-6685-2015; Daniau, Anne-Laure/O-2379-2017; Mooney, Scott/M-5192-2019; Haberle, Simon/U-4118-2019</t>
  </si>
  <si>
    <t>Hope, Geoffrey/0000-0001-8366-0677; Bartlein, Patrick J./0000-0001-7657-5685; BUCKMAN, Solomon/0000-0001-5314-1331; Daniau, Anne-Laure/0000-0002-1621-3911; Mooney, Scott/0000-0003-4449-5060; Haberle, Simon/0000-0001-5802-6535; Harrison, Sandy/0000-0001-5687-1903; Kershaw, Peter/0000-0002-9478-0567; Stevenson, Janelle/0000-0001-9640-7275</t>
  </si>
  <si>
    <t>UK Natural Environment Research Council (NERC); NERC; US National Science Foundation (NSF); NERC [NE/E006183/1] Funding Source: UKRI; Natural Environment Research Council [NE/E006183/1] Funding Source: researchfish</t>
  </si>
  <si>
    <t>UK Natural Environment Research Council (NERC)(UK Research &amp; Innovation (UKRI)Natural Environment Research Council (NERC)); NERC(UK Research &amp; Innovation (UKRI)Natural Environment Research Council (NERC)); US National Science Foundation (NSF)(National Science Foundation (NSF)); NERC(UK Research &amp; Innovation (UKRI)Natural Environment Research Council (NERC)); Natural Environment Research Council(UK Research &amp; Innovation (UKRI)Natural Environment Research Council (NERC))</t>
  </si>
  <si>
    <t>This paper is a contribution to the ongoing work of the QUAVIDA working group of the ARC-NZ Network for Vegetation Function, to the UK Natural Environment Research Council (NERC) funded project Analysis of long-term Climate Change in Australia (ACACIA) and of the Global Palaeofire Working Group, supported by NERC and the US National Science Foundation (NSF). Mike Smith (Australian National Museum, Canberra) and Alan Williams (ANU, Canberra) supplied the archaeological data for Fig. 7. We thank Martin Williams for his helpful comments on the manuscript.</t>
  </si>
  <si>
    <t>10.1016/j.quascirev.2010.10.010</t>
  </si>
  <si>
    <t>WOS:000287067200003</t>
  </si>
  <si>
    <t>Stevenson, JA; Gilbert, JS; McGarvie, DW; Smellie, JL</t>
  </si>
  <si>
    <t>Stevenson, John A.; Gilbert, Jennie S.; McGarvie, David W.; Smellie, John L.</t>
  </si>
  <si>
    <t>Explosive rhyolite tuya formation: classic examples from Kerlingarfjoll, Iceland</t>
  </si>
  <si>
    <t>VOLCANO-ICE INTERACTIONS; SUBGLACIAL VOLCANISM; ERUPTION; MAGMA; ISLAND; INSIGHTS; FRAGMENTATION; FLUIDIZATION; VESICULARITY; TORFAJOKULL</t>
  </si>
  <si>
    <t>Rhyolite eruptions in Iceland mostly take place at long-lived central volcanoes, examples of which are found associated with each of the present-day rift-zone ice caps. Subglacial eruptions at Merlingarfjoll central volcano produced rhyolite tuyas that are notable for their exposures of early-erupted pyroclastic material. Observations from a number of these edifices are synthesised into a general model for explosive rhyolite tuya formation. Eruptions begin with violent phreatomagmatic explosions that generate massive tuff (mT), but the influence of water quickly declines, leading to the formation of massive lapilli-tuffs (mLT) containing magmatically-fragmented vesicular pumice and ash. These are deposited rapidly near the vent, probably by moist pyroclastic density currents, confined by ice but not within a meltwater lake. The explosive-effusive transition is controlled by the ascent rate and gas content of the magma. An unusual obsidian-rich massive lapilli-tuff lithofacies (omLT) is identified and interpreted as pyroclastic material that was intruded into gas-fluidised deposits at the explosive-effusive transition. The effusive phase of eruption involves the emplacement of intrusions and lava caps. Intrusions of lava into the early-erupted phreatomagmatic deposits are characterised by peperitic margins and the formation of hyaloclastite. Intrusions into stratigraphically higher levels of the pyroclastic material show more limited interaction with the host tephra and have microcrystalline cores. Large lava bodies with columnar-jointed margins cap the tuyas and have intrusive basal contacts with the tephras. The main influence of the ice is to confine the rhyolite eruptive products to immediately above the vent region. This is in contrast to subglacial basaltic tuya-forming eruptions, which are characterised by the formation of meltwater lakes, phreatomagmatic fragmentation and subaqueous deposition. The lack of meltwater storage may reduce the potential for large jokulhlaups. (C) 2010 Elsevier Ltd. All rights reserved.</t>
  </si>
  <si>
    <t>[Stevenson, John A.; McGarvie, David W.] Open Univ, Dept Earth Sci, Milton Keynes MK7 6AA, Bucks, England; [Gilbert, Jennie S.] Univ Lancaster, Lancaster Environm Ctr, Lancaster LA1 4YQ, England; [Smellie, John L.] British Antarctic Survey, Cambridge CB3 0ET, England</t>
  </si>
  <si>
    <t>Open University - UK; Lancaster University; UK Research &amp; Innovation (UKRI); Natural Environment Research Council (NERC); NERC British Antarctic Survey</t>
  </si>
  <si>
    <t>Stevenson, JA (corresponding author), Open Univ, Dept Earth Sci, Walton Hall, Milton Keynes MK7 6AA, Bucks, England.</t>
  </si>
  <si>
    <t>johnalexanderstevenson@yahoo.co.uk</t>
  </si>
  <si>
    <t>McGarvie, Dave/HQZ-8907-2023; Gilbert, Jennie/A-3243-2009</t>
  </si>
  <si>
    <t>Gilbert, Jennie/0000-0002-6277-738X; Stevenson, John/0000-0002-2245-1334</t>
  </si>
  <si>
    <t>Open University Regional Studentship; OU Staff Tutor Research Fund; NERC [bas010019] Funding Source: UKRI; Natural Environment Research Council [bas010019, ceh010010] Funding Source: researchfish</t>
  </si>
  <si>
    <t>Open University Regional Studentship; OU Staff Tutor Research Fund; NERC(UK Research &amp; Innovation (UKRI)Natural Environment Research Council (NERC)); Natural Environment Research Council(UK Research &amp; Innovation (UKRI)Natural Environment Research Council (NERC))</t>
  </si>
  <si>
    <t>JAS was funded by an Open University Regional Studentship. DMcG acknowledges fieldwork funding from the OU Staff Tutor Research Fund. Ben Mason and Sarah Dare provided cheerful and welcome assistance in the field. The staff at the Kerlingarfjoll ski school are thanked for transport and shelter during rest days.</t>
  </si>
  <si>
    <t>10.1016/j.quascirev.2010.10.011</t>
  </si>
  <si>
    <t>WOS:000287067200013</t>
  </si>
  <si>
    <t>Dubois, N; Kienast, M; Kienast, S; Normandeau, C; Calvert, SE; Herbert, TD; Mix, A</t>
  </si>
  <si>
    <t>Dubois, Nathalie; Kienast, Markus; Kienast, Stephanie; Normandeau, Claire; Calvert, Stephen E.; Herbert, Timothy D.; Mix, Alan</t>
  </si>
  <si>
    <t>Millennial-scale variations in hydrography and biogeochemistry in the Eastern Equatorial Pacific over the last 100 kyr</t>
  </si>
  <si>
    <t>GLACIAL-INTERGLACIAL VARIABILITY; RADIOCARBON AGE CALIBRATION; SEA-SURFACE TEMPERATURES; LATE PLEISTOCENE; CLIMATE-CHANGE; SOUTHEAST PACIFIC; OVERTURNING CIRCULATION; LEAKAGE HYPOTHESIS; ORGANIC-CARBON; NORTH-ATLANTIC</t>
  </si>
  <si>
    <t>In this study, we use records of nitrogen isotope ratios (delta N-15), UK'37 temperature estimates, organic carbon and opal percentages from high-resolution sediment cores located in the eastern equatorial Pacific (EEP) to explore the mechanisms linking millennial-scale changes in low-latitude sea surface temperature, water column denitrification and surface productivity to the timing of northern or southern polar climate during the last 100,000 yr. Our results support a hypothesis that the Southern Hemisphere, and its connection to the low latitudes via shallow subsurface ocean circulation, has a primary influence on the biogeochemistry of the EEP. In addition, our results suggest that, during the last glacial stage, denitrification rates fluctuated on millennial timescales in response to water-column ventilation rather than upstream oxidant demand in intermediate-depth waters. However, due to the poor age constraints available for Marine Isotopic Stage (MIS) 3, the EEP sedimentary data presented here could support two conflicting mechanisms, one driven by enhanced intermediate overturning circulation in the Southern Ocean during Heinrich Events/Antarctic Warm Events, implying that subsurface flow rates control thermocline ventilation, and a second one consistent with more sluggish intermediate circulation during Antarctic Warm Events and giving a central role to the temperature control on oxygen solubility in Southern Ocean surface waters. (C) 2010 Elsevier Ltd. All rights reserved.</t>
  </si>
  <si>
    <t>[Dubois, Nathalie; Kienast, Markus; Kienast, Stephanie; Normandeau, Claire] Dalhousie Univ, Dept Oceanog, Halifax, NS B3H 4J1, Canada; [Calvert, Stephen E.] Univ British Columbia, Earth &amp; Ocean Sci Dept, Vancouver, BC V5Z 1M9, Canada; [Herbert, Timothy D.] Brown Univ, Dept Geol Sci, Providence, RI 02912 USA; [Mix, Alan] Oregon State Univ, Coll Ocean &amp; Atmospher Sci, Corvallis, OR 97331 USA</t>
  </si>
  <si>
    <t>Dalhousie University; University of British Columbia; Brown University; Oregon State University</t>
  </si>
  <si>
    <t>Dubois, N (corresponding author), Dalhousie Univ, Dept Oceanog, 1355 Oxford St, Halifax, NS B3H 4J1, Canada.</t>
  </si>
  <si>
    <t>nathalie.dubois@dal.ca</t>
  </si>
  <si>
    <t>Kienast, Stephanie/0000-0003-3867-4919; Dubois, Nathalie/0000-0003-2349-0826</t>
  </si>
  <si>
    <t>NSF [OCE97-12024, OCE-9102410]; NSERC Canada [AGS-0602395, OCE-0318081]; Canadian Institute for Advanced Research (CIFAR); Canadian Foundation for Climate and Atmospheric Sciences (CFCAS); Geological Society of America (GSA); Swiss NSF [PBSKP2-128454]; Swiss National Science Foundation (SNF) [PBSKP2-128454] Funding Source: Swiss National Science Foundation (SNF)</t>
  </si>
  <si>
    <t>NSF(National Science Foundation (NSF)); NSERC Canada(Natural Sciences and Engineering Research Council of Canada (NSERC)); Canadian Institute for Advanced Research (CIFAR)(Canadian Institute for Advanced Research (CIFAR)); Canadian Foundation for Climate and Atmospheric Sciences (CFCAS); Geological Society of America (GSA); Swiss NSF(Swiss National Science Foundation (SNSF)); Swiss National Science Foundation (SNF)(Swiss National Science Foundation (SNSF))</t>
  </si>
  <si>
    <t>Core material was kindly and generously provided by the Core Repositories of Oregon State University (supported by NSF grant OCE97-12024) and the University of Rhode Island (supported by NSF grant OCE-9102410). We gratefully acknowledge K. Gordon (UBC) for delta15N analysis, A. Belanger and C. Mac Master (Dalhousie) for laboratory assistance and S. Higginson and K. Thompson (Dalhousie) for their help with statistical treatment. This contribution benefitted from constructive comments of three reviewers, and from discussion with R. Anderson, E. Galbraith and R. Robinson. This work was supported by NSERC Canada (M.K, S.K., S.E.C.), NSF (grant AGS-0602395 for A.C.M.; grant OCE-0318081 for T.D.H.), the Canadian Institute for Advanced Research (CIFAR; M.K.), the Canadian Foundation for Climate and Atmospheric Sciences (CFCAS, S.E.C.), the Geological Society of America (GSA; N.D.) and the Swiss NSF (SNSF grant PBSKP2-128454 for N.D.).</t>
  </si>
  <si>
    <t>1873-457X</t>
  </si>
  <si>
    <t>10.1016/j.quascirev.2010.10.012</t>
  </si>
  <si>
    <t>WOS:000287067200014</t>
  </si>
  <si>
    <t>Soyfer, V; Goryachev, V; Vakulovsky, S; Katrich, I</t>
  </si>
  <si>
    <t>Soyfer, V; Goryachev, V; Vakulovsky, S.; Katrich, I</t>
  </si>
  <si>
    <t>Some results of tritium researches of natural waters in Russia (1960-2010)</t>
  </si>
  <si>
    <t>RADIOPROTECTION</t>
  </si>
  <si>
    <t>Original data of tritium ((HHO)-H-1-H-3, or HTO) studying (1959-2010) of both natural, and artificial (technogenic) origin in natural waters on the country territory and in the seas of the World Ocean are presented. Entry sources of cosmogenic and technogenic HTO in hydrosphere of the Earth from atmosphere and its carrying over to various links of hydrological cycle are considered. The basic laws of the space-temporal HTO distribution in surface water of the northern part of the Eurasian continent, in the seas washing Russia and in separate water areas of the World Ocean, and also in atmospheric precipitation and Antarctica's firn snow are studied. Prevailing influence of a molecular exchange on the HTO content in the top layer of lakes, the seas and oceans and in atmospheric moisture over the ocean is shown. The theory of a multicomponent isotope balance method is developed for studying of dynamic characteristics of water objects. Priority results of tritium use in the industry (on oil deposits, collieries, mines etc.) and in researches under national and international programs (WESTPAK, SOUTHERN OCEAN, Isotopes in deposits, the Soviet Arctic and Antarctic expeditions) are given. Systems of national and Far East regional monitoring HTO pollution of natural waters are created. Complexes for HTO measuring with record levels of threshold sensitivity (in the late seventies sensitivity of complex POI equaled to 4 x 10(-6) Bq/ml) have been developed.</t>
  </si>
  <si>
    <t>[Soyfer, V; Goryachev, V] RAS, Far Eastern Branch, Pacff Oceanol Inst, Vladivostok 690041, Russia; [Vakulovsky, S.; Katrich, I] SI RPA TYPHOON, Obninsk, Russia</t>
  </si>
  <si>
    <t>Russian Academy of Sciences</t>
  </si>
  <si>
    <t>Soyfer, V (corresponding author), RAS, Far Eastern Branch, Pacff Oceanol Inst, Vladivostok 690041, Russia.</t>
  </si>
  <si>
    <t>EDP SCIENCES S A</t>
  </si>
  <si>
    <t>LES ULIS CEDEX A</t>
  </si>
  <si>
    <t>17, AVE DU HOGGAR, PA COURTABOEUF, BP 112, F-91944 LES ULIS CEDEX A, FRANCE</t>
  </si>
  <si>
    <t>0033-8451</t>
  </si>
  <si>
    <t>1769-700X</t>
  </si>
  <si>
    <t>Radioprotection</t>
  </si>
  <si>
    <t>S355</t>
  </si>
  <si>
    <t>S361</t>
  </si>
  <si>
    <t>10.1051/radiopro/20116467s</t>
  </si>
  <si>
    <t>Environmental Sciences; Public, Environmental &amp; Occupational Health; Nuclear Science &amp; Technology; Radiology, Nuclear Medicine &amp; Medical Imaging</t>
  </si>
  <si>
    <t>Environmental Sciences &amp; Ecology; Public, Environmental &amp; Occupational Health; Nuclear Science &amp; Technology; Radiology, Nuclear Medicine &amp; Medical Imaging</t>
  </si>
  <si>
    <t>VI4KQ</t>
  </si>
  <si>
    <t>WOS:000485696700056</t>
  </si>
  <si>
    <t>Suparta, W</t>
  </si>
  <si>
    <t>Suparta, Wayan</t>
  </si>
  <si>
    <t>Remote Sensing of Solar Influence on Antarctic Terrestrial Climate from a GPS Perspective</t>
  </si>
  <si>
    <t>REMOTE SENSING OF SOLAR INFLUENCE ON ANTARCTIC TERRESTRIAL CLIMATE FROM A GPS PERSPECTIVE</t>
  </si>
  <si>
    <t>Environmental Science Engineering and Technology</t>
  </si>
  <si>
    <t>Article; Book</t>
  </si>
  <si>
    <t>ATMOSPHERIC WATER-VAPOR; IRRADIANCE VARIATIONS; REFRACTIVE-INDEX; AIR-TEMPERATURE; VARIABILITY; WEATHER; METEOROLOGY; CLOUD; PRECIPITATION; NETWORKS</t>
  </si>
  <si>
    <t>SUPARTA, WAYAN/K-3110-2013</t>
  </si>
  <si>
    <t>SUPARTA, WAYAN/0000-0002-6193-1867</t>
  </si>
  <si>
    <t>NOVA SCIENCE PUBLISHERS, INC</t>
  </si>
  <si>
    <t>HAUPPAUGE</t>
  </si>
  <si>
    <t>400 OSER AVE, STE 1600, HAUPPAUGE, NY 11788-3635 USA</t>
  </si>
  <si>
    <t>978-1-61761-317-3</t>
  </si>
  <si>
    <t>ENVIRON SCI ENG TECH</t>
  </si>
  <si>
    <t>Geosciences, Multidisciplinary; Remote Sensing</t>
  </si>
  <si>
    <t>Geology; Remote Sensing</t>
  </si>
  <si>
    <t>BTE47</t>
  </si>
  <si>
    <t>WOS:000286641400001</t>
  </si>
  <si>
    <t>Parmiggiani, F</t>
  </si>
  <si>
    <t>Bostater, CR; Mertikas, SP; Neyt, X; VelezReyes, M</t>
  </si>
  <si>
    <t>Parmiggiani, Flavio</t>
  </si>
  <si>
    <t>Is the katabatic wind the forcing factor of Terra Nova Bay polynya events?</t>
  </si>
  <si>
    <t>REMOTE SENSING OF THE OCEAN, SEA ICE, COASTAL WATERS, AND LARGE WATER REGIONS 2011</t>
  </si>
  <si>
    <t>Conference on Remote Sensing of the Ocean, Sea Ice, Coastal Waters, and Large Water Regions</t>
  </si>
  <si>
    <t>SEP 21-22, 2011</t>
  </si>
  <si>
    <t>Prague, CZECH REPUBLIC</t>
  </si>
  <si>
    <t>polynya; sea-ice; AMSR-E; microwave sensors</t>
  </si>
  <si>
    <t>SEA</t>
  </si>
  <si>
    <t>The dynamics of Terra Nova Bay (TNB) winter polynya events has been investigated by means of Sea-Ice Concentration (SIC) maps derived from the observations of the passive microwave sensor AMSR-E; these maps are produced by the Institute of Environmental Physics of the University of Bremen and made available on a daily basis through its web site. The formation and persistence of TNB polynya are thought to be due to the combined effect of katabatic winds, advecting eastward the new formed ice, and of the Drygalski Ice Tongue which inhibits northward ice drift into TNB. To measure polynya extents, an image window covering the area of TNB, approximately from 74.5 to 75.5 degrees S and from 163 to 167 degrees E, was extracted from the whole Antarctic SIC data set. This image window, 20 x 20 pixel size, i.e. 125 x 125 km, which almost exactly circumscribes the TNB polynya, is used for the computation of polynya area. On the basis of previous studies, it is assumed that a SIC pixel is open water when its value goes below 70%; polynya area is then computed by multiplying the number of open water pixels by the area of one pixel (39.0625 km(2)). As katabatic wind, blowing eastward down from the Presley Glacier, is considered the main forcing factor in the opening of the polynya, wind data from AWS Eneide station, located in the vicinity of the Italian Antarctic Base Mario Zucchelli Station (74.8 degrees S 164.18 degrees E), were retrieved. Eneide station takes measurements of wind speed and direction and air temperature every hour; wind speed and direction were then composed in one single figure defined as effective wind, i.e. the wind component pushing eastward or at 270 degrees. The correlation between effective wind and polynya extents was analyzed by means of the running correlation coefficient function R-i which can reveal the consistency between the forcing factor of the polynya and its opening. R-i function demonstrates that water areas may correlate either positively or negatively with offshore winds. This main result is analyzed and discussed.</t>
  </si>
  <si>
    <t>ISAC CNR, I-40129 Bologna, Italy</t>
  </si>
  <si>
    <t>Consiglio Nazionale delle Ricerche (CNR); Istituto di Scienze dell'Atmosfera e del Clima (ISAC-CNR)</t>
  </si>
  <si>
    <t>Parmiggiani, F (corresponding author), ISAC CNR, Via Gobetti 101, I-40129 Bologna, Italy.</t>
  </si>
  <si>
    <t>f.parmiggiani@isac.cnr.it</t>
  </si>
  <si>
    <t>978-0-81948-802-2</t>
  </si>
  <si>
    <t>10.1117/12.897387</t>
  </si>
  <si>
    <t>Remote Sensing; Optics; Imaging Science &amp; Photographic Technology</t>
  </si>
  <si>
    <t>BZS31</t>
  </si>
  <si>
    <t>WOS:000302739200029</t>
  </si>
  <si>
    <t>Guly, H</t>
  </si>
  <si>
    <t>Guly, Henry</t>
  </si>
  <si>
    <t>History of accidental hypothermia</t>
  </si>
  <si>
    <t>RESUSCITATION</t>
  </si>
  <si>
    <t>Hypothermia; History of medicine; Core temperature; Temperature measurement</t>
  </si>
  <si>
    <t>COLD; TEMPERATURE; RESPIRATION; EXPOSURE; ANIMALS; DEATH; HEART</t>
  </si>
  <si>
    <t>Death from exposure to cold has been recognised for thousands of years but hypothermia as a clinical condition was not generally recognised until the mid-20th century and then only in extreme conditions such as immersion in cold water or snow. In the UK, hypothermia in less extreme conditions was not generally recognised until the 1960s. Recognition of hypothermia required the temperature to be measured and this did not become a clinical tool until the late 1800s and it was not used routinely until the early 1900s. Although John Hunter and James Curry did some physiological experiments in the 1700s, detailed physiological experiments were not done until the early 20th century and the use of therapeutic hypothermia for malignancy and in anaesthesia in the 1930s and 1940s provided more impetus for investigating the physiology of hypothermia in humans and familiarising the medical profession with measuring core temperatures. (C) 2010 Elsevier Ireland Ltd. All rights reserved.</t>
  </si>
  <si>
    <t>Derriford Hosp, Plymouth PL6 8DH, Devon, England</t>
  </si>
  <si>
    <t>Derriford Hospital</t>
  </si>
  <si>
    <t>Guly, H (corresponding author), Derriford Hosp, Plymouth PL6 8DH, Devon, England.</t>
  </si>
  <si>
    <t>henry.guly@phnt.swest.nhs.uk</t>
  </si>
  <si>
    <t>Wellcome Trust</t>
  </si>
  <si>
    <t>Wellcome Trust(Wellcome Trust)</t>
  </si>
  <si>
    <t>This research was funded by the Wellcome Trust by a Short Term Research Award in the History of Medicine for Clinicians and Scientists for a study on Medicine during the Heroic Age of Antarctic exploration 1895-1922.</t>
  </si>
  <si>
    <t>ELSEVIER IRELAND LTD</t>
  </si>
  <si>
    <t>CLARE</t>
  </si>
  <si>
    <t>ELSEVIER HOUSE, BROOKVALE PLAZA, EAST PARK SHANNON, CO, CLARE, 00000, IRELAND</t>
  </si>
  <si>
    <t>0300-9572</t>
  </si>
  <si>
    <t>Resuscitation</t>
  </si>
  <si>
    <t>10.1016/j.resuscitation.2010.09.465</t>
  </si>
  <si>
    <t>Critical Care Medicine; Emergency Medicine</t>
  </si>
  <si>
    <t>General &amp; Internal Medicine; Emergency Medicine</t>
  </si>
  <si>
    <t>713FN</t>
  </si>
  <si>
    <t>hybrid, Green Published</t>
  </si>
  <si>
    <t>WOS:000286720500022</t>
  </si>
  <si>
    <t>Riding, JB; Quattrocchio, ME; Martínez, MA</t>
  </si>
  <si>
    <t>Riding, James B.; Quattrocchio, Mirta E.; Martinez, Marcelo A.</t>
  </si>
  <si>
    <t>Mid Jurassic (Late Callovian) dinoflagellate cysts from the Lotena Formation of the Neuquen Basin, Argentina and their palaeogeographical significance</t>
  </si>
  <si>
    <t>REVIEW OF PALAEOBOTANY AND PALYNOLOGY</t>
  </si>
  <si>
    <t>Lotena Formation; Mid Jurassic; dinoflagellate cysts; biostratigraphy; palaeogeography; Argentina</t>
  </si>
  <si>
    <t>BAYU-UNDAN FIELD; TIMOR SEA; SEQUENCE STRATIGRAPHY; ANTARCTIC PENINSULA; PALYNOLOGY; STRATA; PALEOENVIRONMENTS; BIOSTRATIGRAPHY; PALYNOMORPHS; AMERICA</t>
  </si>
  <si>
    <t>The Lotena Formation from two localities, Plain Leufu and Portada Covunco, in the Neuquen Basin of west-central Argentina was studied palynologically. The material examined produced moderately diverse Late Callovian dinoflagellate cyst assemblages. This age assignment is consistent with ammonite evidence. The dinoflagellate cyst floras are reminiscent of the Middle Jurassic associations of northwest Europe and surrounding areas. Marine palynomorphs typical of Australasia and the Arctic are absent. The similarity with Europe is strongly suggestive of an open marine connection between western Tethys and the Neuquen Basin during the Late Callovian. This is interpreted as being via the Hispanic Corridor, with the palynofloras being passively dispersed to the southwest by the circum-Tropical Marine Current. Earlier studies indicate that this trans-Pangean equatorial seaway first began to allow biotic interchange during the Mid Jurassic and this study proves that this open marine connection was established by the Late Callovian. The similarities between the dinoflagellate cyst assemblages of Europe and the Neuquen Basin are consistent with the distribution of other marine fossils and the existence of geographically continuous marine facies belts. (C) 2011 Natural Environment Research Council. Published by Elsevier BV. All rights reserved.</t>
  </si>
  <si>
    <t>[Riding, James B.] British Geol Survey, Kingsley Dunham Ctr, Nottingham NG12 5GG, England; [Quattrocchio, Mirta E.; Martinez, Marcelo A.] Univ Nacl Sur, Dept Geol, CONICET, RA-8000 Bahia Blanca, Buenos Aires, Argentina</t>
  </si>
  <si>
    <t>UK Research &amp; Innovation (UKRI); Natural Environment Research Council (NERC); NERC British Geological Survey; Consejo Nacional de Investigaciones Cientificas y Tecnicas (CONICET); National University of the South</t>
  </si>
  <si>
    <t>Riding, JB (corresponding author), British Geol Survey, Kingsley Dunham Ctr, Nottingham NG12 5GG, England.</t>
  </si>
  <si>
    <t>jbri@bgs.ac.uk; mquattro@criba.edu.ar; martinez@criba.edu.ar</t>
  </si>
  <si>
    <t>Martinez, Marcelo/0000-0003-0538-4739</t>
  </si>
  <si>
    <t>Natural Environment Research Council [bgs05004] Funding Source: researchfish; NERC [bgs05004] Funding Source: UKRI</t>
  </si>
  <si>
    <t>0034-6667</t>
  </si>
  <si>
    <t>1879-0615</t>
  </si>
  <si>
    <t>REV PALAEOBOT PALYNO</t>
  </si>
  <si>
    <t>Rev. Palaeobot. Palynology</t>
  </si>
  <si>
    <t>10.1016/j.revpalbo.2010.10.009</t>
  </si>
  <si>
    <t>Plant Sciences; Paleontology</t>
  </si>
  <si>
    <t>712SF</t>
  </si>
  <si>
    <t>Green Accepted, Green Published</t>
  </si>
  <si>
    <t>WOS:000286685800004</t>
  </si>
  <si>
    <t>Vieira, R; Simoes, JC</t>
  </si>
  <si>
    <t>Vieira, Rosemary; Simoes, Jefferson Cardia</t>
  </si>
  <si>
    <t>GLORIAL GEOMORFOLOGY OF MONTES PATRIOT AND MONTES INDEPENDENCE, ELLSWORTH MOUNTAINS. WEST ANTARCTICA ICE SHEET</t>
  </si>
  <si>
    <t>REVISTA BRASILEIRA DE GEOMORFOLOGIA</t>
  </si>
  <si>
    <t>Portuguese</t>
  </si>
  <si>
    <t>Antarctica; West Antarctic Ice Sheet; glacial geomorphology</t>
  </si>
  <si>
    <t>This paper describes and analyzes the glacially modified landforms in Patriot and Independence Hills, which rise on the surface of the West Antarctica ice sheet, and the processes acting on them associated to the dynamics of the ice sheet. Field investigations were conducted during Expedition Crystal Desert in the summer of 2008/2009. Two sets of landform were identified and are associated with changes in West Antarctica ice sheet: (a) rock glaciers and periglacial rock-ice features; (b) supraglacial moraines and blue-ice moraines. The dominant depositional features in Patriot and Independence Hills involve two processes: (1) activities of slopes that provide abundant supraglacial material, (2) basal and englacial debris that reach the surface of the ice when it is lowered by ablation processes. Prominent ice core morainic ridges, with kilometers long and tens of meters wide. Morainic ridges closest to the rock walls, especially in the Independence Hills, also suffer the influence of the slope activity, so remobilizing the original deposits. Morainic ridges are generated as sediment reaches the surface by ablation or by upward movements of the ice, with little post-depositional movement. The processes of sublimation of ice are common on the surface of the glaciers and moraines, producing an uneven surface. Solar radiation and wind action can also contribute to the ablation in some points of the moraine.</t>
  </si>
  <si>
    <t>[Vieira, Rosemary] Univ Fed Fluminense, Dept Geog, Polo Univ Campos Goytacazes, BR-28010385 Campos Dos Goytacazes, RJ, Brazil; [Simoes, Jefferson Cardia] Univ Fed Rio Grande do Sul, Inst Geociencias, Ctr Polar &amp; Climat, Av Bento Goncalves 9500, BR-91501970 Porto Alegre, RS, Brazil</t>
  </si>
  <si>
    <t>Universidade Federal Fluminense; Universidade Federal do Rio Grande do Sul</t>
  </si>
  <si>
    <t>Vieira, R (corresponding author), Univ Fed Fluminense, Dept Geog, Polo Univ Campos Goytacazes, BR-28010385 Campos Dos Goytacazes, RJ, Brazil.</t>
  </si>
  <si>
    <t>rosenupac@yahoo.com.br; jefferson.simoes@ufrgs.br</t>
  </si>
  <si>
    <t>Simoes, Jefferson Cardia/D-7232-2013</t>
  </si>
  <si>
    <t>Simoes, Jefferson Cardia/0000-0001-5555-3401</t>
  </si>
  <si>
    <t>UNIAO GEOMORFOLOGIA BRASILEIRA</t>
  </si>
  <si>
    <t>UBERLANDIA, BRAZIL</t>
  </si>
  <si>
    <t>UNIV FEDERAL UBERLANDIA, AV JOAO NAVES AVILA 2160, UBERLANDIA, BRAZIL, 00000, BRAZIL</t>
  </si>
  <si>
    <t>1519-1540</t>
  </si>
  <si>
    <t>2236-5664</t>
  </si>
  <si>
    <t>REV BRAS GEOMORFOL</t>
  </si>
  <si>
    <t>Rev. Bras. Geomorfol.</t>
  </si>
  <si>
    <t>JAN-JUN</t>
  </si>
  <si>
    <t>Geography, Physical</t>
  </si>
  <si>
    <t>Physical Geography</t>
  </si>
  <si>
    <t>V1I4C</t>
  </si>
  <si>
    <t>WOS:000216932100006</t>
  </si>
  <si>
    <t>Diez, MJ; Florentín, O; Lovrich, GA</t>
  </si>
  <si>
    <t>Diez, Mariano J.; Florentin, Olga; Lovrich, Gustavo A.</t>
  </si>
  <si>
    <t>Distribution and population structure of the crab Halicarcinus planatus (Brachyura, Hymenosomatidae) in the Beagle Channel, Tierra del Fuego</t>
  </si>
  <si>
    <t>Abundance; sex ratio; sexual maturity; recruitment; sub-Antarctic</t>
  </si>
  <si>
    <t>REPRODUCTIVE-BIOLOGY; MACROCYSTIS-PYRIFERA; CARCINUS-MAENAS; DESEADO RIVER; DECAPODA; CRUSTACEA; COMPETITION; ABUNDANCE; ESTUARY</t>
  </si>
  <si>
    <t>The crab Halicarcinus planatus is the only hymenosomatid that inhabits the southern tip of South America and has a sub-Antarctic distribution, including the peri-Antarctic islands and New Zealand. In this paper, we report the abundance and population structure of H. planatus for a year in the intertidal zone of Bahia Brown, Beagle Channel, Tierra del Fuego. Moreover, we show variations in the population structure in other beaches and environments of the channel. In contrast with males, female density showed monthly variations and was higher during austral summer months. High densities of H. planatus could be related with low mortality during the larval stage and oceanographic features of Bahia Brown, probably enhanced by the presence of both culture and mussel beds, substrates where settlement would occur. The populational sex ratio was biased towards females only in summer, while the operational sex ratio was biased towards males during all periods studied, suggesting strong competition among males for mating. In turn, males were present only in the intertidal zone of Bahia Brown and Macrocystis pyrifera but were absent in the other studied intertidal areas. This is perhaps related to the lack of shelter in the subtidal zone of Bahia Brown. Recruitment occurs in two different periods, summer (January-February) and autumn-winter (May-June), which corresponds with the two larval cohorts of H. planatus in the Beagle Channel.</t>
  </si>
  <si>
    <t>[Diez, Mariano J.; Florentin, Olga; Lovrich, Gustavo A.] Consejo Nacl Invest Cient &amp; Tecn, CADIC, Ushuaia, Tierra Fuego, Argentina</t>
  </si>
  <si>
    <t>Diez, MJ (corresponding author), Consejo Nacl Invest Cient &amp; Tecn, CADIC, Houssay 200,V9410CAB, Ushuaia, Tierra Fuego, Argentina.</t>
  </si>
  <si>
    <t>marianodiez@cadic-conicet.gob.ar</t>
  </si>
  <si>
    <t>Lovrich, Gustavo/0000-0001-8424-6566</t>
  </si>
  <si>
    <t>UNIV VALPARAISO, Faculty Marine Sciences and Natural Resources</t>
  </si>
  <si>
    <t>CASILLA 5080 - RENACA, VINA DEL MAR, 00000, CHILE</t>
  </si>
  <si>
    <t>10.4067/S0718-19572011000200005</t>
  </si>
  <si>
    <t>WOS:000294420600005</t>
  </si>
  <si>
    <t>Di Capua, M; Mirvis, A; Medina, O; Akin, DL</t>
  </si>
  <si>
    <t>Di Capua, Massimiliano; Mirvis, Adam; Medina, Omar; Akin, David L.</t>
  </si>
  <si>
    <t>Minimum Functionality Lunar Habitat Element Design: Requirements and Definition of an Initial Human Establishment on the Moon</t>
  </si>
  <si>
    <t>SAE INTERNATIONAL JOURNAL OF AEROSPACE</t>
  </si>
  <si>
    <t>This paper summarizes the activities of the University of Maryland Space Systems Laboratory in performing a design study for a minimum functionality lunar habitat element for NASA's Exploration Systems Mission Directorate. By creating and deploying a survey to personnel experienced in Earth analogues, primarily shipboard and Antarctic habitats, a list of critical habitat functions was established, along with their relative importance and their impact on systems design/implementation. Based on a review of relevant past literature and the survey results, four habitat concepts were developed, focused on interior space layout and preliminary systems sizing. Those concepts were then evaluated for habitability through virtual reality (VR) techniques and merged into a single design. Trade studies were conducted on habitat systems, and the final design was synthesized based on all of the results. A full scale functional mockup of the final concept was fabricated which along with neutral buoyancy partial gravity testing allowed more realistic human factors studies and the validation of the VR techniques used previously.</t>
  </si>
  <si>
    <t>[Di Capua, Massimiliano; Mirvis, Adam; Medina, Omar; Akin, David L.] Univ Maryland, Space Syst Lab, College Pk, MD 20742 USA</t>
  </si>
  <si>
    <t>University System of Maryland; University of Maryland College Park</t>
  </si>
  <si>
    <t>Di Capua, M (corresponding author), Univ Maryland, Space Syst Lab, College Pk, MD 20742 USA.</t>
  </si>
  <si>
    <t>maxdc@ssl.umd.edu; amirvis@ssl.umd.edu; omedina@umd.edu; dakin@ssl.umd.edu</t>
  </si>
  <si>
    <t>NASA Exploration Systems Mission Directorate (ESMD)</t>
  </si>
  <si>
    <t>Thanks to our colleagues at the Space Systems Laboratory especially Kevin Davis, William Cannan and Heather Bradshaw. Thanks also goes to the anonymous reviewers for their valuable feedback, which significantly helped improve this paper. This work was funded by the NASA Exploration Systems Mission Directorate (ESMD). BAA: NNJ08ZBT002. The enthusiastic support of the NASA technical monitor, Larry Toups, is gratefully appreciated.</t>
  </si>
  <si>
    <t>SAE INT</t>
  </si>
  <si>
    <t>WARRENDALE</t>
  </si>
  <si>
    <t>400 COMMONWEALTH DR, WARRENDALE, PA 15096 USA</t>
  </si>
  <si>
    <t>1946-3855</t>
  </si>
  <si>
    <t>1946-3901</t>
  </si>
  <si>
    <t>SAE INT J AEROSP</t>
  </si>
  <si>
    <t>SAE Int. J. Aerosp.</t>
  </si>
  <si>
    <t>10.4271/2009-01-2369</t>
  </si>
  <si>
    <t>VH0UJ</t>
  </si>
  <si>
    <t>WOS:000450078900012</t>
  </si>
  <si>
    <t>Cajigal, ARV; Chamrat, S; Tippins, D; Mueller, M; Thomson, N</t>
  </si>
  <si>
    <t>Cajigal, Aris Reynold V.; Chamrat, Suthida; Tippins, Deborah; Mueller, Mike; Thomson, Norman</t>
  </si>
  <si>
    <t>Beyond the Movie Screen: An Antarctic Adventure</t>
  </si>
  <si>
    <t>SCIENCE ACTIVITIES</t>
  </si>
  <si>
    <t>ethical decision-making; isotopes; movies</t>
  </si>
  <si>
    <t>Movies depicting science-related issues often capture the attention of today's youth. As an instructional tool, movies can take us beyond the drama and action and thrilling scenes. In this article we share our experiences of using the movie Eight Below as a centerpiece for developing high school students' understanding of basic chemistry concepts. In addition to the science concepts developed using the context of the movie, we engaged students in thinking about the ethical dilemmas embedded in the movie.</t>
  </si>
  <si>
    <t>[Cajigal, Aris Reynold V.] Mariano Marcos State Univ, Laoag City, Philippines; [Chamrat, Suthida] Kasetsart Univ, Bangkok, Thailand; [Tippins, Deborah; Mueller, Mike; Thomson, Norman] Univ Georgia, Athens, GA 30602 USA</t>
  </si>
  <si>
    <t>Mariano Marcos State University; Kasetsart University; University System of Georgia; University of Georgia</t>
  </si>
  <si>
    <t>Cajigal, ARV (corresponding author), Mariano Marcos State Univ, Coll Teacher Educ, A Castro Ave, Laoag City 2900, Philippines.</t>
  </si>
  <si>
    <t>arvcajigal@yahoo.com</t>
  </si>
  <si>
    <t>CHAMRAT, SUTHIDA/M-3642-2019</t>
  </si>
  <si>
    <t>CHAMRAT, SUTHIDA/0000-0002-1562-6378</t>
  </si>
  <si>
    <t>0036-8121</t>
  </si>
  <si>
    <t>1940-1302</t>
  </si>
  <si>
    <t>SCI ACT</t>
  </si>
  <si>
    <t>Sci. Act.</t>
  </si>
  <si>
    <t>10.1080/00368121.2010.532836</t>
  </si>
  <si>
    <t>Education &amp; Educational Research</t>
  </si>
  <si>
    <t>V3M4Q</t>
  </si>
  <si>
    <t>WOS:000218389500001</t>
  </si>
  <si>
    <t>Bennett, BM; Hodge, JM</t>
  </si>
  <si>
    <t>The Science of Decolonization: The Retention of 'Environmental Authority' in the Contest for Antarctic Sovereignty between Britain, Argentina, and Chile, 1939-59</t>
  </si>
  <si>
    <t>SCIENCE AND EMPIRE: KNOWLEDGE AND NETWORKS OF SCIENCE ACROSS THE BRITISH EMPIRE, 1800-1970</t>
  </si>
  <si>
    <t>Britain and the World Series</t>
  </si>
  <si>
    <t>Colorado State Univ, Ft Collins, CO 80523 USA</t>
  </si>
  <si>
    <t>Howkins, A (corresponding author), Colorado State Univ, Ft Collins, CO 80523 USA.</t>
  </si>
  <si>
    <t>978-0-230-32082-6</t>
  </si>
  <si>
    <t>BRIT WOR SER</t>
  </si>
  <si>
    <t>10.1057/9780230320826</t>
  </si>
  <si>
    <t>History; History &amp; Philosophy Of Science</t>
  </si>
  <si>
    <t>History; History &amp; Philosophy of Science</t>
  </si>
  <si>
    <t>BBH71</t>
  </si>
  <si>
    <t>WOS:000306859300012</t>
  </si>
  <si>
    <t>Tin, T; Bastmeijer, K; O'Reilly, J; Maher, P</t>
  </si>
  <si>
    <t>Watson, A; MurrietaSaldivar, J; McBride, B</t>
  </si>
  <si>
    <t>Tin, Tina; Bastmeijer, Kees; O'Reilly, Jessica; Maher, Patrick</t>
  </si>
  <si>
    <t>Public Perception of the Antarctic Wilderness: Surveys from an Educated, Environmentally Knowledgeable European Community</t>
  </si>
  <si>
    <t>SCIENCE AND STEWARDSHIP TO PROTECT AND SUSTAIN WILDERNESS VALUES</t>
  </si>
  <si>
    <t>USDA Forest Service Rocky Mountain Research Station Proceedings</t>
  </si>
  <si>
    <t>9th World Wilderness Congress Symposium - Science and Stewardship to Protect and Sustain Wilderness Values</t>
  </si>
  <si>
    <t>NOV 06-13, 2009</t>
  </si>
  <si>
    <t>Merida, MEXICO</t>
  </si>
  <si>
    <t>In 2007 and 2008, students from Tilburg University (the Netherlands) collected 269 responses on a questionnaire about Antarctica and its management. Respondents in the Netherlands clearly supported protecting Antarctica as a wilderness, and acknowledged Antarctica's importance as part of the global climate system and as a science laboratory for the benefit of mankind. Since the Consultative Parties to the Antarctic Treaty frequently state that they manage Antarctica for the benefit of mankind, research on the general public's opinion on management issues should be considered relevant information for the decision making process within the Antarctic Treaty System. The strongest opinions of those surveyed suggest that they would like to see that management of Antarctica would allow for scientific research and educational visits on a small scale, while several other categories of activities many commercial, for-profit or extractive would be discouraged or prohibited. Large scale tourism, land-based tourism, construction of roads and airstrips, mineral resource activities and whaling all received little support from the respondents. According to respondents, protecting Antarctica's wilderness values, as mandated under the Environmental Protocol to the Antarctic Treaty, means ensuring that Antarctica remains as close as possible to its original condition.</t>
  </si>
  <si>
    <t>[Tin, Tina] ASOC, BP 80358, F-45163 Olivet 3, France; [Bastmeijer, Kees] Tilburg Univ, Tilburg Law Sch, Nat Conservat &amp; Water Law, Tilburg, Netherlands; [O'Reilly, Jessica] Univ Calif San Diego, San Diego, CA 92103 USA; [O'Reilly, Jessica] Princeton Univ, Princeton, NJ 08544 USA; [Maher, Patrick] Univ Northern British Columbia, Outdoor Recreat &amp; Tourism Management Program, Prince George, BC, Canada</t>
  </si>
  <si>
    <t>Tilburg University; University of California System; University of California San Diego; Princeton University; University of Northern British Columbia</t>
  </si>
  <si>
    <t>Tin, T (corresponding author), ASOC, BP 80358, F-45163 Olivet 3, France.</t>
  </si>
  <si>
    <t>tinatintk@gmail.com; c.j.bastmeijer@uvt.nl; oreillyj@princeton.edu; maherp@unbc.ca</t>
  </si>
  <si>
    <t>Bastmeijer, Kees/ABG-1133-2021; Maher, Patrick/AAU-4377-2020</t>
  </si>
  <si>
    <t>Bastmeijer, Kees/0000-0002-3652-8160;</t>
  </si>
  <si>
    <t>US DEPT AGR, FOREST SERV ROCKY MT FOREST &amp; RANGE EXPTL STN</t>
  </si>
  <si>
    <t>FT COLLINS</t>
  </si>
  <si>
    <t>FT COLLINS, CO 80526 USA</t>
  </si>
  <si>
    <t>1945-0672</t>
  </si>
  <si>
    <t>US FOR SERV RMRS-P</t>
  </si>
  <si>
    <t>USDA For. Ser. Rocky Mt. Res. Stat. Proc.</t>
  </si>
  <si>
    <t>Biodiversity Conservation; Environmental Studies</t>
  </si>
  <si>
    <t>Conference Proceedings Citation Index - Science (CPCI-S); Conference Proceedings Citation Index - Social Science &amp; Humanities (CPCI-SSH)</t>
  </si>
  <si>
    <t>BH2IQ</t>
  </si>
  <si>
    <t>WOS:000398977000015</t>
  </si>
  <si>
    <t>Tin, T; Hemmings, AD</t>
  </si>
  <si>
    <t>Tin, Tina; Hemmings, Alan D.</t>
  </si>
  <si>
    <t>Challenges in Protecting the Wilderness of Antarctica</t>
  </si>
  <si>
    <t>Since 1998, the wilderness values of Antarctica have been among those given legal recognition under the Protocol on Environmental Protection to the Antarctic Treaty. Despite the legal obligation, on-the-ground implementation has attracted little interest. The term wilderness and its consequential operational implication, including the designation of Antarctic Specially Protected Areas and the drafting of Environmental Impact Assessments, is still poorly conceptualized in Antarctic Treaty System discourse. Many possible factors underlie the lack of attention to the protection of wilderness in Antarctica. There is the perception that wilderness is in overabundance in Antarctica and hence does not require special protection. Setting areas aside, out of bounds of infrastructure development, may be perceived as threatening to national ambitions and the accepted ideas of freedom of movement. There is no formal definition of either term in the Protocol or elsewhere in Antarctic Treaty System (ATS) instruments, and the concept of wilderness (as other terms in the Protocol) seems often to be cast as too complex or philosophical to be applied in practice. We ask the question of how existing environmental measures within the ATS and non-Antarctic wilderness management tools could be used to achieve on-the-ground protection of the Antarctic wilderness.</t>
  </si>
  <si>
    <t>[Tin, Tina] ASOC, BP 80358, F-45163 Olivet 3, France; [Hemmings, Alan D.] Univ Canterbury, Gateway Antarctica Ctr Antarctic Studies &amp; Res, Christchurch, New Zealand; [Hemmings, Alan D.] Univ Tasmania, Inst Marine &amp; Antarctic Studies, Hobart, Tas, Australia</t>
  </si>
  <si>
    <t>University of Canterbury; University of Tasmania</t>
  </si>
  <si>
    <t>tinatintk@gmail.com; ahe30184@bigpond.net.au</t>
  </si>
  <si>
    <t>WOS:000398977000021</t>
  </si>
  <si>
    <t>Summerson, R; Tin, T</t>
  </si>
  <si>
    <t>Summerson, Rupert; Tin, Tina</t>
  </si>
  <si>
    <t>Protection of the Wilderness and Aesthetic Values of Antarctica: Geographical Information Systems (GIS) as a Tool</t>
  </si>
  <si>
    <t>Antarctica is designated by the Antarctic Treaty System as a natural reserve devoted to peace and science (http://www.ats. aq/index_e.htm). Multiple, and sometimes conflicting, values are protected. In a place where wilderness protection and certain forms of human activity are both prized, a discussion of the protection of the Antarctic wilderness necessarily leads to the question of the present and future human footprint in Antarctica. A comprehensive and systematic assessment of the human footprint in Antarctica has never been done, and in this paper the authors explore the opportunities and challenges in conducting such an assessment. On examining the exchange of information conducted under the Antarctic Treaty System, one finds that the information on human activity in Antarctica is relatively centralized, and that with the right permissions, together with dedicated and significant effort, it should be possible to assemble all information in one place. After that, the next challenge lies in the representation of this data in a coherent manner that would be useful for planning purposes. Geographical Information Systems (GIS) are a useful tool for representing this data; however, much work still needs to be done to arrive at a system that is clear, transparent, and reproducible and can illustrate the impacts of human activities on wilderness character or values.</t>
  </si>
  <si>
    <t>[Summerson, Rupert] Univ Melbourne, Fac Architecture Bldg &amp; Planning, Melbourne, Vic, Australia; [Tin, Tina] ASOC, F-45163 Olivet 3, France</t>
  </si>
  <si>
    <t>University of Melbourne; Melbourne Bioinformatics</t>
  </si>
  <si>
    <t>Summerson, R (corresponding author), Univ Melbourne, Fac Architecture Bldg &amp; Planning, Melbourne, Vic, Australia.</t>
  </si>
  <si>
    <t>rupert.summerson@bigpond.com; tinatintk@gmail.com</t>
  </si>
  <si>
    <t>WOS:000398977000025</t>
  </si>
  <si>
    <t>Jacobsson, M</t>
  </si>
  <si>
    <t>Jacobsson, Marie</t>
  </si>
  <si>
    <t>Building the International Legal Framework for Antarctica</t>
  </si>
  <si>
    <t>[Jacobsson, Marie] Swedish Minist Foreign Affairs, Dept Int Law Human Rights &amp; Treaty Law, SE-10339 Stockholm, Sweden</t>
  </si>
  <si>
    <t>marie.jacobsson@foreign.ministry.se</t>
  </si>
  <si>
    <t>WOS:000301091500001</t>
  </si>
  <si>
    <t>Scully, T</t>
  </si>
  <si>
    <t>Scully, Tucker</t>
  </si>
  <si>
    <t>The Development of the Antarctic Treaty System</t>
  </si>
  <si>
    <t>This paper will examine the evolution of the Antarctic Treaty from the perspective of governance, looking at the Antarctic Treaty as a mechanism for anticipating, identifying, and responding to new circumstances or activities requiring common action. It will inevitably touch upon both substance (what has been achieved under the Antarctic Treaty) and process (how it has been achieved). As such, it will address the story of the development of the Antarctic Treaty into what is now known as the Antarctic Treaty System.</t>
  </si>
  <si>
    <t>[Scully, Tucker] Dept State, Washington, DC USA</t>
  </si>
  <si>
    <t>leetucker@verizon.net</t>
  </si>
  <si>
    <t>WOS:000301091500003</t>
  </si>
  <si>
    <t>Golitsyn, V</t>
  </si>
  <si>
    <t>Golitsyn, Vladimir</t>
  </si>
  <si>
    <t>Balancing Sovereign Interests beyond National Jurisdictions</t>
  </si>
  <si>
    <t>[Golitsyn, Vladimir] Int Tribunal Law Sea, D-22609 Hamburg, Germany</t>
  </si>
  <si>
    <t>vgolitsyn@gmail.com</t>
  </si>
  <si>
    <t>WOS:000301091500005</t>
  </si>
  <si>
    <t>Yoshida, Y</t>
  </si>
  <si>
    <t>Yoshida, Yoshio</t>
  </si>
  <si>
    <t>Japan and the Antarctic Treaty after World War II</t>
  </si>
  <si>
    <t>[Yoshida, Yoshio] Japan Polar Res Assoc, Tokyo, Japan</t>
  </si>
  <si>
    <t>yoyosida@vmail.plala.or.jp</t>
  </si>
  <si>
    <t>WOS:000301091500008</t>
  </si>
  <si>
    <t>Huber, J</t>
  </si>
  <si>
    <t>Huber, Johannes</t>
  </si>
  <si>
    <t>The Antarctic Treaty: Toward a New Partnership</t>
  </si>
  <si>
    <t>[Huber, Johannes] Antarctic Treaty Secretariat, Buenos Aires, DF, Argentina</t>
  </si>
  <si>
    <t>jansr@huber.nl</t>
  </si>
  <si>
    <t>WOS:000301091500010</t>
  </si>
  <si>
    <t>Race, MS</t>
  </si>
  <si>
    <t>Race, Margaret S.</t>
  </si>
  <si>
    <t>Policies for Scientific Exploration and Environmental Protection: Comparison of the Antarctic and Outer Space Treaties</t>
  </si>
  <si>
    <t>PLANETARY</t>
  </si>
  <si>
    <t>[Race, Margaret S.] SETI Inst, Mountain View, CA 94043 USA</t>
  </si>
  <si>
    <t>WOS:000301091500015</t>
  </si>
  <si>
    <t>Thiede, J</t>
  </si>
  <si>
    <t>Thiede, Joern</t>
  </si>
  <si>
    <t>Modern Research in Polar Regions</t>
  </si>
  <si>
    <t>[Thiede, Joern] Alfred Wegener Inst, D-27570 Bremerhaven, Germany</t>
  </si>
  <si>
    <t>jt@geo.ku.dk</t>
  </si>
  <si>
    <t>Thiede, Jorn/J-5313-2013</t>
  </si>
  <si>
    <t>Thiede, Jorn/0000-0002-3452-2208</t>
  </si>
  <si>
    <t>WOS:000301091500017</t>
  </si>
  <si>
    <t>Stark, AA</t>
  </si>
  <si>
    <t>Stark, Antony A.</t>
  </si>
  <si>
    <t>Cosmology from Antarctica</t>
  </si>
  <si>
    <t>1ST SEASON OBSERVATIONS; SMALL-SCALE ANISOTROPY; CMB POLARIZATION; MICROWAVE SKY; SUBMILLIMETER-TELESCOPE; ATMOSPHERIC OPACITY; WATER-VAPOR; 90 GHZ; DESIGN; RECEIVER</t>
  </si>
  <si>
    <t>We are in a golden age of observational cosmology, where measurements of the universe have progressed from crude estimates to precise knowledge. Many of these observations are made from the Antarctic, where conditions are particularly favorable. When we use telescopes to look out at the distant universe, we are also looking back in time because the speed of light is finite. Looking out 13.7 billion years, the cosmic microwave background (CMB) comes from a time shortly after the big bang. The first attempt at CMB observations from the Antarctic plateau was an expedition to the South Pole in December 1986 by the Radio Physics Research group at Bell Laboratories. The measured sky noise and opacity were highly encouraging. In the austral summer of 1988-1989, three CMB groups participated in the Cucumber campaign, where a temporary summer-only site dedicated to CMB anisotropy measurements was set up 2 km from South Pole Station. Winter observations became possible with the establishment in 1990 of the Center for Astrophysical Research in Antarctica (CARA), a U.S. National Science Foundation Science and Technology Center, which developed year-round observing facilities in the Dark Sector, a section of Amundsen-Scott South Pole Station dedicated to astronomical observations. Scientists at CARA fielded several astronomical instruments: Antarctic Sub-millimeter Telescope and Remote Observatory (AST/RO), South Pole Infrared Explorer (SPIREX), White Dish, Python, Viper, Arcminute Cosmology Bolometer Array Receiver (ACBAR), and Degree-Angular Scale Interferometer (DASI). By 2001, data from CARA, together with Balloon Observations of Millimetric Extragalactic Radiation and Geophysics (BOOMERANG), a CMB experiment on a long-duration balloon launched from Mc-Murdo Station on the coast of Antarctica, showed clear evidence that the overall geometry of the universe is flat, as opposed to being open or closed. This indicates that the total energy content of the universe is near zero, so that the energy needed to originate the material of the universe is balanced by negative gravitational energy. In 2002, the DASI group reported the detection of polarization in the CMB. These observations strongly support a concordance model of cosmology, where the dynamics of a flat universe are dominated by forces exerted by the mysterious dark energy and dark matter. The CMB observations continue on the Antarctic plateau. The South Pole Telescope (SPT) is a 10-m-diameter offset telescope that is beginning to measure anisotropies on scales much smaller than 1 degrees, as well as discovering new protogalaxies and clusters of galaxies. Plans are in progress to measure CMB polarization in detail, observations that will yield insights to phenomena in the first second of time.</t>
  </si>
  <si>
    <t>[Stark, Antony A.] Smithsonian Astrophys Observ, Cambridge, MA 02138 USA</t>
  </si>
  <si>
    <t>Harvard University; Smithsonian Astrophysical Observatory; Smithsonian Institution</t>
  </si>
  <si>
    <t>aas@cfa.harvard.edu</t>
  </si>
  <si>
    <t>Stark, Antony/0000-0002-2718-9996</t>
  </si>
  <si>
    <t>WOS:000301091500021</t>
  </si>
  <si>
    <t>Orheim, O; Press, A; Gilbert, N</t>
  </si>
  <si>
    <t>Orheim, Olav; Press, Anthony; Gilbert, Neil</t>
  </si>
  <si>
    <t>Managing the Antarctic Environment: The Evolving Role of the Committee for Environmental Protection</t>
  </si>
  <si>
    <t>In this paper we discuss the evolution of Antarctic environmental management, seen from our perspective as the first three chairs of the Committee for Environmental Protection (CEP). This body was established under the Protocol on Environmental Protection to the Antarctic Treaty adopted by the Antarctic Treaty Consultative Parties (ATCPs) in 1991. The ATCPs have over time placed considerable emphasis on managing the Antarctic environment. The protocol followed years of developing environmental standards and practices and set out tough new rules on environmental protection. The concomitant establishment of the CEP demonstrated the high ambitions of the parties for protecting the Antarctic environment. Following the entry in to force of the protocol in 1998, the CEP needed to put in place procedures and practices to enable it to fulfil its mandate effectively and efficiently. In the 12 years that have passed since then, the context in which the CEP is undertaking its work has changed. The Antarctic environment has been subject to various pressures, including climate change, which has resulted in regional rises in temperature and loss of ice shelves; introduction of nonnative species; and rapidly increasing numbers of tourists. National program activities have also increased markedly. Air access to Antarctica has become more prevalent with many new ice runways giving access to parts of Antarctica that had previously been logistically difficult to access. The role that the CEP plays and its capacity to deal with such challenges now merits close attention. If the CEP is to continue to meet its mandate of providing timely and defensible advice to the Treaty Parties on environmental protection in the Antarctic Treaty area, it needs to address two key issues: managing a burgeoning workload and timely access to data and information.</t>
  </si>
  <si>
    <t>[Orheim, Olav] Res Council Norway, N-0131 Oslo, Norway; [Press, Anthony] Univ Tasmania, Antarctic Climate &amp; Ecosyst Cooperat Res Ctr, Hobart, Tas 7001, Australia; [Gilbert, Neil] Antarctica New Zealand, Christchurch 4745, New Zealand</t>
  </si>
  <si>
    <t>Research Council of Norway; University of Tasmania; Antarctic Climate &amp; Ecosystems Cooperative Research Centre (ACE CRC)</t>
  </si>
  <si>
    <t>Orheim, O (corresponding author), Res Council Norway, N-0131 Oslo, Norway.</t>
  </si>
  <si>
    <t>oo@rcn.no</t>
  </si>
  <si>
    <t>Gilbert, Neil/AAD-7842-2022</t>
  </si>
  <si>
    <t>Gilbert, Neil/0000-0003-2055-4249</t>
  </si>
  <si>
    <t>WOS:000301091500022</t>
  </si>
  <si>
    <t>Cooper, A; Barker, P; Barrett, P; Behrendt, J; Brancolini, G; Childs, J; Escutia, C; Jokat, W; Kristoffersen, Y; Leitchenkov, G; Stagg, H; Tanahashi, M; Wardell, N; Webb, P</t>
  </si>
  <si>
    <t>Cooper, Alan; Barker, Peter; Barrett, Peter; Behrendt, John; Brancolini, Giuliano; Childs, Jonathan; Escutia, Carlota; Jokat, Wilfried; Kristoffersen, Yngve; Leitchenkov, German; Stagg, Howard; Tanahashi, Manabu; Wardell, Nigel; Webb, Peter</t>
  </si>
  <si>
    <t>The ANTOSTRAT Legacy: Science Collaboration and International Transparency in Potential Marine Mineral Resource Exploitation of Antarctica</t>
  </si>
  <si>
    <t>The Antarctic Offshore Stratigraphy project (ANTOSTRAT; 1989-2002) was an extremely successful collaboration in international marine geological science that also lifted the perceived veil of secrecy from studies of potential exploitation of Antarctic marine mineral resources. The project laid the groundwork for circum-Antarctic seismic, drilling, and rock coring programs designed to decipher Antarctica's tectonic, stratigraphic, and climate histories. In 2002, ANTOSTRAT evolved into the equally successful and currently active Antarctic Climate Evolution research program. The need for, and evolution of, ANTOSTRAT was based on two simple tenets within SCAR and the Antarctic Treaty: international science collaboration and open access to data. The ANTOSTRAT project may be a helpful analog for other regions of strong international science and geopolitical interests, such as the Arctic. This is the ANTOSTRAT story.</t>
  </si>
  <si>
    <t>[Cooper, Alan] Stanford Univ, US Geol Survey, Dept Geol &amp; Environm Sci, Stanford, CA 94305 USA; [Barker, Peter] Univ Birmingham, British Antarctic Survey, Dept Earth &amp; Environm Sci, Birmingham, W Midlands, England; [Barrett, Peter] Victoria Univ, Antarctic Res Ctr, New Zealand Cliamte Change Res Inst, Wellington, New Zealand; [Behrendt, John] Univ Colorado, US Geol Survey, Inst Arctic &amp; Alpine Res, Boulder, CO 80309 USA; [Brancolini, Giuliano] Inst Nazl Oceangrafia &amp; Geofis Speriment, Sgonico, Italy; [Childs, Jonathan] US Geol Survey, Anchorage, AK 99508 USA; [Escutia, Carlota] Univ Granada, Inst Andaluz Ciencias Tierra, Consejo Super Invest Cientif, E-18071 Granada, Spain; [Jokat, Wilfried] Alfred Wegener Inst, Bremerhaven, Germany; [Kristoffersen, Yngve] Univ Bergen, Dept Earth Sci, N-5020 Bergen, Norway; [Leitchenkov, German] Res Inst Geol &amp; Mineral Resources World Ocean, St Petersburg, Russia; [Stagg, Howard] Geosci Australia, Canberra, ACT 2601, Australia; [Tanahashi, Manabu] Geol Survey Japan, Tokyo, Japan; [Wardell, Nigel] Inst Nazl Oceanografia &amp; Geofis Speriment, St Petersburg, Russia; [Webb, Peter] Ohio State Univ, Sch Earth Sci, Columbus, OH 43210 USA</t>
  </si>
  <si>
    <t>Stanford University; United States Department of the Interior; United States Geological Survey; UK Research &amp; Innovation (UKRI); Natural Environment Research Council (NERC); NERC British Antarctic Survey; University of Birmingham; Victoria University Wellington; United States Department of the Interior; United States Geological Survey; University of Colorado System; University of Colorado Boulder; Istituto Nazionale di Oceanografia e di Geofisica Sperimentale; United States Department of the Interior; United States Geological Survey; Consejo Superior de Investigaciones Cientificas (CSIC); CSIC - Instituto Andaluz de Ciencias de la Tierra (IACT); University of Granada; Helmholtz Association; Alfred Wegener Institute, Helmholtz Centre for Polar &amp; Marine Research; University of Bergen; Geoscience Australia; National Institute of Advanced Industrial Science &amp; Technology (AIST); University System of Ohio; Ohio State University</t>
  </si>
  <si>
    <t>Cooper, A (corresponding author), Stanford Univ, US Geol Survey, Dept Geol &amp; Environm Sci, Stanford, CA 94305 USA.</t>
  </si>
  <si>
    <t>acooper@usgs.gov; peter@pnjbarker.co.uk; peter.barrett@vuw.ac.nz; john.behrendt@colorado.edu; giuliano.brancolini@libero.it; jchilds@usgs.gov; cescutia@ugr.es; wilfried.jokat@awi.de; yngve.kristoffersen@geo.uib.no; german_l@mail.ru; hstagg@apex.net.au; tanahashi-m@aist.go.jp; nwardell@ogs.trieste.it; webb.3@osu.edu</t>
  </si>
  <si>
    <t>Escutia, Carlota/B-8614-2015</t>
  </si>
  <si>
    <t>WOS:000301091500023</t>
  </si>
  <si>
    <t>Retamales, J; Rogan-Finnemore, M</t>
  </si>
  <si>
    <t>Retamales, Jose; Rogan-Finnemore, Michelle</t>
  </si>
  <si>
    <t>The Role of the Council of Managers of National Antarctic Programs</t>
  </si>
  <si>
    <t>[Retamales, Jose] Inst Antartico Chileno, Punta Arenas, Chile; [Rogan-Finnemore, Michelle] COMNAP Secretariat, Council Managers Natl Antarctic Programs, Christchurch 4800, New Zealand</t>
  </si>
  <si>
    <t>Retamales, J (corresponding author), Inst Antartico Chileno, Punta Arenas, Chile.</t>
  </si>
  <si>
    <t>jretamales@inach.cl; michelle.finnemore@comnap.aq</t>
  </si>
  <si>
    <t>WOS:000301091500024</t>
  </si>
  <si>
    <t>Landau, D</t>
  </si>
  <si>
    <t>Landau, Denise</t>
  </si>
  <si>
    <t>International Cooperation and Management of Tourism: A World within a World</t>
  </si>
  <si>
    <t>[Landau, Denise] Associates Inc, Carbondale, CO 81623 USA</t>
  </si>
  <si>
    <t>iaato@aato.org</t>
  </si>
  <si>
    <t>WOS:000301091500025</t>
  </si>
  <si>
    <t>Lüdecke, C</t>
  </si>
  <si>
    <t>Luedecke, Cornelia</t>
  </si>
  <si>
    <t>Parallel Precedents for the Antarctic Treaty</t>
  </si>
  <si>
    <t>[Luedecke, Cornelia] SCAR Hist Act Grp, D-81373 Munich, Germany</t>
  </si>
  <si>
    <t>c.luedecke@lrz.uni-muenchen.de</t>
  </si>
  <si>
    <t>WOS:000301091500027</t>
  </si>
  <si>
    <t>Erb, KA</t>
  </si>
  <si>
    <t>Erb, Karl A.</t>
  </si>
  <si>
    <t>International Collaboration in the Antarctic for Global Science</t>
  </si>
  <si>
    <t>Article III of the Antarctic Treaty outlines the way in which international cooperation, established during the International Geophysical Year, should be continued. Exchanges of scientists have occurred among many nations over the last 50 years, but increasing planning and logistics collaboration have marked the achievement of many major scientific goals possible only through multinational activity. The recently completed International Polar Year provides clear evidence of how well this is succeeding in Antarctic science for the twenty-first century, and the publication record clearly reflects this pooling of talent.</t>
  </si>
  <si>
    <t>[Erb, Karl A.] Natl Sci Fdn, Off Polar Programs, Arlington, VA 22230 USA</t>
  </si>
  <si>
    <t>National Science Foundation (NSF); NSF - Directorate for Geosciences (GEO); NSF - Office of Polar Programs (OPP)</t>
  </si>
  <si>
    <t>kerb@nsf.gov</t>
  </si>
  <si>
    <t>WOS:000301091500028</t>
  </si>
  <si>
    <t>Cohen, H</t>
  </si>
  <si>
    <t>Cohen, Harlan</t>
  </si>
  <si>
    <t>Public Participation in Antarctica: The Role of Nongovernmental and Intergovernmental Organizations</t>
  </si>
  <si>
    <t>[Cohen, Harlan] Int Union Conservat Nat, Washington, DC 20009 USA</t>
  </si>
  <si>
    <t>WOS:000301091500029</t>
  </si>
  <si>
    <t>Barnes, JN</t>
  </si>
  <si>
    <t>Barnes, James N.</t>
  </si>
  <si>
    <t>The Antarctic Treaty System: Perspectives of Environmental Nongovernmental Organizations on Addressing Key Issues</t>
  </si>
  <si>
    <t>[Barnes, James N.] Antarctic &amp; So Ocean Coalit, Washington, DC 20009 USA</t>
  </si>
  <si>
    <t>james.barnes@asoc.org</t>
  </si>
  <si>
    <t>WOS:000301091500030</t>
  </si>
  <si>
    <t>Cava, F; Monsma, D; Young, OR</t>
  </si>
  <si>
    <t>Cava, Francesca; Monsma, David; Young, Oran R.</t>
  </si>
  <si>
    <t>Workshop on Arctic Governance: Drawing Lessons from the Antarctic Experience</t>
  </si>
  <si>
    <t>[Cava, Francesca; Monsma, David] Aspen Inst, One Dupont Circle,NW,Suite 700, Washington, DC 20036 USA; [Young, Oran R.] Univ Calif Santa Barbara, Sch Environm Sci &amp; Management, Santa Barbara, CA 93106 USA</t>
  </si>
  <si>
    <t>Aspen Institute; University of California System; University of California Santa Barbara</t>
  </si>
  <si>
    <t>Cava, F (corresponding author), Aspen Inst, One Dupont Circle,NW,Suite 700, Washington, DC 20036 USA.</t>
  </si>
  <si>
    <t>francesca.cava@aspeninst.org</t>
  </si>
  <si>
    <t>WOS:000301091500033</t>
  </si>
  <si>
    <t>Chela-Flores, J</t>
  </si>
  <si>
    <t>ChelaFlores, J</t>
  </si>
  <si>
    <t>Chela-Flores, Julian</t>
  </si>
  <si>
    <t>Sources of life's origin: A search for biomarkers</t>
  </si>
  <si>
    <t>SCIENCE OF ASTROBIOLOGY: A PERSONAL VIEW ON LEARNING TO READ THE BOOK OF LIFE</t>
  </si>
  <si>
    <t>ANTARCTIC SUBGLACIAL LAKES; DRY VALLEY LAKES; ALGAL MATS; VOSTOK; MOON</t>
  </si>
  <si>
    <t>Abdus Salam Int Ctr Theoret Phys, I-34014 Trieste, Italy</t>
  </si>
  <si>
    <t>Abdus Salam International Centre for Theoretical Physics (ICTP)</t>
  </si>
  <si>
    <t>Chela-Flores, J (corresponding author), Abdus Salam Int Ctr Theoret Phys, POB 586, I-34014 Trieste, Italy.</t>
  </si>
  <si>
    <t>chelaf@ictp.trieste.it</t>
  </si>
  <si>
    <t>978-94-007-1626-1</t>
  </si>
  <si>
    <t>10.1007/978-94-007-1627-8</t>
  </si>
  <si>
    <t>Astronomy &amp; Astrophysics; Biology; Cell Biology</t>
  </si>
  <si>
    <t>Astronomy &amp; Astrophysics; Life Sciences &amp; Biomedicine - Other Topics; Cell Biology</t>
  </si>
  <si>
    <t>BWO11</t>
  </si>
  <si>
    <t>WOS:000294369300004</t>
  </si>
  <si>
    <t>Li, YF; Shi, XL; Wang, NL; Pu, JC; Yao, TD</t>
  </si>
  <si>
    <t>Li, YueFang; Shi, XiaoLan; Wang, NingLian; Pu, JianChen; Yao, TanDong</t>
  </si>
  <si>
    <t>Concentration of trace elements and their sources in a snow pit from Yuzhu Peak, north-east Qinghai-Tibetan Plateau</t>
  </si>
  <si>
    <t>SCIENCES IN COLD AND ARID REGIONS</t>
  </si>
  <si>
    <t>trace elements; dust; anthropogenic pollution; Yuzhu Peak Glacier</t>
  </si>
  <si>
    <t>In order to understand the potential influence of pollution from human activity on the natural cycle of trace elements in the atmosphere over the eastern Kunlun mountains, north-eastern part of the Qinghai-Tibetan Plateau, concentrations of Al, Fe, Ba, Cd, Co, Cr, Cu, Li, Ni, Zn, Pb, Sb, Sr, U and V in a 75 cm-deep snow pit recovered from 5,800 m a. s. l. of the Yuzhu Peak Glacier on October 25, 2009, were determined by a sector field inductively coupled plasma mass spectrometry. The results indicate that concentrations of the measured trace elements vary by orders of magnitude from one element to another ranging from the minimum value 1.2 pg/g (U) to the maximum value 293 ng/g (Fe); the value of Max/Min ranges from 7 pg/g (Sd) to 358 pg/g (Li). EFc values of measured trace elements show that there are other important sources except dust for Cd, Sb, Zn, Pb and Cu. Comparison of the concentrations of the measured trace elements with those in other areas in the Tibetan Plateau indicates that trace element concentrations for Yuzhu Peak are lower than those in east Tianshan and Muztagh Ata (Pamirs). Concentrations of some trace elements are also lower than those in East Rongbuk Glacier. However, concentrations of all measured trace elements are extensively higher than those in Greenland and the Antarctic.</t>
  </si>
  <si>
    <t>[Li, YueFang; Shi, XiaoLan; Wang, NingLian; Pu, JianChen; Yao, TanDong] Chinese Acad Sci, Cold &amp; Arid Reg Environm &amp; Engn Res Inst, State Key Lab Cryospher Sci, 320 West Donggang Rd, Lanzhou 730000, Gansu, Peoples R China</t>
  </si>
  <si>
    <t>Chinese Academy of Sciences; Cold &amp; Arid Regions Environmental &amp; Engineering Research Institute, CAS</t>
  </si>
  <si>
    <t>Li, YF (corresponding author), Chinese Acad Sci, Cold &amp; Arid Reg Environm &amp; Engn Res Inst, State Key Lab Cryospher Sci, 320 West Donggang Rd, Lanzhou 730000, Gansu, Peoples R China.</t>
  </si>
  <si>
    <t>liyf@lzb.ac.cn</t>
  </si>
  <si>
    <t>National Natural Science Foundation of China [40771046, 40930526]; National Major Scientific Research Programs [2010CB951404]</t>
  </si>
  <si>
    <t>National Natural Science Foundation of China(National Natural Science Foundation of China (NSFC)); National Major Scientific Research Programs</t>
  </si>
  <si>
    <t>We would like to thank all field personnel for sampling during the 2009 field season for Yuzhu Peak Glacier. This study is supported by the National Natural Science Foundation of China (40771046, 40930526), and the National Major Scientific Research Programs (2010CB951404).</t>
  </si>
  <si>
    <t>EPHRATA</t>
  </si>
  <si>
    <t>300 WEST CHESNUT ST, EPHRATA, PA 17522 USA</t>
  </si>
  <si>
    <t>1674-3822</t>
  </si>
  <si>
    <t>SCI COLD ARID REG</t>
  </si>
  <si>
    <t>Sci. Cold Arid Reg.</t>
  </si>
  <si>
    <t>10.3724/SP.J.1226.2011.00216</t>
  </si>
  <si>
    <t>V9G2Y</t>
  </si>
  <si>
    <t>WOS:000422285100004</t>
  </si>
  <si>
    <t>McIntyre, K; Howe, J; Bradwell, T</t>
  </si>
  <si>
    <t>McIntyre, Kate; Howe, John; Bradwell, Tom</t>
  </si>
  <si>
    <t>Lateglacial ice extent and deglaciation of Loch Hourn, western Scotland</t>
  </si>
  <si>
    <t>SCOTTISH JOURNAL OF GEOLOGY</t>
  </si>
  <si>
    <t>OVERDEEPENED SEA LOCH; YOUNGER DRYAS; SEISMIC STRATIGRAPHY; NW SCOTLAND; GLACIERS; FLUCTUATIONS; ENVIRONMENTS; SEDIMENT; FJORDS; ISLES</t>
  </si>
  <si>
    <t>Loch Hourn is a 21 km-long fjord on the west coast of Scotland. A multibeam survey of the outer Loch Hourn basin extending into the adjacent Sound of Sleat reveals a series of moraines beyond the fjord mouth relating to the Scottish ice cap during the Lateglacial period (c. 15-11 cal ka BP). The outermost moraine is located in the Sound of Sleat, 3.5 km beyond the currently accepted limit of Younger Dryas Stadial glaciation in the loch. Sediment cores from the main outer basin of the fjord sample four lithological units: a coarse-grained basal sand, interpreted as an ice-proximal deposit; finely laminated silts containing occasional clasts, interpreted as a distal glaciomarine unit deposited through pelagic settling from glacial meltwater and turbidity current activity; a poorly sorted mixture of muddy sands containing convolute bedding and flame structures, interpreted as slumped glacigenic material; and poorly sorted, bioturbated marine muds with mollusc shells (Arctica islandica) which yielded a basal radiocarbon date of 11.2 cal ka BP, indicating that open-marine conditions typical of the Holocene were established in the fjord by this time.</t>
  </si>
  <si>
    <t>[McIntyre, Kate; Howe, John] Scottish Assoc Marine Sci, Scottish Marine Inst, Oban PA37 1QA, Argyll, Scotland; [McIntyre, Kate; Bradwell, Tom] British Geol Survey, Edinburgh EH9 3LA, Midlothian, Scotland</t>
  </si>
  <si>
    <t>UHI Millennium Institute; UK Research &amp; Innovation (UKRI); Natural Environment Research Council (NERC); NERC British Geological Survey</t>
  </si>
  <si>
    <t>McIntyre, K (corresponding author), Scottish Assoc Marine Sci, Scottish Marine Inst, Oban PA37 1QA, Argyll, Scotland.</t>
  </si>
  <si>
    <t>Kate.McIntyre@sams.ac.uk</t>
  </si>
  <si>
    <t>Bradwell, Tom/0000-0003-0947-3309</t>
  </si>
  <si>
    <t>Natural Environmental Research Council (NERC); NERC [bgs05002, dml010002] Funding Source: UKRI; Natural Environment Research Council [bgs05002, dml010002] Funding Source: researchfish</t>
  </si>
  <si>
    <t>Natural Environmental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</si>
  <si>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Robert Gatliff and Heather Stewart of the British Geological Survey, Edinburgh, and the captain and crew of R/V James Cook, for collection of the vibrocores, multibeam data and sub-bottom profiles. The captain and crew of R/V Calanus are also thanked for multibeam data acquisition. AMS radiocarbon dating was carried out by Gordon Cook and Steve Moreton at the NERC Radiocarbon Facility, East Kilbride. Alastair Graham of the British Antarctic Survey and a second anonymous reviewer provided detailed comments which greatly improved the manuscript. This study has been completed as part of a PhD studentship (K. McIntyre) funded by the Natural Environmental Research Council (NERC), whose support is gratefully acknowledged.</t>
  </si>
  <si>
    <t>GEOLOGICAL SOC PUBL HOUSE</t>
  </si>
  <si>
    <t>UNIT 7, BRASSMILL ENTERPRISE CENTRE, BRASSMILL LANE, BATH BA1 3JN, AVON, ENGLAND</t>
  </si>
  <si>
    <t>0036-9276</t>
  </si>
  <si>
    <t>SCOT J GEOL</t>
  </si>
  <si>
    <t>Scott. J. Geol.</t>
  </si>
  <si>
    <t>10.1144/0036-9276/01-433</t>
  </si>
  <si>
    <t>856VW</t>
  </si>
  <si>
    <t>WOS:000297673500006</t>
  </si>
  <si>
    <t>Hoffman, PF</t>
  </si>
  <si>
    <t>Hoffman, Paul F.</t>
  </si>
  <si>
    <t>Strange bedfellows: glacial diamictite and cap carbonate from the Marinoan (635 Ma) glaciation in Namibia</t>
  </si>
  <si>
    <t>SEDIMENTOLOGY</t>
  </si>
  <si>
    <t>Cap carbonate; carbon isotopes; carbonate platform; glacial diamictite; Namibia; Neoproterozoic; sea-level change; Snowball Earth</t>
  </si>
  <si>
    <t>NEOPROTEROZOIC SNOWBALL EARTH; MID-NORWEGIAN MARGIN; ANTARCTIC ICE-SHEET; DEATH-VALLEY-REGION; ISOTOPIC EXCURSIONS; NOONDAY DOLOMITE; FIQ GLACIATION; DAMARA OROGEN; AMAZON CRATON; VOLTA BASIN</t>
  </si>
  <si>
    <t>The Otavi Group is a Neoproterozoic carbonate-dominated succession up to 4 km thick, which blankets the southern promontory of the Congo craton in northern Namibia. This succession was deposited between 770 and 580 Ma in response to north-south crustal stretching and subsequent thermal subsidence. The main shallow-water platform has a well-defined southern limit, beyond which is a distally tapered foreslope wedge of deep-water carbonate facies. The Ghaub Formation represents the younger of two Cryogenian glaciations of the platform and was deposited during the period of thermal subsidence. A deep negative delta 13C excursion, accompanied by increased size, abundance and variety of stromatolites, occurs in the last 10 to 80 m of shallow-water carbonate on the platform beneath the Ghaub glacial erosion surface. The same phenomena are observed before the older (Sturtian) glaciation in other areas, suggesting temporal proximity of the delta 13C excursions to glaciation. Growth of ice sheets is manifested by emergence of the platform and development of a falling-stand wedge on the foreslope, composed of upward-coarsening carbonate turbidites and debrites. Rafts of very coarse-grained, well-sorted oolite have no source on the platform. The oolite probably originated at the strandline on the foreslope and was redeposited gravitationally downslope as sea-level fell. The Ghaub Formation is a laterally continuous wedge of carbonate diamictite, limited to the distal foreslope and ca 80 m in average thickness. Tongues of massive to weakly stratified diamictite, representing proglacial rain-out and subglacial tillite, are bounded by thinner, well-bedded units consisting of hypopycnal plume fallout, ice-rafted debris, turbidites and debrites, sorted sands and gravels, and westward-directed contourites. Debris is derived from the falling-stand wedge and the top 80 m of the inner platform. The wedge rests on a laterally continuous erosion surface, presumably cut by ice, and its sedimentary makeup and stratal organization are diagnostic of an ice grounding-line wedge. The subglacial erosion surface cuts a steep-walled trough on the distal foreslope, presumably once occupied by a transverse ice-stream. In the middle of the trough stands a doubly crested moraine composed of amalgamated unstratified diamictites. Terminal deglaciation is recorded by a fining-upward, 10 m thick drape of Fe-rich carbonate debrite and turbidite, loaded with far-travelled ice-rafted debris of all sizes. If deglaciation began with the collapse of 'sea-glacier' ice on the tropical ocean, the loss of this buttress could have triggered catastrophic ice-sheet drainage, concomitant with surface ocean ventilation. Complete deglaciation presumably was driven by ice-albedo, ice-elevation and greenhouse-gas feedbacks. The grounding-line wedge and bare upper foreslope and platform are overlain by a transgressive 'cap dolostone', which features shallow-water sedimentary structures (sorted peloids, low-angle cross-bedding, tubestone stromatolite and giant wave ripples) from the distal foreslope to the inner platform. The structures and isotopic profiles show that it was deposited diachronously on the time scale of ice-sheet melting globally (kyr), implying very high sedimentation rates. Temperature-dependent isotope fractionation could account for the observed secular and lateral delta 13C changes. This interpretation requires sea water pH lower than 7 center dot 3 (high pCO(2)) and warming of at least 45 degrees C in the tropics, consistent with the change in planetary albedo accompanyng global deglaciation. The thickness of the highstand part of the cap-carbonate sequence on the platform implies &gt; 3 to 5 Myr of tectonic subsidence during the glacial period to create permanent accommodation. The highstand sequence prograded inward from the raised rim of the platform, inherited from karstic and glacial erosion. Sea floor cements, formerly aragonitic, are localized over palaeobathymetric highs (ice-stream moraine, platform rim and inner platform highs). Subsequent aggradation of the platform and coeval foreslope shedding were accompanied by a 0 center dot 5 km thick stratigraphic interval in which platform strata are depleted in 13C by up to 2 center dot 5 parts per thousand, compared with coeval foreslope strata; this again suggests temperature-dependent fractionation at low pH. Above this interval, the delta 13C gradient reverts to normal (platform strata more enriched in 13C than foreslope equivalents), consistent with CO2 drawdown due to silicate weathering.</t>
  </si>
  <si>
    <t>[Hoffman, Paul F.] Harvard Univ, Dept Earth &amp; Planetary Sci, Cambridge, MA 02138 USA; [Hoffman, Paul F.] Univ Victoria, Sch Earth &amp; Ocean Sci, Victoria, BC V8W 2Y2, Canada</t>
  </si>
  <si>
    <t>Harvard University; University of Victoria</t>
  </si>
  <si>
    <t>Hoffman, PF (corresponding author), 1216 Montrose Ave, Victoria, BC V8T 2K4, Canada.</t>
  </si>
  <si>
    <t>paulfhoffman@yahoo.com</t>
  </si>
  <si>
    <t>0037-0746</t>
  </si>
  <si>
    <t>1365-3091</t>
  </si>
  <si>
    <t>Sedimentology</t>
  </si>
  <si>
    <t>10.1111/j.1365-3091.2010.01206.x</t>
  </si>
  <si>
    <t>703JD</t>
  </si>
  <si>
    <t>WOS:000285973300003</t>
  </si>
  <si>
    <t>Tamura, T; Ohshima, KI; Nihashi, S; Hasumi, H</t>
  </si>
  <si>
    <t>Tamura, Takeshi; Ohshima, Kay I.; Nihashi, Sohey; Hasumi, Hiroyasu</t>
  </si>
  <si>
    <t>Estimation of Surface Heat/Salt Fluxes Associated with Sea Ice Growth/Melt in the Southern Ocean</t>
  </si>
  <si>
    <t>SOLA</t>
  </si>
  <si>
    <t>FRESH-WATER FLUX; WEDDELL-SEA; POLYNYAS; WESTERN; MOTION; MODEL; WIND</t>
  </si>
  <si>
    <t>The sinking of dense water in the polar oceans plays a key role in global thermohaline circulation, leading to heat and material exchange between the atmosphere and deep ocean. This study provides the first surface heat and salt flux dataset for the Southern Ocean (including a treatment of sea ice growth and melt), based on heat flux calculations and satellite-derived sea ice data. The geographical distribution of annual net heat (salt) flux shows a distinct contrast: significant cooling of (salt release into) the ocean occurs in the coastal region, and net heating of (freshwater release into) the ocean occurs in the offshore region. The work tries a quantitative representation of heat and freshwater transport by sea ice formed in the coastal region to offshore. Since hemispheric-scale heat and salt fluxes associated with sea ice growth and melt have not been estimated from observations to date, the present dataset will provide new information with which to validate coupled ice-ocean models while providing important boundary conditions for the various models.</t>
  </si>
  <si>
    <t>[Tamura, Takeshi] Univ Tasmania, Antarctic Climate &amp; Ecosyst Cooperat Res Ctr, Hobart, Tas, Australia; [Ohshima, Kay I.] Hokkaido Univ, Inst Low Temp Sci, Sapporo, Hokkaido 060, Japan; [Nihashi, Sohey] Tomakomai Natl Coll Technol, Dept Mech Engn, Tomakomai, Japan; [Hasumi, Hiroyasu] Univ Tokyo, Atmosphere &amp; Ocean Res Inst, Kashiwa, Chiba, Japan</t>
  </si>
  <si>
    <t>University of Tasmania; Antarctic Climate &amp; Ecosystems Cooperative Research Centre (ACE CRC); Hokkaido University; University of Tokyo</t>
  </si>
  <si>
    <t>Tamura, T (corresponding author), Univ Tasmania, Antarctic Climate &amp; Ecosyst Cooperat Res Ctr ACE, Private Bag 80, Sandy Bay, Tas 7001, Australia.</t>
  </si>
  <si>
    <t>Takeshi.Tamura@utas.edu.au</t>
  </si>
  <si>
    <t>Ohshima, Kay I/D-6909-2012</t>
  </si>
  <si>
    <t>Core Research for Evolutional Science and Technology of Japan Science and Technology Agency; Japanese Ministry of Education, Culture, Sports, Science and Technology [20221001]; Australian Government's Cooperative Research Centres; Japan Society for the Promotion of Science; Grants-in-Aid for Scientific Research [21740337, 20221001] Funding Source: KAKEN</t>
  </si>
  <si>
    <t>Core Research for Evolutional Science and Technology of Japan Science and Technology Agency(Core Research for Evolutional Science and Technology (CREST)); Japanese Ministry of Education, Culture, Sports, Science and Technology(Ministry of Education, Culture, Sports, Science and Technology, Japan (MEXT)); Australian Government's Cooperative Research Centres(Australian GovernmentDepartment of Industry, Innovation and ScienceCooperative Research Centres (CRC) Programme);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</si>
  <si>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SSM/I data were provided by the National Snow and Ice Data Center, University of Colorado. We sincerely acknowledge N. Kimura, R. Massom, P. Heil, and two anonymous reviewers for their constructive comments and cooperations. This work was supported by funding from the Core Research for Evolutional Science and Technology of Japan Science and Technology Agency and the Grant-in-Aids for Scientific Research (20221001) of the Japanese Ministry of Education, Culture, Sports, Science and Technology, and by the Australian Government's Cooperative Research Centres Programme through the ACE CRC. TT was supported by the Japan Society for the Promotion of Science Postdoctoral Fellowships for Research Abroad.</t>
  </si>
  <si>
    <t>METEOROLOGICAL SOC JPN</t>
  </si>
  <si>
    <t>C/O JPN METEOROL AGENCY 1-3-4 OTE-MACHI, CHIYODA-KU, TOKYO, 100-0004, JAPAN</t>
  </si>
  <si>
    <t>1349-6476</t>
  </si>
  <si>
    <t>10.2151/sola.2011-005</t>
  </si>
  <si>
    <t>710JV</t>
  </si>
  <si>
    <t>WOS:000286508800001</t>
  </si>
  <si>
    <t>Edwards, HGM; Herschy, B; Page, K; Munshi, T; Scowen, IJ</t>
  </si>
  <si>
    <t>Edwards, H. G. M.; Herschy, B.; Page, K.; Munshi, T.; Scowen, I. J.</t>
  </si>
  <si>
    <t>Raman spectra of biomarkers of relevance to analytical astrobiological exploration: Hopanoids, sterols and steranes</t>
  </si>
  <si>
    <t>SPECTROCHIMICA ACTA PART A-MOLECULAR AND BIOMOLECULAR SPECTROSCOPY</t>
  </si>
  <si>
    <t>Raman spectroscopy; Mars; Biomarkers; Hopanoids; Sterols; Steranes</t>
  </si>
  <si>
    <t>ANTARCTIC HABITATS; MARS; SPECTROSCOPY; ANALOGS; LIFE</t>
  </si>
  <si>
    <t>The aim of this work is to investigate the viability and potential of three groups of organic compounds as biomarkers in a future robotic analytical exploration of Mars. The three compounds have been identified as suitable candidates for potential biomarkers for extant or extinct life from the terrestrial fossil record. The three groups of compound were all similar in structure, being either tetra- or penta-cyclic compounds. The limits of detection for a sample were also tested to estimate what concentrations it would still be amenable to Raman spectroscopic investigation. This was investigated using both solid mixtures and liquid solutions. The spectra of these compounds are characterised so that they can be added to the Raman database for future Mars missions. This involved identifying functional group characteristics, assigning peaks for each individual sample and characteristic features which would categorise the samples. (C) 2010 Elsevier B.V. All rights reserved.</t>
  </si>
  <si>
    <t>[Edwards, H. G. M.; Herschy, B.; Page, K.; Munshi, T.; Scowen, I. J.] Univ Bradford, Div Chem &amp; Forens Sci, Univ Analyt Ctr, Sch Life Sci, Bradford BD7 1DP, W Yorkshire, England</t>
  </si>
  <si>
    <t>University of Bradford</t>
  </si>
  <si>
    <t>Page, K (corresponding author), Univ Bradford, Div Chem &amp; Forens Sci, Univ Analyt Ctr, Sch Life Sci, Bradford BD7 1DP, W Yorkshire, England.</t>
  </si>
  <si>
    <t>k.page@bradford.ac.uk</t>
  </si>
  <si>
    <t>Munshi, Tasnim/AAO-2547-2021</t>
  </si>
  <si>
    <t>EPSRC [EP/F042418/1] Funding Source: UKRI; Engineering and Physical Sciences Research Council [EP/F042418/1] Funding Source: researchfish</t>
  </si>
  <si>
    <t>EPSRC(UK Research &amp; Innovation (UKRI)Engineering &amp; Physical Sciences Research Council (EPSRC)); Engineering and Physical Sciences Research Council(UK Research &amp; Innovation (UKRI)Engineering &amp; Physical Sciences Research Council (EPSRC))</t>
  </si>
  <si>
    <t>1386-1425</t>
  </si>
  <si>
    <t>SPECTROCHIM ACTA A</t>
  </si>
  <si>
    <t>Spectroc. Acta Pt. A-Molec. Biomolec. Spectr.</t>
  </si>
  <si>
    <t>10.1016/j.saa.2010.09.020</t>
  </si>
  <si>
    <t>718FR</t>
  </si>
  <si>
    <t>WOS:000287107000028</t>
  </si>
  <si>
    <t>Abt, B; Lu, M; Misra, M; Han, C; Nolan, M; Lucas, S; Hammon, N; Deshpande, S; Cheng, JF; Tapia, R; Goodwin, L; Pitluck, S; Liolios, K; Pagani, I; Ivanova, N; Mavromatis, K; Ovchinikova, G; Pati, A; Chen, A; Palaniappan, K; Land, M; Hauser, L; Chang, YJ; Jeffries, CD; Detter, JC; Brambilla, E; Rohde, M; Tindall, BJ; Göker, M; Woyke, T; Bristow, J; Eisen, JA; Markowitz, V; Hugenholtz, P; Kyrpides, NC; Klenk, HP; Lapidus, A</t>
  </si>
  <si>
    <t>Abt, Birte; Lu, Megan; Misra, Monica; Han, Cliff; Nolan, Matt; Lucas, Susan; Hammon, Nancy; Deshpande, Shweta; Cheng, Jan-Fang; Tapia, Roxane; Goodwin, Lynne; Pitluck, Sam; Liolios, Konstantinos; Pagani, Ioanna; Ivanova, Natalia; Mavromatis, Konstantinos; Ovchinikova, Galina; Pati, Amrita; Chen, Amy; Palaniappan, Krishna; Land, Miriam; Hauser, Loren; Chang, Yun-Juan; Jeffries, Cynthia D.; Detter, John C.; Brambilla, Evelyne; Rohde, Manfred; Tindall, Brian J.; Goeker, Markus; Woyke, Tanja; Bristow, James; Eisen, Jonathan A.; Markowitz, Victor; Hugenholtz, Philip; Kyrpides, Nikos C.; Klenk, Hans-Peter; Lapidus, Alla</t>
  </si>
  <si>
    <t>Complete genome sequence of Cellulophaga algicola type strain (IC166T)</t>
  </si>
  <si>
    <t>STANDARDS IN GENOMIC SCIENCES</t>
  </si>
  <si>
    <t>aerobic; motile by gliding; Gram-negative; agarolytic; chemoorganotrophic; cold adapted enzymes; Flavobacteriaceae; GEBA</t>
  </si>
  <si>
    <t>EMENDED DESCRIPTION; COMB. NOV; BACTERIA; ARCHAEA; FLAVOBACTERIACEAE; RECLASSIFICATION; CLASSIFICATION; ALGORITHM; DATABASE; PROPOSAL</t>
  </si>
  <si>
    <t>Cellulophaga algicola Bowman 2000 belongs to the family Flavobacteriaceae within the phylum 'Bacteroidetes' and was isolated from Melosira collected from the Eastern Antarctic coastal zone. The species is of interest because its members produce a wide range of extracellular enzymes capable of degrading proteins and polysaccharides with temperature optima of 20-30 degrees C. This is the first completed genome sequence of a member of the genus Cellulophaga. The 4,888,353 bp long genome with its 4,285 protein-coding and 62 RNA genes consists of one circular chromosome and is a part of the Genomic Encyclopedia of Bacteria and Archaea project.</t>
  </si>
  <si>
    <t>[Lu, Megan; Misra, Monica; Han, Cliff; Nolan, Matt; Lucas, Susan; Hammon, Nancy; Deshpande, Shweta; Cheng, Jan-Fang; Tapia, Roxane; Goodwin, Lynne; Pitluck, Sam; Liolios, Konstantinos; Pagani, Ioanna; Ivanova, Natalia; Mavromatis, Konstantinos; Ovchinikova, Galina; Pati, Amrita; Land, Miriam; Hauser, Loren; Chang, Yun-Juan; Jeffries, Cynthia D.; Detter, John C.; Woyke, Tanja; Bristow, James; Eisen, Jonathan A.; Hugenholtz, Philip; Kyrpides, Nikos C.; Lapidus, Alla] US DOE, Joint Genome Inst, Walnut Creek, CA 94598 USA; [Abt, Birte; Brambilla, Evelyne; Tindall, Brian J.; Goeker, Markus; Klenk, Hans-Peter] DSMZ German Collect Microorganisms &amp; Cell Culture, Braunschweig, Germany; [Lu, Megan; Misra, Monica; Han, Cliff; Tapia, Roxane; Goodwin, Lynne; Detter, John C.] Los Alamos Natl Lab, Biosci Div, Los Alamos, NM USA; [Chen, Amy; Palaniappan, Krishna; Markowitz, Victor] Univ Calif Berkeley, Lawrence Berkeley Lab, Biol Data Management &amp; Technol Ctr, Berkeley, CA 94720 USA; [Land, Miriam; Hauser, Loren; Chang, Yun-Juan; Jeffries, Cynthia D.] Oak Ridge Natl Lab, Oak Ridge, TN USA; [Rohde, Manfred] HZI Helmholtz Ctr Infect Res, Braunschweig, Germany; [Eisen, Jonathan A.] Univ Calif Davis, Genome Ctr, Davis, CA 95616 USA; [Hugenholtz, Philip] Univ Queensland, Sch Chem &amp; Mol Biosci, Australian Ctr Ecogenom, Brisbane, Qld, Australia</t>
  </si>
  <si>
    <t>United States Department of Energy (DOE); Joint Genome Institute - JGI; Joint BioEnergy Institute - JBEI; Leibniz Institut fur Deutsche Sammlung von Mikroorganismen und Zellkulturen (DSMZ); United States Department of Energy (DOE); Los Alamos National Laboratory; University of California System; University of California Berkeley; United States Department of Energy (DOE); Lawrence Berkeley National Laboratory; United States Department of Energy (DOE); Oak Ridge National Laboratory; Helmholtz Association; Helmholtz-Center for Infection Research; University of California System; University of California Davis; University of Queensland</t>
  </si>
  <si>
    <t>Lapidus, A (corresponding author), US DOE, Joint Genome Inst, Walnut Creek, CA 94598 USA.</t>
  </si>
  <si>
    <t>Hugenholtz, Philip/AAD-9138-2019; Kyrpides, Nikos C./A-6305-2014; Göker, Markus/AAX-6258-2021; Eisen, Jonathan A./H-2706-2019; Hauser, Loren J/H-3881-2012; Pagani, Ioanna/E-7390-2012; Land, Miriam/A-6200-2011; Lapidus, Alla/I-4348-2013; Woyke, Tanja/S-7870-2018</t>
  </si>
  <si>
    <t>Hugenholtz, Philip/0000-0001-5386-7925; Kyrpides, Nikos C./0000-0002-6131-0462; Göker, Markus/0000-0002-5144-6200; Eisen, Jonathan A./0000-0002-0159-2197; Land, Miriam/0000-0001-7102-0031; Palaniappan, Krishnaveni/0000-0003-4484-7505; Lapidus, Alla/0000-0003-0427-8731; Ivanova, Natalia/0000-0002-5802-9485; Woyke, Tanja/0000-0002-9485-5637; Cheng, Jan-Fang/0000-0001-7315-7613; Mavrommatis, Konstantinos/0000-0003-4549-385X</t>
  </si>
  <si>
    <t>US Department of Energy Office of Science, Biological and Environmental Research; University of California, Lawrence Berkeley National Laboratory [DE-AC02-05CH11231]; Lawrence Livermore National Laboratory [DE-AC52-07NA27344]; Los Alamos National Laboratory [DE-AC02-06NA25396]; UT-Battelle; German Research Foundation (DFG) [INST 599/1-2]; Oak Ridge National Laboratory [DE-AC05-00OR22725]</t>
  </si>
  <si>
    <t>US Department of Energy Office of Science, Biological and Environmental Research(United States Department of Energy (DOE)); University of California, Lawrence Berkeley National Laboratory(University of California System); Lawrence Livermore National Laboratory(United States Department of Energy (DOE)); Los Alamos National Laboratory(United States Department of Energy (DOE)Los Alamos National Laboratory); UT-Battelle; German Research Foundation (DFG)(German Research Foundation (DFG)); Oak Ridge National Laboratory(United States Department of Energy (DOE))</t>
  </si>
  <si>
    <t>We would like to gratefully acknowledge the help of Regine Fahnrich (DSMZ) for growing C. algicola cultures. This work was performed under the auspices of the US Department of Energy Office of Science, Biological and Environmental Research Program, and by the University of California, Lawrence Berkeley National Laboratory under contract No. DE-AC02-05CH11231, Lawrence Livermore National Laboratory under Contract No. DE-AC52-07NA27344, and Los Alamos National Laboratory under contract No. DE-AC02-06NA25396, UT-Battelle and Oak Ridge National Laboratory under contract DE-AC05-00OR22725, as well as German Research Foundation (DFG) INST 599/1-2.</t>
  </si>
  <si>
    <t>BIOMED CENTRAL LTD</t>
  </si>
  <si>
    <t>236 GRAYS INN RD, FLOOR 6, LONDON WC1X 8HL, ENGLAND</t>
  </si>
  <si>
    <t>1944-3277</t>
  </si>
  <si>
    <t>STAND GENOMIC SCI</t>
  </si>
  <si>
    <t>Stand. Genomic Sci.</t>
  </si>
  <si>
    <t>10.4056/sigs.1543845</t>
  </si>
  <si>
    <t>Genetics &amp; Heredity; Microbiology</t>
  </si>
  <si>
    <t>759EL</t>
  </si>
  <si>
    <t>WOS:000290223400008</t>
  </si>
  <si>
    <t>Müller, R</t>
  </si>
  <si>
    <t>Muller, R</t>
  </si>
  <si>
    <t>Mueller, Rolf</t>
  </si>
  <si>
    <t>Stratospheric Ozone Depletion and Climate Change Introduction</t>
  </si>
  <si>
    <t>STRATOSPHERIC OZONE DEPLETION AND CLIMATE CHANGE</t>
  </si>
  <si>
    <t>ATMOSPHERIC CARBON-DIOXIDE; NITRIC-ACID TRIHYDRATE; ARCTIC STRATOSPHERE; ANTARCTIC OZONE; HETEROGENEOUS CHEMISTRY; CHLORINE CHEMISTRY; SULFATE AEROSOLS; LOSS RATES; WINTER; MODEL</t>
  </si>
  <si>
    <t>Forschungszentrum Julich, Inst Energy &amp; Climate Res IEK 7, D-52425 Julich, Germany</t>
  </si>
  <si>
    <t>Helmholtz Association; Research Center Julich</t>
  </si>
  <si>
    <t>Müller, R (corresponding author), Forschungszentrum Julich, Inst Energy &amp; Climate Res IEK 7, D-52425 Julich, Germany.</t>
  </si>
  <si>
    <t>Müller, Rolf/A-6669-2013; Müller, Rolf/ABA-8213-2021</t>
  </si>
  <si>
    <t>Müller, Rolf/0000-0002-5024-9977</t>
  </si>
  <si>
    <t>THOMAS GRAHAM HOUSE, SCIENCE PARK, CAMBRIDGE CB4 4WF, CAMBS, ENGLAND</t>
  </si>
  <si>
    <t>978-1-84973-002-0; 978-1-84973-318-2</t>
  </si>
  <si>
    <t>10.1039/9781849733182</t>
  </si>
  <si>
    <t>BA0XL</t>
  </si>
  <si>
    <t>WOS:000332344700003</t>
  </si>
  <si>
    <t>von Hobe, M; Stroh, F</t>
  </si>
  <si>
    <t>von Hobe, Marc; Stroh, Fred</t>
  </si>
  <si>
    <t>Stratospheric Halogen Chemistry</t>
  </si>
  <si>
    <t>ABSORPTION CROSS-SECTIONS; IN-SITU MEASUREMENTS; TROPICAL UPPER TROPOSPHERE; EQUILIBRIUM-CONSTANT; SELF-REACTION; CHLORINE CHEMISTRY; OZONE DESTRUCTION; PEROXIDE CLOOCL; ANTARCTIC OZONE; CIRRUS CLOUDS</t>
  </si>
  <si>
    <t>[von Hobe, Marc; Stroh, Fred] Forschungszentrum Julich, Inst Energy &amp; Climate Res IEK 7, D-52425 Julich, Germany</t>
  </si>
  <si>
    <t>von Hobe, M (corresponding author), Forschungszentrum Julich, Inst Energy &amp; Climate Res IEK 7, D-52425 Julich, Germany.</t>
  </si>
  <si>
    <t>von Hobe, Marc/N-3265-2019; Stroh, Fred/A-6505-2009</t>
  </si>
  <si>
    <t>von Hobe, Marc/0000-0001-6034-6562; Stroh, Fred/0000-0002-4492-2977</t>
  </si>
  <si>
    <t>WOS:000332344700005</t>
  </si>
  <si>
    <t>Karlin, EF; Boles, SB; Seppelt, RD; Terracciano, S; Shaw, AJ</t>
  </si>
  <si>
    <t>Karlin, Eric F.; Boles, Sandra B.; Seppelt, Rodney D.; Terracciano, Stefano; Shaw, A. Jonathan</t>
  </si>
  <si>
    <t>The Peat Moss Sphagnum cuspidatum in Australia: Microsatellites Provide a Global Perspective</t>
  </si>
  <si>
    <t>SYSTEMATIC BOTANY</t>
  </si>
  <si>
    <t>Allopolyploidy; Australasia; interploidal hybridization; phenotypic variation; phylogeography; Sphagnum falcatulum</t>
  </si>
  <si>
    <t>GENETIC-DISTANCE; ALLOPOLYPLOIDY; EVOLUTION</t>
  </si>
  <si>
    <t>The distribution of Sphagnum cuspidation has been subject to controversy. Although historically reported from all continents except Antarctica recent authors consider S. cuspidatum to be endemic to Europe and eastern North America. Microsatellites from Australian plants morphologically identified as S. cuspidation were compared to microsatellites of plants morphologically identified as S. cuspidatum collected from other regions. The species was found to occur in Australia as well as on every continent except Antarctica. The sample most closely related to the Australian plants was collected in the Philippines, and samples from Australia, the Philippines, Colombia, and Equatorial Guinea formed a subclade within S. cuspidatum. Microsatellites further show that S. cuspidation is one of the parental species of the double allopolyploid S.falcatulum, a Holantarctic species which is reported from Tasmania, New Zealand, and Chile.</t>
  </si>
  <si>
    <t>[Karlin, Eric F.] Ramapo Coll, Sch Theoret &amp; Appl Sci, Mahwah, NJ 07340 USA; [Boles, Sandra B.; Shaw, A. Jonathan] Duke Univ, Dept Biol, Durham, NC 27708 USA; [Seppelt, Rodney D.] Australian Antarctic Div, Kingston, Tas 7050, Australia; [Terracciano, Stefano] Univ Naples Federico II, Dipartimento Biol Strutturale &amp; Funz, I-80126 Naples, Italy</t>
  </si>
  <si>
    <t>Ramapo College New Jersey (RCNJ); Duke University; Australian Antarctic Division; University of Naples Federico II</t>
  </si>
  <si>
    <t>Karlin, EF (corresponding author), Ramapo Coll, Sch Theoret &amp; Appl Sci, Mahwah, NJ 07340 USA.</t>
  </si>
  <si>
    <t>ekarlin@ramapo.edu</t>
  </si>
  <si>
    <t>Karlin, Eric/0000-0003-4218-8825</t>
  </si>
  <si>
    <t>NSF [DEB-0515749-002]; Ramapo College; Direct For Biological Sciences; Division Of Environmental Biology [0918998] Funding Source: National Science Foundation</t>
  </si>
  <si>
    <t>NSF(National Science Foundation (NSF)); Ramapo College; Direct For Biological Sciences; Division Of Environmental Biology(National Science Foundation (NSF)NSF - Directorate for Biological Sciences (BIO))</t>
  </si>
  <si>
    <t>We thank Harry Hines for the collections from Brown Lake and Ross Patterson for the collections from Marcus Beach. We thank the two anonymous reviewers whose comments helped strengthen the paper. We also thank Lisa Bukovnik (Biological Sciences Sequencing Director, Duke University). Funding for genetic analyses was provided in part by a NSF grant no. DEB-0515749-002 to Jon Shaw and in part by Ramapo College.</t>
  </si>
  <si>
    <t>AMER SOC PLANT TAXONOMISTS</t>
  </si>
  <si>
    <t>LARAMIE</t>
  </si>
  <si>
    <t>UNIV WYOMING, DEPT BOTANY 3165, 1000 E UNIVERSITY AVE, LARAMIE, WY 82071 USA</t>
  </si>
  <si>
    <t>0363-6445</t>
  </si>
  <si>
    <t>1548-2324</t>
  </si>
  <si>
    <t>SYST BOT</t>
  </si>
  <si>
    <t>Syst. Bot.</t>
  </si>
  <si>
    <t>10.1600/036364411X553090</t>
  </si>
  <si>
    <t>Plant Sciences; Evolutionary Biology</t>
  </si>
  <si>
    <t>727BQ</t>
  </si>
  <si>
    <t>WOS:000287772700004</t>
  </si>
  <si>
    <t>Anderson, John B.; Wellner, Julia S.</t>
  </si>
  <si>
    <t>Tectonic, Climatic, and Cryospheric Evolution of the Antarctic Peninsula Introduction</t>
  </si>
  <si>
    <t>Antarctica's climate and glacial history remain shrouded due largely to a paucity of outcrops and drill cores; in particular, the Neogene record is fragmentary. Most outcrops of this age have been studied at some level of detail, so the greatest opportunity for expanding our knowledge of this time interval is through acquisition of drill cores. Drill cores from the deep-sea floor around Antarctica have provided a proxy record of climate change and ice sheet evolution but do not allow us to address questions concerning regional variability in ice sheet development or the response of organisms living on the continent to climate change. The continental shelf contains a rich and virtually unsampled stratigraphic record, but sea ice and icebergs limit access to these areas by conventional drill ships. This has prompted efforts to drill the continental shelf using unconventional methods, including drilling from the sea ice (ANDRILL) and from ice-breaking research vessels (SHALDRIL).</t>
  </si>
  <si>
    <t>[Anderson, John B.] Rice Univ, Dept Earth Sci, Houston, TX 77005 USA; [Wellner, Julia S.] Univ Houston, Dept Earth &amp; Atmospher Sci, Houston, TX 77204 USA</t>
  </si>
  <si>
    <t>Rice University; University of Houston System; University of Houston</t>
  </si>
  <si>
    <t>Anderson, JB (corresponding author), Rice Univ, Dept Earth Sci, Houston, TX 77005 USA.</t>
  </si>
  <si>
    <t>johna@rice.edu; johna@rice.edu</t>
  </si>
  <si>
    <t>10.1029/2011SP001132</t>
  </si>
  <si>
    <t>WOS:000300647100001</t>
  </si>
  <si>
    <t>Boothe, JN</t>
  </si>
  <si>
    <t>Boothe, Joan Norris</t>
  </si>
  <si>
    <t>Crevasse Roulette: The First Trans-Antarctic Crossing 1957-58</t>
  </si>
  <si>
    <t>TERRAE INCOGNITAE-THE JOURNAL OF THE SOCIETY FOR THE HISTORY OF DISCOVERIES</t>
  </si>
  <si>
    <t>Book Review</t>
  </si>
  <si>
    <t>0082-2884</t>
  </si>
  <si>
    <t>2040-8706</t>
  </si>
  <si>
    <t>TERR INCOGN</t>
  </si>
  <si>
    <t>Terr. Incogn.</t>
  </si>
  <si>
    <t>History</t>
  </si>
  <si>
    <t>V3G7S</t>
  </si>
  <si>
    <t>WOS:000218241500016</t>
  </si>
  <si>
    <t>Choi, KS; Oh, SB; Byun, HR; Kripalani, RH; Kim, DW</t>
  </si>
  <si>
    <t>Choi, Ki-Seon; Oh, Su-Bin; Byun, Hi-Ryong; Kripalani, R. H.; Kim, Do-Woo</t>
  </si>
  <si>
    <t>Possible linkage between East Asian summer drought and North Pacific Oscillation</t>
  </si>
  <si>
    <t>THEORETICAL AND APPLIED CLIMATOLOGY</t>
  </si>
  <si>
    <t>YANGTZE-RIVER VALLEY; INTERANNUAL VARIABILITY; ANTARCTIC OSCILLATION; MONSOON; CHINA; RAINFALL; CLIMATE; KOREA; REANALYSIS; HEMISPHERE</t>
  </si>
  <si>
    <t>The May North Pacific Oscillation Index and the summer (May and June-July-August-JJA) Effective Drought Index have a strong negative correlation in the East Asian region, particularly in northern China, Korea, and the southwestern regions of Japan (here termed Northeast Asia); this signifies an intensification of the summer drought during positive North Pacific Index (NPI) phase in this region, and the presence of such a phenomenon has been observed in this study. The low-south/high-north anomalous pressure pattern forming in all layers of the troposphere in Northeast Asian region has been a cause of drought. This unusual pressure pattern gives rise to a cold northeasterly and intensifies downward flow and reduces relative humidity. In addition, this cold northeasterly hinders the northward movement of the western North Pacific high and reduces the frequency of tropical cyclones passing through this region, thereby further intensifying drought.</t>
  </si>
  <si>
    <t>[Oh, Su-Bin; Byun, Hi-Ryong; Kripalani, R. H.; Kim, Do-Woo] Pukyong Natl Univ, Dept Environm Atmospher Sci, Pusan 608737, South Korea; [Choi, Ki-Seon] Korea Meteorol Adm, Seoul, South Korea</t>
  </si>
  <si>
    <t>Pukyong National University; Korea Meteorological Administration (KMA)</t>
  </si>
  <si>
    <t>Byun, HR (corresponding author), Pukyong Natl Univ, Dept Environm Atmospher Sci, Daeyeon 3 Dong, Pusan 608737, South Korea.</t>
  </si>
  <si>
    <t>hrbyun@pknu.ac.kr</t>
  </si>
  <si>
    <t>Kim, Do-Woo/0000-0002-7994-827X</t>
  </si>
  <si>
    <t>Korea Meteorological Administration Research and Development [CATER 2006-2306]</t>
  </si>
  <si>
    <t>Korea Meteorological Administration Research and Development(Korea Meteorological Administration (KMA))</t>
  </si>
  <si>
    <t>This work was funded by the Korea Meteorological Administration Research and Development Program under Grant CATER 2006-2306.</t>
  </si>
  <si>
    <t>SPRINGER WIEN</t>
  </si>
  <si>
    <t>WIEN</t>
  </si>
  <si>
    <t>SACHSENPLATZ 4-6, PO BOX 89, A-1201 WIEN, AUSTRIA</t>
  </si>
  <si>
    <t>0177-798X</t>
  </si>
  <si>
    <t>1434-4483</t>
  </si>
  <si>
    <t>THEOR APPL CLIMATOL</t>
  </si>
  <si>
    <t>Theor. Appl. Climatol.</t>
  </si>
  <si>
    <t>10.1007/s00704-010-0286-7</t>
  </si>
  <si>
    <t>700YG</t>
  </si>
  <si>
    <t>WOS:000285780900006</t>
  </si>
  <si>
    <t>Del Castillo-Laborde, L</t>
  </si>
  <si>
    <t>Ganoulis, J; Aureli, A; Fried, J</t>
  </si>
  <si>
    <t>Del Castillo-Laborde, Lilian</t>
  </si>
  <si>
    <t>Antarctic Subglacial Lakes and Waters: The Challenge to Protect a Hidden Resource</t>
  </si>
  <si>
    <t>TRANSBOUNDARY WATER RESOURCES MANAGEMENT: A MULTIDISCIPLINARY APPROACH</t>
  </si>
  <si>
    <t>Univ Buenos Aires, Sch Law, RA-1425 Buenos Aires, DF, Argentina</t>
  </si>
  <si>
    <t>Del Castillo-Laborde, L (corresponding author), Univ Buenos Aires, Sch Law, Av Figueroa Alcorta 2263, RA-1425 Buenos Aires, DF, Argentina.</t>
  </si>
  <si>
    <t>WILEY-V C H VERLAG GMBH</t>
  </si>
  <si>
    <t>WEINHEIM</t>
  </si>
  <si>
    <t>PAPPELALLEE 3, W-69469 WEINHEIM, GERMANY</t>
  </si>
  <si>
    <t>978-3-527-63667-9; 978-3-527-33014-0</t>
  </si>
  <si>
    <t>10.1002/9783527636655</t>
  </si>
  <si>
    <t>Environmental Sciences; Water Resources</t>
  </si>
  <si>
    <t>Environmental Sciences &amp; Ecology; Water Resources</t>
  </si>
  <si>
    <t>BB2KV</t>
  </si>
  <si>
    <t>WOS:000341845000006</t>
  </si>
  <si>
    <t>Forbes, DL</t>
  </si>
  <si>
    <t>Wolanski, E; McLusky, D</t>
  </si>
  <si>
    <t>Forbes, D. L.</t>
  </si>
  <si>
    <t>Glaciated Coasts</t>
  </si>
  <si>
    <t>TREATISE ON ESTUARINE AND COASTAL SCIENCE, VOL 3: ESTUARINE AND COASTAL GEOLOGY AND GEOMORPHOLOGY</t>
  </si>
  <si>
    <t>SEA-LEVEL RISE; PARAGLACIAL BARRIER SYSTEMS; CENTRAL BRITISH-COLUMBIA; SAN-SEBASTIAN BAY; TIERRA-DEL-FUEGO; ICE SHELF; NOVA-SCOTIA; ANTARCTIC PENINSULA; GRAVEL-BARRIER; SEQUENCE STRATIGRAPHY</t>
  </si>
  <si>
    <t>Glaciated coasts encompass all those that are now affected by glacial ice or have been at some time since the Last Glacial Maximum. Glacial coasts are the tidewater ice margins of ice sheets, ice shelves, and outlet glaciers. Proglacial coasts are those that are actively receiving outwash sediment. Paraglacial coasts are those in which the coastal evolution is strongly influenced by the effects of past glaciation, most importantly through the dominance of sediment supply from glacigenic deposits by fluvial or coastal reworking. The coastal geomorphology in paraglacial settings may be strongly influenced by the topographic imprint of glacial erosion, and by the distribution and availability of glacigenic deposits.</t>
  </si>
  <si>
    <t>[Forbes, D. L.] Geol Survey Canada, Bedford Inst Oceanog, Dartmouth, NS, Canada; [Forbes, D. L.] Mem Univ Newfoundland, St John, NF, Canada</t>
  </si>
  <si>
    <t>Natural Resources Canada; Lands &amp; Minerals Sector - Natural Resources Canada; Geological Survey of Canada; Bedford Institute of Oceanography; Memorial University Newfoundland</t>
  </si>
  <si>
    <t>Forbes, DL (corresponding author), Geol Survey Canada, Bedford Inst Oceanog, Dartmouth, NS, Canada.</t>
  </si>
  <si>
    <t>978-0-08-087885-0</t>
  </si>
  <si>
    <t>BA2QF</t>
  </si>
  <si>
    <t>WOS:000333764800009</t>
  </si>
  <si>
    <t>Forbes, DL; Hansom, JD</t>
  </si>
  <si>
    <t>Forbes, D. L.; Hansom, J. D.</t>
  </si>
  <si>
    <t>Polar Coasts</t>
  </si>
  <si>
    <t>SEA-LEVEL HISTORY; EASTERN HUDSON-BAY; SOUTHERN VICTORIA LAND; ICE PILE-UP; BEAUFORT SEA; MACKENZIE DELTA; NORTHWEST-TERRITORIES; SEDIMENT TRANSPORT; RICHARDS ISLAND; RIVER DELTA</t>
  </si>
  <si>
    <t>Polar and subpolar coasts are distinctive because of extreme seasonality and the presence of ice (predominantly tidewater glaciers, ice shelves, sea ice, and ground ice). Sea ice plays a protective role but may be either erosional or constructive when mobile. Wave activity, though effective mainly during the short summer, imposes a strong morphological signature on most sedimentary coasts. Unlithified coasts in permafrost are widespread on the Arctic Coastal Plain, where combined thermal and mechanical processes promote rapid erosion in ice-rich deposits. Antarctic and sub-Antarctic coasts are mainly dominated by rock or ice, as are parts of the Arctic coast.</t>
  </si>
  <si>
    <t>[Forbes, D. L.] Geol Survey Canada, Bedford Inst Oceanog, Dartmouth, NS, Canada; [Forbes, D. L.] Mem Univ Newfoundland, St John, NF, Canada; [Hansom, J. D.] Univ Glasgow, Glasgow, Lanark, Scotland</t>
  </si>
  <si>
    <t>Bedford Institute of Oceanography; Natural Resources Canada; Lands &amp; Minerals Sector - Natural Resources Canada; Geological Survey of Canada; Memorial University Newfoundland; University of Glasgow</t>
  </si>
  <si>
    <t>WOS:000333764800010</t>
  </si>
  <si>
    <t>Sutherland, WJ; Bardsley, S; Bennun, L; Clout, M; Côté, IM; Depledge, MH; Dicks, LV; Dobson, AP; Fellman, L; Fleishman, E; Gibbons, DW; Impey, AJ; Lawton, JH; Lickorish, F; Lindenmayer, DB; Lovejoy, TE; Mac Nally, R; Madgwick, J; Peck, LS; Pretty, J; Prior, SV; Redford, KH; Scharlemann, JPW; Spalding, M; Watkinson, AR</t>
  </si>
  <si>
    <t>Sutherland, William J.; Bardsley, Sarah; Bennun, Leon; Clout, Mick; Cote, Isabelle M.; Depledge, Michael H.; Dicks, Lynn V.; Dobson, Andrew P.; Fellman, Liz; Fleishman, Erica; Gibbons, David W.; Impey, Andrew J.; Lawton, John H.; Lickorish, Fiona; Lindenmayer, David B.; Lovejoy, Thomas E.; Mac Nally, Ralph; Madgwick, Jane; Peck, Lloyd S.; Pretty, Jules; Prior, Stephanie V.; Redford, Kent H.; Scharlemann, Joern P. W.; Spalding, Mark; Watkinson, Andrew R.</t>
  </si>
  <si>
    <t>Horizon scan of global conservation issues for 2011</t>
  </si>
  <si>
    <t>TRENDS IN ECOLOGY &amp; EVOLUTION</t>
  </si>
  <si>
    <t>BIODIVERSITY; TRENDS; FUTURE; ICE; TECHNOLOGIES; POPULATION; CHALLENGES; MOSQUITOS; WORLD</t>
  </si>
  <si>
    <t>This review describes outcomes of a 2010 horizon-scanning exercise building upon the first exercise conducted in 2009. The aim of both horizon scans was to identify emerging issues that could have substantial impacts on the conservation of biological diversity, and to do so sufficiently early to encourage policy-relevant, practical research on those issues. Our group included professional horizon scanners and researchers affiliated with universities and non- and inter-governmental organizations, including specialists on topics such as invasive species, wildlife diseases and coral reefs. We identified 15 nascent issues, including new greenhouse gases, genetic techniques to eradicate mosquitoes, milk consumption in Asia and societal pessimism.</t>
  </si>
  <si>
    <t>[Sutherland, William J.; Dicks, Lynn V.; Prior, Stephanie V.] Univ Cambridge, Dept Zool, Conservat Sci Grp, Cambridge CB2 3EJ, England; [Bardsley, Sarah] Environm Agcy, Evidence Directorate, Bath BA2 9ES, Avon, England; [Bennun, Leon] BirdLife Int, Wellbrook Court, Cambridge CB3 0NA, England; [Clout, Mick] Univ Auckland, Sch Biol Sci, Ctr Biodivers &amp; Biosecur, Auckland 1, New Zealand; [Cote, Isabelle M.] Simon Fraser Univ, Dept Biol Sci, Burnaby, BC V5A 1S6, Canada; [Depledge, Michael H.] Peninsula Med Sch, Plymouth PL6 8BU, Devon, England; [Dobson, Andrew P.] Dept Ecol &amp; Evolutionary Biol, Princeton, NJ 08544 USA; [Fellman, Liz; Impey, Andrew J.] NERC, Swindon SN2 1EU, Wilts, England; [Fleishman, Erica] Univ Calif Santa Barbara, Bren Sch Environm Sci &amp; Management, Santa Barbara, CA 93106 USA; [Gibbons, David W.] Royal Soc Protect Birds, Sandy SG19 2DL, Beds, England; [Lawton, John H.] Holburns Croft, Hayloft, York YO10 5DP, N Yorkshire, England; [Lickorish, Fiona] Defra, London SW1P 3JR, England; [Lindenmayer, David B.] Australian Natl Univ, Fenner Sch Environm &amp; Soc, Canberra, ACT 0200, Australia; [Lovejoy, Thomas E.] H John Heinz III Ctr Sci Econ &amp; Environm, Washington, DC 20006 USA; [Mac Nally, Ralph] Monash Univ, Sch Biol Sci, Australian Ctr Biodivers, Clayton, Vic 3800, Australia; [Madgwick, Jane] Wetlands Int, NL-6700 AL Wageningen, Netherlands; [Peck, Lloyd S.] British Antarctic Survey, NERC, Cambridge CB3 0ET, England; [Pretty, Jules] Univ Essex, Dept Biol Sci, Ctr Environm &amp; Soc, Colchester CO4 3SQ, Essex, England; [Redford, Kent H.] Wildlife Conservat Soc, WCS Inst, Bronx, NY 10460 USA; [Scharlemann, Joern P. W.] United Nations Environm Programme World Conservat, Cambridge CB3 0DL, England; [Spalding, Mark] Nature Conservancy, Global Marine Team, Newmarket CB8 8AW, Suffolk, England; [Watkinson, Andrew R.] Univ E Anglia, Sch Environm Sci, Norwich NR4 7TJ, Norfolk, England</t>
  </si>
  <si>
    <t>University of Cambridge; BirdLife International; University of Auckland; Simon Fraser University; University of Plymouth; UK Research &amp; Innovation (UKRI); Natural Environment Research Council (NERC); University of California System; University of California Santa Barbara; Royal Society for Protection of Birds; Australian National University; Monash University; UK Research &amp; Innovation (UKRI); Natural Environment Research Council (NERC); NERC British Antarctic Survey; University of Essex; Wildlife Conservation Society; University of East Anglia</t>
  </si>
  <si>
    <t>Sutherland, WJ (corresponding author), Univ Cambridge, Dept Zool, Conservat Sci Grp, Downing St, Cambridge CB2 3EJ, England.</t>
  </si>
  <si>
    <t>w.sutherland@zoo.cam.ac.uk</t>
  </si>
  <si>
    <t>Dicks, Lynn V./AFH-5289-2022; Pretty, Jules/D-4071-2012; Lindenmayer, David/P-7183-2017; Cote, Isabelle/ABD-5898-2021; Sutherland, William/B-1291-2013; Spalding, Mark/GVU-0739-2022; Scharlemann, Jorn/A-4737-2008; Watkinson, Andrew R/N-1649-2013</t>
  </si>
  <si>
    <t>Dicks, Lynn V./0000-0002-8304-4468; Scharlemann, Jorn/0000-0002-2834-6367; Pretty, Jules/0000-0002-3897-6581; Lickorish, Fiona/0000-0002-0696-202X; Depledge, Michael/0000-0002-7216-0439; Spalding, Mark/0000-0001-9456-4533; Sutherland, William/0000-0002-6498-0437; Clout, Mick/0000-0003-2864-4628</t>
  </si>
  <si>
    <t>UK Natural Environment Research Council; Defra; RSPB; Arcadia Fund; NERC [NE/C004442/1, bas0100025] Funding Source: UKRI; Natural Environment Research Council [bas0100025, NE/C004442/1] Funding Source: researchfish</t>
  </si>
  <si>
    <t>UK Natural Environment Research Council(UK Research &amp; Innovation (UKRI)Natural Environment Research Council (NERC)); Defra(Department for Environment, Food &amp; Rural Affairs (DEFRA)); RSPB; Arcadia Fund; NERC(UK Research &amp; Innovation (UKRI)Natural Environment Research Council (NERC)); Natural Environment Research Council(UK Research &amp; Innovation (UKRI)Natural Environment Research Council (NERC))</t>
  </si>
  <si>
    <t>We thank the UK Natural Environment Research Council, Defra and RSPB for funding. This is an activity of the Cambridge Conservation Initiative and we thank the steering group for useful comments. WJS is supported by the Arcadia Fund. We thank many individuals for their valuable contributions to the issue collection exercise. Scott Bearer, Jennifer De Lurio, Josef Hargrave and Craig Leisher suggested topics included here. We thank the referees for useful comments.</t>
  </si>
  <si>
    <t>ELSEVIER SCIENCE LONDON</t>
  </si>
  <si>
    <t>84 THEOBALDS RD, LONDON WC1X 8RR, ENGLAND</t>
  </si>
  <si>
    <t>0169-5347</t>
  </si>
  <si>
    <t>1872-8383</t>
  </si>
  <si>
    <t>TRENDS ECOL EVOL</t>
  </si>
  <si>
    <t>Trends Ecol. Evol.</t>
  </si>
  <si>
    <t>10.1016/j.tree.2010.11.002</t>
  </si>
  <si>
    <t>710XK</t>
  </si>
  <si>
    <t>WOS:000286550100004</t>
  </si>
  <si>
    <t>Gibbs, SE; Harcourt, RG; Kemper, CM</t>
  </si>
  <si>
    <t>Gibbs, Susan E.; Harcourt, Robert G.; Kemper, Catherine M.</t>
  </si>
  <si>
    <t>Niche differentiation of bottlenose dolphin species in South Australia revealed by stable isotopes and stomach contents</t>
  </si>
  <si>
    <t>dentine; diet; marine mammal; resource partitioning</t>
  </si>
  <si>
    <t>ANTARCTIC FUR SEALS; DIET COMPOSITION; FOOD-WEB; GENETIC DIFFERENTIATION; POPULATION-STRUCTURE; TURSIOPS-TRUNCATUS; COMMON DOLPHINS; FEEDING ECOLOGY; MARINE MAMMALS; DELTA-C-13</t>
  </si>
  <si>
    <t>Context. Animal species with overlapping ranges are common worldwide, but how these species coexist is less obvious. Dolphins are protected in Australia and yet little information is available on their resource use which is essential for successful management and conservation. Aim. The aim of this study was to determine the degree of overlap in diet and feeding ecology of the two Tursiops spp. that have overlapping ranges in South Australia. Methods. Stomach content (91 Tursiops sp. and 14 T. truncatus) and stable isotope (delta C-13, delta N-15) analyses (39 Tursiops sp. and 14 T. truncatus) were conducted. Carcasses of dolphins were opportunistically collected between 1974 and 2005. Diet was quantified by frequency of occurrence (FOO) and numerical abundance (NA) of prey. Key results. Delta(13)C from teeth revealed distinct differences in primary source of carbon, corresponding to coastal (Tursiops sp. n = 39, (X) over bar = -12.24, s.d. = 1.32) and offshore habitats (T. truncatus n = 14, (X) over bar = -14.21, s.d. = 0.55). Differences in delta N-15 revealed Tursiops sp. ((X) over bar = 11.66, s.d. = 0.58) feeds at a lower trophic level than T. truncatus ((X) over bar = 14.29, s.d. = 0.88). Stomach content analyses for Tursiops sp. corroborated stable isotope results. There was a significant difference between the diets of Tursiops sp. from north Spencer Gulf and south Spencer Gulf (ANOSIM R = 0.249, P = 0.001). Prey were generally demersal in habit with the most important from the cephalopod families Octopodidae, Sepiidae and Loliginidae and fish families Carangidae, Clupeidae, Terapontidae and Apogonidae. For T. truncatus there were insufficient stomach contents for assessment. Conclusions. South Australian bottlenose dolphin species exhibit distinct niche differentiation with clear evidence of regional variation in the diet of Tursiops sp. Implications. The between and within species diet differentiation demonstrated, highlights the importance of regional management. Such results are internationally significant as coastal and offshore forms of Tursiops spp. occur worldwide.</t>
  </si>
  <si>
    <t>[Gibbs, Susan E.; Harcourt, Robert G.] Macquarie Univ, Grad Sch Environm, Marine Mammal Res Grp, Sydney, NSW 2109, Australia; [Gibbs, Susan E.; Kemper, Catherine M.] S Australian Museum, Adelaide, SA 5000, Australia</t>
  </si>
  <si>
    <t>Gibbs, SE (corresponding author), Macquarie Univ, Grad Sch Environm, Marine Mammal Res Grp, Sydney, NSW 2109, Australia.</t>
  </si>
  <si>
    <t>sue.gibbs@bigpond.com</t>
  </si>
  <si>
    <t>Harcourt, Robert/0000-0003-4666-2934</t>
  </si>
  <si>
    <t>Macquarie University; Natural Heritage Trust, the Sea World Research and Rescue Foundation (Qld); Sir Mark Mitchell Research Foundation; ISOECOL (UK)</t>
  </si>
  <si>
    <t>The authors would like to thank D. Stemmer (SAM), A. Stump, W. Argent and other staff and volunteers for their assistance collecting and preparing specimens. We thank R. Freschi for assistance with preparing teeth and Drs D. Furlani and K. Evans for allowing us access to their collections. We thank the editor Dr A. Taylor and two anonymous reviewers for greatly improving the manuscript. For funding the research thanks go to Macquarie University, the Natural Heritage Trust, the Sea World Research and Rescue Foundation (Qld), the Sir Mark Mitchell Research Foundation and ISOECOL (UK). Thanks to National Parks and Wildlife, South Australia, CSIRO Marine Research and the South Australian Museum for logistical support.</t>
  </si>
  <si>
    <t>10.1071/WR10108</t>
  </si>
  <si>
    <t>815AS</t>
  </si>
  <si>
    <t>WOS:000294499100001</t>
  </si>
  <si>
    <t>Zalasiewicz, J; Williams, M</t>
  </si>
  <si>
    <t>Vidas, D; Schei, PJ</t>
  </si>
  <si>
    <t>Zalasiewicz, Jan; Williams, Mark</t>
  </si>
  <si>
    <t>The Anthropocene Ocean in Its Deep Time Context</t>
  </si>
  <si>
    <t>WORLD OCEAN IN GLOBALISATION: CLIMATE CHANGE, SUSTAINABLE FISHERIES, BIODIVERSITY, SHIPPING, REGIONAL ISSUES</t>
  </si>
  <si>
    <t>MARINE; ACIDIFICATION; CALCIFICATION</t>
  </si>
  <si>
    <t>[Zalasiewicz, Jan; Williams, Mark] Univ Leicester, Dept Geol, Leicester LE1 7RH, Leics, England; [Zalasiewicz, Jan; Williams, Mark] British Geol Survey, Keyworth, Notts, England; [Williams, Mark] British Antarctic Survey, Cambridge, England; [Williams, Mark] Univ Portsmouth, Portsmouth PO1 2UP, Hants, England</t>
  </si>
  <si>
    <t>University of Leicester; UK Research &amp; Innovation (UKRI); Natural Environment Research Council (NERC); NERC British Geological Survey; UK Research &amp; Innovation (UKRI); Natural Environment Research Council (NERC); NERC British Antarctic Survey; University of Portsmouth</t>
  </si>
  <si>
    <t>Williams, Mark/B-7590-2009</t>
  </si>
  <si>
    <t>Williams, Mark/0000-0002-7987-6069</t>
  </si>
  <si>
    <t>BRILL</t>
  </si>
  <si>
    <t>PO BOX 9000, 2300 PA LEIDEN, NETHERLANDS</t>
  </si>
  <si>
    <t>978-9-00420-422-5; 978-90-04-19175-4</t>
  </si>
  <si>
    <t>Environmental Studies; Fisheries; Law</t>
  </si>
  <si>
    <t>Book Citation Index – Social Sciences &amp; Humanities (BKCI-SSH); Book Citation Index – Science (BKCI-S)</t>
  </si>
  <si>
    <t>Environmental Sciences &amp; Ecology; Fisheries; Government &amp; Law</t>
  </si>
  <si>
    <t>BXK33</t>
  </si>
  <si>
    <t>WOS:000296244700003</t>
  </si>
  <si>
    <t>Aronson, RB; Thatje, S; McClintock, JB; Hughes, KA</t>
  </si>
  <si>
    <t>Ostfeld, RS; Schlesinger, WH</t>
  </si>
  <si>
    <t>Aronson, Richard B.; Thatje, Sven; McClintock, James B.; Hughes, Kevin A.</t>
  </si>
  <si>
    <t>Anthropogenic impacts on marine ecosystems in Antarctica</t>
  </si>
  <si>
    <t>YEAR IN ECOLOGY AND CONSERVATION BIOLOGY</t>
  </si>
  <si>
    <t>Annals of the New York Academy of Sciences</t>
  </si>
  <si>
    <t>Antarctic Treaty; Antarctica; biodiversity; biological invasion; biotic homogenization; conservation; global warming</t>
  </si>
  <si>
    <t>TEMPERATURE-DEPENDENT BIOGEOGRAPHY; WINTER QUARTERS BAY; KING GEORGE ISLAND; SOUTHERN-OCEAN; MCMURDO-STATION; CLIMATE-CHANGE; ENTERIC BACTERIA; CLOSTRIDIUM-PERFRINGENS; ENVIRONMENTAL-CHANGE; SEWAGE POLLUTION</t>
  </si>
  <si>
    <t>Antarctica is the most isolated continent on Earth, but it has not escaped the negative impacts of human activity. The unique marine ecosystems of Antarctica and their endemic faunas are affected on local and regional scales by overharvesting, pollution, and the introduction of alien species. Global climate change is also having deleterious impacts: rising sea temperatures and ocean acidification already threaten benthic and pelagic food webs. The Antarctic Treaty System can address local- to regional-scale impacts, but it does not have purview over the global problems that impinge on Antarctica, such as emissions of greenhouse gases. Failure to address human impacts simultaneously at all scales will lead to the degradation of Antarctic marine ecosystems and the homogenization of their composition, structure, and processes with marine ecosystems elsewhere.</t>
  </si>
  <si>
    <t>[Aronson, Richard B.] Florida Inst Technol, Dept Biol Sci, Melbourne, FL 32901 USA; [Thatje, Sven] Univ Southampton, Sch Ocean &amp; Earth Sci, Natl Oceanog Ctr, Southampton, Hants, England; [McClintock, James B.] Univ Alabama Birmingham, Dept Biol, Birmingham, AL 35294 USA; [Hughes, Kevin A.] British Antarctic Survey, Nat Environm Res Council, Cambridge CB3 0ET, England</t>
  </si>
  <si>
    <t>Florida Institute of Technology; NERC National Oceanography Centre; University of Southampton; University of Alabama System; University of Alabama Birmingham; UK Research &amp; Innovation (UKRI); Natural Environment Research Council (NERC); NERC British Antarctic Survey</t>
  </si>
  <si>
    <t>Aronson, RB (corresponding author), Florida Inst Technol, Dept Biol Sci, 150 W Univ Blvd, Melbourne, FL 32901 USA.</t>
  </si>
  <si>
    <t>raronson@fit.edu</t>
  </si>
  <si>
    <t>Hughes, Kevin/JVZ-0793-2024</t>
  </si>
  <si>
    <t>Aronson, Richard/0000-0003-0383-3844</t>
  </si>
  <si>
    <t>NERC [bas010011] Funding Source: UKRI; Office of Polar Programs (OPP); Directorate For Geosciences [0838846, 0838844] Funding Source: National Science Foundation; Natural Environment Research Council [bas010011] Funding Source: researchfish</t>
  </si>
  <si>
    <t>NERC(UK Research &amp; Innovation (UKRI)Natural Environment Research Council (NERC)); Office of Polar Programs (OPP); Directorate For Geosciences(National Science Foundation (NSF)NSF - Directorate for Geosciences (GEO)); Natural Environment Research Council(UK Research &amp; Innovation (UKRI)Natural Environment Research Council (NERC))</t>
  </si>
  <si>
    <t>BLACKWELL SCIENCE PUBL</t>
  </si>
  <si>
    <t>OSNEY MEAD, OXFORD OX2 0EL, ENGLAND</t>
  </si>
  <si>
    <t>0077-8923</t>
  </si>
  <si>
    <t>978-1-57331-833-4</t>
  </si>
  <si>
    <t>ANN NY ACAD SCI</t>
  </si>
  <si>
    <t>Ann.NY Acad.Sci.</t>
  </si>
  <si>
    <t>10.1111/j.1749-6632.2010.05926.x</t>
  </si>
  <si>
    <t>Biodiversity Conservation; Ecology; Multidisciplinary Sciences</t>
  </si>
  <si>
    <t>Biodiversity &amp; Conservation; Environmental Sciences &amp; Ecology; Science &amp; Technology - Other Topics</t>
  </si>
  <si>
    <t>BUQ42</t>
  </si>
  <si>
    <t>WOS:000290066400005</t>
  </si>
  <si>
    <t>Krapp-Schickel, T</t>
  </si>
  <si>
    <t>Krapp-Schickel, Traudl</t>
  </si>
  <si>
    <t>On the Austral-Antarctic stenothoids Proboloides, Metopoides, Torometopa and Scaphodactylus (Crustacea Amphipoda) Part 2: the genus Proboloides, with description of two new genera and the transfer of two nominal species to Metopoides</t>
  </si>
  <si>
    <t>ZOOKEYS</t>
  </si>
  <si>
    <t>Stenothoidae sensu lato; systematics; phylogenetic analysis; gen. Proboloides; Malvinometopa gen. n.; Victometopa gen. n.; Victometopa rorida sp n.</t>
  </si>
  <si>
    <t>This is the second part of a revision of the most plesiomorphic genera in the amphipod family Stenothoidae sensu law (see Krapp-Schickel and Koenemann 2006 for an overview and Krapp-Schickel 2008 for the first part). 41 species not belonging to Metopoides were plotted in a matrix using the same 61 characters as in the first part. The resulting group of Proboloides species (most probably not existing in the Austral-Antarctic region) is discussed, a key for the members given and two new genera erected. Some species described as Proboloides are redescribed and 2 species transferred to Metopoides. A key for all actual members of Proboloides and a revised key for Metopoides is added. The remaining species, i.e. those actually being in the genera Torometopa and Scaphodactylus, will be dealt with in the final part of this series, together with a key to all of them.</t>
  </si>
  <si>
    <t>Museum Alexander Koenig, D-53113 Bonn, Germany</t>
  </si>
  <si>
    <t>Zoologisches Forschungsmuseum Alexander Koenig (ZFMK)</t>
  </si>
  <si>
    <t>Krapp-Schickel, T (corresponding author), Museum Alexander Koenig, Adenauerallee 160, D-53113 Bonn, Germany.</t>
  </si>
  <si>
    <t>traudl.krapp@uni-bonn.de</t>
  </si>
  <si>
    <t>PENSOFT PUBL</t>
  </si>
  <si>
    <t>12 PROF GEORGI ZLATARSKI ST, SOFIA, 1700, BULGARIA</t>
  </si>
  <si>
    <t>1313-2989</t>
  </si>
  <si>
    <t>1313-2970</t>
  </si>
  <si>
    <t>ZooKeys</t>
  </si>
  <si>
    <t>10.3897/zookeys.86.785</t>
  </si>
  <si>
    <t>760ZE</t>
  </si>
  <si>
    <t>WOS:000290363200002</t>
  </si>
  <si>
    <t>Di Biagio, C; Muscari, G; di Sarra, A; de Zafra, RL; Eriksen, P; Fiocco, G; Fiorucci, I; Fuà, D</t>
  </si>
  <si>
    <t>Di Biagio, Claudia; Muscari, Giovanni; di Sarra, Alcide; de Zafra, Robert L.; Eriksen, Paul; Fiocco, Giorgio; Fiorucci, Irene; Fua, Daniele</t>
  </si>
  <si>
    <t>Evolution of temperature, O3, CO, and N2O profiles during the exceptional 2009 Arctic major stratospheric warming as observed by lidar and millimeter-wave spectroscopy at Thule (76.5°N, 68.8°W), Greenland</t>
  </si>
  <si>
    <t>NORTHERN-HEMISPHERE; WINTER; ATMOSPHERE</t>
  </si>
  <si>
    <t>The 2009 Arctic sudden stratospheric warming (SSW) was the most intense event of this kind ever observed. Unique ground-based measurements of middle atmospheric profiles for temperature, O-3, CO, and N2O obtained at Thule (76.5 degrees N, 68.8 degrees W), Greenland, in the period January to early March are used to show the evolution of the 2009 SSW in the region of its maximum intensity. The first sign of the SSW was detected at theta similar to 2000 K on 19 January, when a rapid decrease in CO mixing ratio took place. The first evidence of a temperature increase was observed at the same level on 22 January, the earliest date on which lidar measurements reached above similar to 50 km. The warming propagated from the upper to the lower stratosphere in 7 days and the record maximum temperature of 289 K was observed between 1300 and 1500 K potential temperature on 22 January. A strong vortex splitting was associated with the SSW. Stratospheric backward trajectories indicate that air masses arriving at Thule during the warming peak underwent a rapid compression and an intense adiabatic warming of up to 50 K. The rapid advection of air from the extratropics was also occasionally observed to produce elevated values of N2O mixing ratio. Starting in mid-February the temperature profile and the N2O mixing ratio returned to the prewarming values in the mid and upper stratosphere, indicating the reformation of the vortex at these levels. In late winter, vertical descent from starting altitudes of similar to 60 km is estimated from CO profiles to be 0.25 +/- 0.05 km/day.</t>
  </si>
  <si>
    <t>[Di Biagio, Claudia; di Sarra, Alcide] ENEA UTMEA TER, I-00123 Rome, Italy; [Di Biagio, Claudia] Univ Siena, Dept Earth Sci, I-53100 Siena, Italy; [Muscari, Giovanni; Fiorucci, Irene] Ist Nazl Geofis &amp; Vulcanol, I-00143 Rome, Italy; [de Zafra, Robert L.] SUNY Stony Brook, Dept Phys &amp; Astron, Stony Brook, NY 11794 USA; [Eriksen, Paul] Danish Meteorol Inst, DK-2100 Copenhagen, Denmark; [Fiocco, Giorgio; Fua, Daniele] Univ Roma La Sapienza, Dept Phys, I-00185 Rome, Italy</t>
  </si>
  <si>
    <t>University of Siena; Istituto Nazionale Geofisica e Vulcanologia (INGV); State University of New York (SUNY) System; State University of New York (SUNY) Stony Brook; Danish Meteorological Institute DMI; Sapienza University Rome</t>
  </si>
  <si>
    <t>Di Biagio, C (corresponding author), ENEA UTMEA TER, Via Anguillarese 301, I-00123 Rome, Italy.</t>
  </si>
  <si>
    <t>claudia.dibiagio@enea.it</t>
  </si>
  <si>
    <t>di Sarra, Alcide/J-1491-2016</t>
  </si>
  <si>
    <t>di Sarra, Alcide/0000-0002-2405-2898; Di Biagio, Claudia/0000-0001-8273-6211</t>
  </si>
  <si>
    <t>Italian Ministry for University and Research; Italian Antarctic Program; Div Atmospheric &amp; Geospace Sciences; Directorate For Geosciences [0936365] Funding Source: National Science Foundation</t>
  </si>
  <si>
    <t>Italian Ministry for University and Research(Ministry of Education, Universities and Research (MIUR)); Italian Antarctic Program; Div Atmospheric &amp; Geospace Sciences; Directorate For Geosciences(National Science Foundation (NSF)NSF - Directorate for Geosciences (GEO))</t>
  </si>
  <si>
    <t>This work was supported by the project PRIN 2007 (Dirigibile Italia), funded by the Italian Ministry for University and Research, and by the Italian Antarctic Program. We would like to thank the NSF and Susan Zager of CH2M HILL Polar Services for logistic support and NASA GSFC for the trajectory Automailer system. We are grateful to C. Cesaroni for his assistance during the field campaign. Contributions by S. E. Ascanius, M. Cacciani, G. Casasanta, V. Ciardini, T. Di Iorio, and C. Tirelli are gratefully acknowledged. We thank Gloria Manney and the MLS team for making available the AURA/MLS data plots displayed in Figure 6. Helpful comments and suggestions from three anonymous reviewers are also acknowledged.</t>
  </si>
  <si>
    <t>DEC 31</t>
  </si>
  <si>
    <t>D24315</t>
  </si>
  <si>
    <t>10.1029/2010JD014070</t>
  </si>
  <si>
    <t>701QP</t>
  </si>
  <si>
    <t>WOS:000285837600003</t>
  </si>
  <si>
    <t>Menviel, L; Timmermann, A; Timm, OE; Mouchet, A</t>
  </si>
  <si>
    <t>Menviel, L.; Timmermann, A.; Timm, O. Elison; Mouchet, A.</t>
  </si>
  <si>
    <t>Climate and biogeochemical response to a rapid melting of the West Antarctic Ice Sheet during interglacials and implications for future climate</t>
  </si>
  <si>
    <t>SOUTHERN-OCEAN; FRESH-WATER; NORTH-ATLANTIC; SEA-ICE; MODEL; CIRCULATION; VEGETATION; COLLAPSE; PARAMETERIZATION; STABILITY</t>
  </si>
  <si>
    <t>We study the effects of a massive meltwater discharge from the West Antarctic Ice Sheet (WAIS) during interglacials onto the global climate-carbon cycle system using the Earth system model of intermediate complexity LOVECLIM. Prescribing a meltwater pulse in the Southern Ocean that mimics a rapid disintegration of the WAIS, a substantial cooling of the Southern Ocean is simulated that is accompanied by an equatorward expansion of the sea ice margin and an intensification of the Southern Hemispheric Westerlies. The strong halocline around Antarctica leads to suppression of Antarctic Bottom Water (AABW) formation and to subsurface warming in areas where under present-day conditions AABW is formed. This subsurface warming at depths between 500 and 1500 m leads to a thermal weathering of the WAIS grounding line and provides a positive feedback that accelerates the meltdown of the WAIS. Our model results further demonstrate that in response to the massive expansion of sea ice, marine productivity in the Southern Ocean reduces significantly. A retreat of the WAIS, however, does not lead to any significant changes in atmospheric CO2. The climate signature of a WAIS collapse is structurally consistent with available paleoproxy signals of the last interglacial MIS5e.</t>
  </si>
  <si>
    <t>[Menviel, L.] Univ Bern, Oeschger Ctr Climate Change Res, CH-3012 Bern, Switzerland; [Mouchet, A.] Univ Liege, Dept AGO, B-4000 Liege, Belgium; [Timmermann, A.; Timm, O. Elison] Univ Hawaii, SOEST, IPRC, Honolulu, HI 96822 USA</t>
  </si>
  <si>
    <t>University of Bern; University of Liege; University of Hawaii System</t>
  </si>
  <si>
    <t>Menviel, L (corresponding author), Univ Bern, Oeschger Ctr Climate Change Res, Sidlerstr 5, CH-3012 Bern, Switzerland.</t>
  </si>
  <si>
    <t>menviel@climate.unibe.ch</t>
  </si>
  <si>
    <t>Menviel, Laurie/O-7833-2019; Menviel, Laurie/D-6902-2013; Timmermann, Axel/Y-2799-2019; Elison Timm, Oliver/L-2543-2018; Mouchet, Anne/K-1911-2014</t>
  </si>
  <si>
    <t>Menviel, Laurie/0000-0002-5068-1591; Timmermann, Axel/0000-0003-0657-2969; Elison Timm, Oliver/0000-0001-8871-0602; Mouchet, Anne/0000-0002-8846-3063</t>
  </si>
  <si>
    <t>NSF [1010869]; NASA [NNX07AG53G]; NOAA [NA09OAR4320075]; Belgian Science Policy (BELSPO) [SD/CS/01A]</t>
  </si>
  <si>
    <t>NSF(National Science Foundation (NSF)); NASA(National Aeronautics &amp; Space Administration (NASA)); NOAA(National Oceanic Atmospheric Admin (NOAA) - USA); Belgian Science Policy (BELSPO)(Belgian Federal Science Policy Office)</t>
  </si>
  <si>
    <t>This research was supported by NSF grant 1010869. Additional support was provided by the Japan Agency for Marine-Earth Science and Technology (JAMSTEC), by NASA through grant NNX07AG53G, and by NOAA through grant NA09OAR4320075, which sponsor research at the International Pacific Research Center. A. Mouchet acknowledges support from the Belgian Science Policy (BELSPO contract SD/CS/01A). We thank D. Pollard for making his ice sheet model simulation data available to us. We thank G. Filippelli and two anonymous reviewers for their helpful comments. This is IPRC publication 734 and SOEST publication 8043.</t>
  </si>
  <si>
    <t>PA4231</t>
  </si>
  <si>
    <t>10.1029/2009PA001892</t>
  </si>
  <si>
    <t>701RS</t>
  </si>
  <si>
    <t>WOS:000285841000001</t>
  </si>
  <si>
    <t>Guerstein, GR; Daners, G</t>
  </si>
  <si>
    <t>Raquel Guerstein, G.; Daners, Gloria</t>
  </si>
  <si>
    <t>PALEOGENE DISTRIBUTION OF ENNEADOCYSTA (DINOFLAGELLATA) IN THE SOUTHWESTERN ATLANTIC OCEAN: PALEOCEANOGRAPHIC IMPLICATIONS.</t>
  </si>
  <si>
    <t>AMEGHINIANA</t>
  </si>
  <si>
    <t>Dinoflagellate cysts; Circum-Antarctic endemic flora; Eocene; Southwest Atlantic Ocean; Oceanic paleocirculation</t>
  </si>
  <si>
    <t>SPORE POLLEN BIOSTRATIGRAPHY; COLORADO BASIN; SEA-LEVEL; ANTARCTICA; MIDDLE; MARGIN; CYSTS; CIRCULATION; GREENHOUSE; RECORD</t>
  </si>
  <si>
    <t>PALEOGENE DISTRIBUTION OF ENNEADOCYSTA (DINOFLAGELLATA) IN THE SOUTHWESTERN ATLANTIC OCEAN: PALEOCEANOGRAPHIC IMPLICATIONS. The study of Middle to Late Eocene dinoflagellate cyst assemblages from subtropical Southwest Atlantic basins shows the presence of species of Enneadocysta, including E. dictyostila (Menendez) Stover and Williams emend. Fensome et al., E. brevistila Fensome et al. and E. multicornuta (Eaton) Stover and Williams. The species Enneadocysta dictyostila has been widely recorded in middle Paleogene sections from Southern Hemisphere high latitudes. High representativity of Enneadocysta spp., along with other components of the Southern Ocean endemic dinoflagellate flora, have been observed in samples from Colorado Basin (similar to 38 degrees S), Argentina and Punta del Este Basin (similar to 36 degrees S), Uruguay. Previous research in the Tasman area has related the presence of these endemic taxa at mid-latitudes to the formation of a strong clockwise subpolar gyre (cold trap) favoured by the continental blockage of the Tasman Gateway. In this paper we propose that the observed dinoflagellate cyst distribution in the Southwest Atlantic basins can be explained by a similar dynamical mechanism operating close to the present Weddell Gyre. The blockage of the Tasman Gateway and a partially open Drake Passage both contributed to the formation of a strong western-intensified clockwise gyre that may have transported the endemic flora components, mainly represented by Enneadocysta spp., from the Antarctic continent northward along the Southwest Atlantic Shelf during the Middle - Late Eocene.</t>
  </si>
  <si>
    <t>[Raquel Guerstein, G.] Univ Nacl Sur, Dept Geol, Consejo Nacl Invest Cient &amp; Tecn, Inst Geol Sur, RA-8000 Bahia Blanca, Buenos Aires, Argentina; [Daners, Gloria] Fac Ciencias, Dept Evoluc Cuencas, Montevideo 11400, Uruguay</t>
  </si>
  <si>
    <t>Consejo Nacional de Investigaciones Cientificas y Tecnicas (CONICET); National University of the South; Universidad de la Republica, Uruguay</t>
  </si>
  <si>
    <t>Guerstein, GR (corresponding author), Univ Nacl Sur, Dept Geol, Consejo Nacl Invest Cient &amp; Tecn, Inst Geol Sur, San Juan 670, RA-8000 Bahia Blanca, Buenos Aires, Argentina.</t>
  </si>
  <si>
    <t>raquel.guerstein@uns.edu.ar; glo@fcien.edu.uy</t>
  </si>
  <si>
    <t>ASOCIACION PALEONTOLOGICA ARGENTINA</t>
  </si>
  <si>
    <t>BUENOS AIRES</t>
  </si>
  <si>
    <t>MAIPU 645, 1ER PISO, 1006 BUENOS AIRES, ARGENTINA</t>
  </si>
  <si>
    <t>0002-7014</t>
  </si>
  <si>
    <t>1851-8044</t>
  </si>
  <si>
    <t>Ameghiniana</t>
  </si>
  <si>
    <t>DEC 30</t>
  </si>
  <si>
    <t>10.5710/AMGH.v47i4.5</t>
  </si>
  <si>
    <t>767VT</t>
  </si>
  <si>
    <t>WOS:000290887400004</t>
  </si>
  <si>
    <t>Duhamel, G; Hautecoeur, M; Dettai, A; Causse, R; Pruvost, P; Busson, F; Couloux, A; Koubbi, P; Williams, R; Ozouf-Costaz, C; Nowara, G</t>
  </si>
  <si>
    <t>Duhamel, Guy; Hautecoeur, Melyne; Dettai, Agnes; Causse, Romain; Pruvost, Patrice; Busson, Frederic; Couloux, Arnaud; Koubbi, Philippe; Williams, Richard; Ozouf-Costaz, Catherine; Nowara, Gabrielle</t>
  </si>
  <si>
    <t>Liparids from the Eastern sector of Southern Ocean and first information from molecular studies</t>
  </si>
  <si>
    <t>CYBIUM</t>
  </si>
  <si>
    <t>Liparidae; Southern Ocean; Barcoding; Distribution</t>
  </si>
  <si>
    <t>WEDDELL SEA; PARALIPARIS; DNA; SCORPAENIFORMES; CAREPROCTUS; FISH</t>
  </si>
  <si>
    <t>Two cruises in the eastern sector of the Southern Ocean (POKER 2006 off the Kerguelen Islands and CEAMARC 2008 off Terre Adelie and George V Land), with extensive surveys, provided an interesting and abundant liparid fish collection (two genera, 13 species, 90 specimens). The fish were studied with modern approaches in systematic studies, both from morphoanatomy and molecular sequences (COI Barcode). In addition to providing useful descriptions of species often known from few specimens, the geographical distribution and potential bathymetric and local habitats are more precisely described. From molecular results, including for the first time the sequences from specimens of other areas, the tree hints at the non-monophyly of two genera (Liparis and Careproctus) and most clades include species from Northern and Southern Hemispheres. The reference dataset will be useful for further studies on this important family from polar seas.</t>
  </si>
  <si>
    <t>[Duhamel, Guy; Hautecoeur, Melyne; Causse, Romain; Pruvost, Patrice; Busson, Frederic] Museum Natl Hist Nat, Dept Milieux &amp; Peuplements Aquat, UMR 7208, F-75231 Paris 05, France; [Dettai, Agnes; Ozouf-Costaz, Catherine] Museum Natl Hist Nat, Dept Systemat &amp; Evolut, UMR 7138, F-75231 Paris 05, France; [Couloux, Arnaud] Genoscope, Ctr Natl Sequencage, Evry, France; [Koubbi, Philippe] Univ Paris 06, UMR 7093, Oceanog Lab, Villefranche Sur Mer, France; [Williams, Richard; Nowara, Gabrielle] Australian Antarctic Div, Kingston, Tas, Australia</t>
  </si>
  <si>
    <t>Centre National de la Recherche Scientifique (CNRS); Institut de Recherche pour le Developpement (IRD); Museum National d'Histoire Naturelle (MNHN); Sorbonne Universite; CNRS - Institute of Ecology &amp; Environment (INEE); Sorbonne Universite; Museum National d'Histoire Naturelle (MNHN); Centre National de la Recherche Scientifique (CNRS); CNRS - National Institute for Biology (INSB); CEA; Universite Paris Saclay; Sorbonne Universite; Centre National de la Recherche Scientifique (CNRS); CNRS - National Institute for Earth Sciences &amp; Astronomy (INSU); Australian Antarctic Division</t>
  </si>
  <si>
    <t>Duhamel, G (corresponding author), Museum Natl Hist Nat, Dept Milieux &amp; Peuplements Aquat, UMR 7208, CP 26,43 Rue Cuvier, F-75231 Paris 05, France.</t>
  </si>
  <si>
    <t>duhamel@mnhn.fr; adettai@mnhn.fr; causse@mnhn.fr; pruvost@mnhn.fr; busson@mnhn.fr; acouloux@/genoscope/.cns.fr; koubbi@univ-littoral.fr; dick.williams@aad.gov.au; ozouf@mnhn.fr; Gabrielle.nowara@aad.gov.au</t>
  </si>
  <si>
    <t>Koubbi, Philippe/D-5873-2015; Dettai, Agnes/Q-6743-2019; Williams, Richard/AAL-4177-2020; Pruvost, Patrice/E-5690-2011</t>
  </si>
  <si>
    <t>Williams, Richard/0000-0002-0920-1103;</t>
  </si>
  <si>
    <t>ANR [07-BLAN-0213-01]; Australian Antarctic Division; Japanese Science Foundation; French Polar Institute IPEV; CNRS; MNHN; 'Consortium national de Recherche en Genomique'; Museum national d'Histoire naturelle [IFR 101]</t>
  </si>
  <si>
    <t>ANR(Agence Nationale de la Recherche (ANR)); Australian Antarctic Division; Japanese Science Foundation; French Polar Institute IPEV; CNRS(Centre National de la Recherche Scientifique (CNRS)); MNHN; 'Consortium national de Recherche en Genomique'(General Electric); Museum national d'Histoire naturelle</t>
  </si>
  <si>
    <t>We thank the crews of the ships and participants to the cruises involved in the catches of fish samples. The Austral cruise POKER 2006 was supported by a specific ANR grant and the contributions of French ship owners involved in the Kerguelen Islands fisheries with the logistic help of TAAF. The cruises of Aurora Australis and Umitaka Maru (International Polar Year IPY Project no 53) were supported by the Australian Antarctic Division, the Japanese Science Foundation, the French Polar Institute IPEV, the CNRS, the MNHN and the ANR (White Project ANTFLOCKs USAR no 07-BLAN-0213-01 directed by G. Lecointre). We thank the chief scientists of the CAML-CEAMARC cruises: G. Hosie, T. Ishimaru, M. Riddle, and M. Stoddart. The molecular work was supported by the 'Consortium national de Recherche en Genomique', and the 'Service de Systernatique moleculaire' of the Museum national d'Histoire naturelle (IFR 101). It is part of the agreement number 2005/67 between the Genoscope and the Museum national d'Histoire naturelle on the project 'Macrophylogeny of life' directed by G. Lecointre. The CAML and CNFRA allowed the first author to present part of these results at the CAML closing meeting in Genoa and at the 10th SCAR International Biology Meeting. G. Lancelot is thanked for his help for language corrections and many constructive comments. A. Froger is thanked for her help with the sequences. This project is a contribution to the EBA-SCAR program.</t>
  </si>
  <si>
    <t>SOC FRANCAISE D ICHTYOLOGIE</t>
  </si>
  <si>
    <t>PARIS</t>
  </si>
  <si>
    <t>MUSEUM NATL D HISTOIRE NATURELLE, 43 RUE CUVIER, 75231 PARIS, FRANCE</t>
  </si>
  <si>
    <t>0399-0974</t>
  </si>
  <si>
    <t>2101-0315</t>
  </si>
  <si>
    <t>Cybium</t>
  </si>
  <si>
    <t>737SE</t>
  </si>
  <si>
    <t>WOS:000288587700001</t>
  </si>
  <si>
    <t>Li, FY; Ramaswamy, V; Ginoux, P; Broccoli, AJ; Delworth, T; Zeng, FR</t>
  </si>
  <si>
    <t>Li, Fuyu; Ramaswamy, V.; Ginoux, Paul; Broccoli, Anthony J.; Delworth, Thomas; Zeng, Fanrong</t>
  </si>
  <si>
    <t>Toward understanding the dust deposition in Antarctica during the Last Glacial Maximum: Sensitivity studies on plausible causes</t>
  </si>
  <si>
    <t>ICE-CORE DUST; EAST ANTARCTICA; DOME-C; CLIMATE-CHANGE; MODEL; SIMULATION; VOSTOK; RECORD; CO2; VARIABILITY</t>
  </si>
  <si>
    <t>Understanding the plausible causes for the observed high dust concentrations in Antarctic ice cores during the Last Glacial Maximum (LGM) is crucial for interpreting the Antarctic dust records in the past climates and could provide insights into dust variability in future climates. Using the Geophysical Fluid Dynamics Laboratory (GFDL) General Circulation Models, we conduct an investigation into the various factors modulating dust emission, transport, and deposition, with a view toward an improved quantification of the LGM dust enhancements in the Antarctic ice cores. The model simulations show that the expansion of source areas and changes in the Antarctic ice accumulation rates together can account for most of the observed increase of dust concentrations in the Vostok, Dome C, and Taylor Dome cores, but there is an overestimate of the LGM/present ratio in the case of the Byrd core. The source expansion due to the lowering of sea level yields a factor of 2-3 higher contribution than that due to the reduction of continental vegetation. The changes in other climate parameters (e.g., SH precipitation change) are estimated to be relatively less important within the context of this sensitivity study, while the model-simulated LGM surface winds yield a 20%-30% reduction rather than an increase in dust deposition in Antarctica. This research yields insights toward a fundamental understanding of the causes for the significant enhancement of the dust deposition in the Antarctic ice cores during the LGM.</t>
  </si>
  <si>
    <t>[Li, Fuyu] Princeton Univ, Program Atmospher &amp; Ocean Sci, Princeton, NJ 08544 USA; [Ramaswamy, V.; Ginoux, Paul; Delworth, Thomas] NOAA, Geophys Fluid Dynam Lab, Princeton, NJ 08452 USA; [Broccoli, Anthony J.] Rutgers State Univ, Ctr Environm Predict, New Brunswick, NJ 08901 USA; [Broccoli, Anthony J.] Rutgers State Univ, Dept Environm Sci, New Brunswick, NJ 08901 USA</t>
  </si>
  <si>
    <t>National Oceanic Atmospheric Admin (NOAA) - USA; Princeton University; National Oceanic Atmospheric Admin (NOAA) - USA; Rutgers University System; Rutgers University New Brunswick; Rutgers University System; Rutgers University New Brunswick</t>
  </si>
  <si>
    <t>Li, FY (corresponding author), Univ Calif Berkeley, Lawrence Berkeley Lab, 1 Cyclotron Rd,Mail Stop 90R1116, Berkeley, CA 94720 USA.</t>
  </si>
  <si>
    <t>fli@lbl.gov</t>
  </si>
  <si>
    <t>Ginoux, Paul/C-2326-2008; Li, Fuyu/B-9055-2013; Broccoli, Anthony J/D-9186-2014; Ramaswamy, Venkatachalam/AAJ-6265-2021; Delworth, Thomas/C-5191-2014</t>
  </si>
  <si>
    <t>Broccoli, Anthony J/0000-0003-2619-1434; Ramaswamy, Venkatachalam/0000-0002-1984-6423; Ginoux, Paul/0000-0003-3642-2988; Delworth, Thomas/0000-0003-4865-5391</t>
  </si>
  <si>
    <t>NASA Headquarters [NESSF07]</t>
  </si>
  <si>
    <t>NASA Headquarters(National Aeronautics &amp; Space Administration (NASA))</t>
  </si>
  <si>
    <t>This work was supported by NASA Headquarters under the Earth and Space Science Fellowship Program (NESSF07).</t>
  </si>
  <si>
    <t>D24120</t>
  </si>
  <si>
    <t>10.1029/2010JD014791</t>
  </si>
  <si>
    <t>701QO</t>
  </si>
  <si>
    <t>WOS:000285837500004</t>
  </si>
  <si>
    <t>Contreras-Reyes, E; Flueh, ER; Grevemeyer, I</t>
  </si>
  <si>
    <t>Contreras-Reyes, Eduardo; Flueh, Ernst R.; Grevemeyer, Ingo</t>
  </si>
  <si>
    <t>Tectonic control on sediment accretion and subduction off south central Chile: Implications for coseismic rupture processes of the 1960 and 2010 megathrust earthquakes</t>
  </si>
  <si>
    <t>TECTONICS</t>
  </si>
  <si>
    <t>SPREADING-RIDGE SUBDUCTION; JUAN FERNANDEZ RIDGE; CONVERGENT MARGIN; TRIPLE JUNCTION; CONTINENTAL-MARGIN; CRUSTAL STRUCTURE; TRENCH SEDIMENTS; ANDEAN MARGIN; NAZCA PLATE; EROSION</t>
  </si>
  <si>
    <t>Based on a compilation of published and new seismic refraction and multichannel seismic reflection data along the south central Chile margin (33 degrees-46 degrees S), we study the processes of sediment accretion and subduction and their implications on megathrust seismicity. In terms of the frontal accretionary prism (FAP) size, the marine south central Chile fore arc can be divided in two main segments: (1) the Maule segment (south of the Juan Fernandez Ridge and north of the Mocha block) characterized by a relative large FAP (20-40 km wide) and (2) the Chiloe segment (south of the Mocha block and north of the Nazca-Antarctic-South America plates junction) characterized by a small FAP (&lt;= 10 km wide). In addition, the Maule and Chiloe segments correlate with a thin (&lt;1 km thick) and thick (similar to 1.5 km thick) subduction channel, respectively. The Mocha block lies between similar to 37.5 and 40 degrees S and is configured by the Chile trench, Mocha and Valdivia fracture zones. This region separates young (0-25 Ma) oceanic lithosphere in the south from old (30-35 Ma) oceanic lithosphere in the north, and it represents a fundamental tectonic boundary separating two different styles of sediment accretion and subduction, respectively. A process responsible for this segmentation could be related to differences in initial angles of subduction which in turn depend on the amplitude of the down-deflected oceanic lithosphere under trench sediment loading. On the other hand, a small FAP along the Chiloe segment is coincident with the rupture area of the trans-Pacific tsunamigenic 1960 earthquake (M-w = 9.5), while a relatively large FAP along the Maule segment is coincident with the rupture area of the 2010 earthquake (M-w = 8.8). Differences in earthquake and tsunami magnitudes between these events can be explained in terms of the FAP size along the Chiloe and Maule segments that control the location of the updip limit of the seismogenic zone. The rupture area of the 1960 event also correlates with a thick subduction channel (Chiloe segment) that may provide enough smoothness at the subduction interface allowing long lateral earthquake rupture propagation. Citation: Contreras-Reyes, E., E. R. Flueh, and I. Grevemeyer (2010), Tectonic control on sediment accretion and subduction off south central Chile: Implications for coseismic rupture processes of the 1960 and 2010 megathrust earthquakes, Tectonics, 29, TC6018, doi:10.1029/2010TC002734.</t>
  </si>
  <si>
    <t>[Contreras-Reyes, Eduardo] Univ Chile, Fac Ciencias Fis &amp; Matemat, Dept Geofis, Santiago 8370448, Chile; [Flueh, Ernst R.; Grevemeyer, Ingo] Univ Kiel, Leibniz Inst Meereswissenchaften, IFM GEOMAR, D-24148 Kiel, Germany</t>
  </si>
  <si>
    <t>Universidad de Chile; University of Kiel; Helmholtz Association; GEOMAR Helmholtz Center for Ocean Research Kiel</t>
  </si>
  <si>
    <t>Contreras-Reyes, E (corresponding author), Univ Chile, Fac Ciencias Fis &amp; Matemat, Dept Geofis, Santiago 8370448, Chile.</t>
  </si>
  <si>
    <t>econtreras@dgf.uchile.cl</t>
  </si>
  <si>
    <t>Grevemeyer, Ingo/E-5162-2016; Contreras-Reyes, Eduardo/H-3867-2013</t>
  </si>
  <si>
    <t>Grevemeyer, Ingo/0000-0002-6807-604X; Contreras-Reyes, Eduardo/0000-0002-6506-9258</t>
  </si>
  <si>
    <t>Chilean National Science Foundation (FONDECYT) [11090009]; German government (BMBF) [03G0181A]</t>
  </si>
  <si>
    <t>Chilean National Science Foundation (FONDECYT)(Comision Nacional de Investigacion Cientifica y Tecnologica (CONICYT)CONICYT FONDECYT); German government (BMBF)(Federal Ministry of Education &amp; Research (BMBF))</t>
  </si>
  <si>
    <t>Eduardo Contreras-Reyes acknowledges the support of the Chilean National Science Foundation (FONDECYT) project 11090009. Seismic refraction and wide-angle data used in the study were acquired during the cruise SO181 of the German R/V SONNE. Sea-going effort were sponsored by the German government (BMBF grant 03G0181A). We thank Daniel Melnick, Dave Scholl, the Associate Editor, and editor Todd Ehlers for careful reviews of the manuscript. We thank Dave Rahn for comments on the English. Fruitful discussions with Nathan Bangs, Roland von Huene, and Daniel Carrizo are greatly appreciated.</t>
  </si>
  <si>
    <t>1944-9194</t>
  </si>
  <si>
    <t>Tectonics</t>
  </si>
  <si>
    <t>DEC 29</t>
  </si>
  <si>
    <t>TC6018</t>
  </si>
  <si>
    <t>10.1029/2010TC002734</t>
  </si>
  <si>
    <t>701QG</t>
  </si>
  <si>
    <t>WOS:000285836600002</t>
  </si>
  <si>
    <t>Scott, F; Feltham, DL</t>
  </si>
  <si>
    <t>Scott, F.; Feltham, D. L.</t>
  </si>
  <si>
    <t>A model of the three-dimensional evolution of Arctic melt ponds on first-year and multiyear sea ice</t>
  </si>
  <si>
    <t>SUMMER; VARIABILITY; ALBEDO; SHEBA</t>
  </si>
  <si>
    <t>During winter the ocean surface in polar regions freezes over to form sea ice. In the summer the upper layers of sea ice and snow melts producing meltwater that accumulates in Arctic melt ponds on the surface of sea ice. An accurate estimate of the fraction of the sea ice surface covered in melt ponds is essential for a realistic estimate of the albedo for global climate models. We present a melt-pond-sea-ice model that simulates the three-dimensional evolution of melt ponds on an Arctic sea ice surface. The advancements of this model compared to previous models are the inclusion of snow topography; meltwater transport rates are calculated from hydraulic gradients and ice permeability; and the incorporation of a detailed one-dimensional, thermodynamic radiative balance. Results of model runs simulating first-year and multiyear sea ice are presented. Model results show good agreement with observations, with duration of pond coverage, pond area, and ice ablation comparing well for both the first-year ice and multiyear ice cases. We investigate the sensitivity of the melt pond cover to changes in ice topography, snow topography, and vertical ice permeability. Snow was found to have an important impact mainly at the start of the melt season, whereas initial ice topography strongly controlled pond size and pond fraction throughout the melt season. A reduction in ice permeability allowed surface flooding of relatively flat, first-year ice but had little impact on the pond coverage of rougher, multiyear ice. We discuss our results, including model shortcomings and areas of experimental uncertainty.</t>
  </si>
  <si>
    <t>[Scott, F.; Feltham, D. L.] UCL, Ctr Polar Observat &amp; Modelling, Dept Earth Sci, London WC1E 6BT, England; [Feltham, D. L.] British Antarctic Survey, Cambridge CB3 0ET, England</t>
  </si>
  <si>
    <t>Scott, F (corresponding author), UCL, Ctr Polar Observat &amp; Modelling, Dept Earth Sci, Gower St, London WC1E 6BT, England.</t>
  </si>
  <si>
    <t>fs@cpom.ucl.ac.uk; dlf@cpom.ucl.ac.uk</t>
  </si>
  <si>
    <t>Leverhulme Trust; NERC [bas0100028, cpom20001] Funding Source: UKRI; Natural Environment Research Council [bas0100028, cpom20001, earth010006] Funding Source: researchfish</t>
  </si>
  <si>
    <t>Leverhulme Trust(Leverhulme Trust); NERC(UK Research &amp; Innovation (UKRI)Natural Environment Research Council (NERC)); Natural Environment Research Council(UK Research &amp; Innovation (UKRI)Natural Environment Research Council (NERC))</t>
  </si>
  <si>
    <t>D.L.F. acknowledges financial support made available through the award of a research prize by the Leverhulme Trust.</t>
  </si>
  <si>
    <t>DEC 28</t>
  </si>
  <si>
    <t>C12064</t>
  </si>
  <si>
    <t>10.1029/2010JC006156</t>
  </si>
  <si>
    <t>701PS</t>
  </si>
  <si>
    <t>WOS:000285834800001</t>
  </si>
  <si>
    <t>Ramesh, R; Tiwari, M; Chakraborty, S; Managave, SR; Yadava, MG; Sinha, DK</t>
  </si>
  <si>
    <t>Ramesh, R.; Tiwari, M.; Chakraborty, S.; Managave, S. R.; Yadava, M. G.; Sinha, D. K.</t>
  </si>
  <si>
    <t>Retrieval of south Asian monsoon variation during the Holocene from natural climate archives</t>
  </si>
  <si>
    <t>CURRENT SCIENCE</t>
  </si>
  <si>
    <t>Corals; Holocene; Indian Ocean; monsoon; oxygen isotopes; speleothems; stable isotopes; tree rings</t>
  </si>
  <si>
    <t>SEA-SURFACE TEMPERATURE; INDIAN-SUMMER MONSOON; RING-WIDTH CHRONOLOGY; OXYGEN MINIMUM ZONE; ARABIAN SEA; ICE CORE; ISOTOPE VARIATIONS; MODEL SIMULATIONS; WESTERN HIMALAYA; HIMACHAL-PRADESH</t>
  </si>
  <si>
    <t>We review the available reconstructions of the Indian summer and winter monsoons using well-dated natural climatic archives such as tree-rings, corals, ice-cores, speleothems and ocean sediments. Oxygen isotopic analyses of cellulose from annual growth rings of teak trees on an intra-annual scale hold high promise for reconstructing rainfall during both monsoons. Oxygen isotopic variations in corals and ice-cores seem to respond to atmospheric and ocean processes and may not yield direct reconstructions of monsoonal precipitation. Oxygen isotopic variations in speleothem and multiple proxies from ocean sediments consistently show that monsoon precipitation increased during the Holocene. The connection between insolation changes and monsoon needs to be carefully reassessed.</t>
  </si>
  <si>
    <t>[Ramesh, R.; Managave, S. R.; Yadava, M. G.] Phys Res Lab, Geosci Div, Ahmadabad 380009, Gujarat, India; [Tiwari, M.] Natl Ctr Antarctic &amp; Ocean Res, Vasco Da Gama 403804, Goa, India; [Chakraborty, S.] Indian Inst Trop Meteorol, Pune 410007, Maharashtra, India; [Sinha, D. K.] Univ Delhi, Dept Geol, Ctr Adv Studies, Delhi 110007, India</t>
  </si>
  <si>
    <t>Department of Space (DoS), Government of India; Physical Research Laboratory - India; Ministry of Earth Sciences (MoES) - India; National Centre for Polar and Ocean Research (NCPOR); Ministry of Earth Sciences (MoES) - India; Indian Institute of Tropical Meteorology (IITM); University of Delhi</t>
  </si>
  <si>
    <t>Ramesh, R (corresponding author), Phys Res Lab, Geosci Div, Ahmadabad 380009, Gujarat, India.</t>
  </si>
  <si>
    <t>rramesh@prl.res.in</t>
  </si>
  <si>
    <t>Chakraborty, Supriyo/A-6716-2011</t>
  </si>
  <si>
    <t>Chakraborty, Supriyo/0000-0003-3171-7808; Tiwari, Manish/0000-0003-3143-1658</t>
  </si>
  <si>
    <t>INDIAN ACAD SCIENCES</t>
  </si>
  <si>
    <t>BANGALORE</t>
  </si>
  <si>
    <t>C V RAMAN AVENUE, SADASHIVANAGAR, P B #8005, BANGALORE 560 080, INDIA</t>
  </si>
  <si>
    <t>0011-3891</t>
  </si>
  <si>
    <t>CURR SCI INDIA</t>
  </si>
  <si>
    <t>Curr. Sci.</t>
  </si>
  <si>
    <t>DEC 25</t>
  </si>
  <si>
    <t>704CH</t>
  </si>
  <si>
    <t>WOS:000286028200024</t>
  </si>
  <si>
    <t>Dubbini, M; Cianfarra, P; Casula, G; Capra, A; Salvini, F</t>
  </si>
  <si>
    <t>Dubbini, M.; Cianfarra, P.; Casula, G.; Capra, A.; Salvini, F.</t>
  </si>
  <si>
    <t>Active tectonics in northern Victoria Land (Antarctica) inferred from the integration of GPS data and geologic setting</t>
  </si>
  <si>
    <t>JOURNAL OF GEOPHYSICAL RESEARCH-SOLID EARTH</t>
  </si>
  <si>
    <t>COORDINATE TIME-SERIES; TRANSANTARCTIC MOUNTAINS; PLATE VELOCITIES; WEST ANTARCTICA; DEFORMATION; MOTION; CONSTRAINTS; TERMINATION; KINEMATICS; EVOLUTION</t>
  </si>
  <si>
    <t>A semipermanent Global Positioning System (GPS) network of 30 vertices known as the Victoria Land Network for Deformation Control (VLNDEF) was set up in the Austral summer of 1998 in northern Victoria Land (NVL), including Terra Nova Bay (TNB), Antarctica. The locations were selected according to the known Cenozoic fault framework, which is characterized by a system of NW-SE regional faults with right-lateral, strike-slip kinematics. The TNB1 permanent GPS station is within the VLNDEF, and following its installation on a bedrock monument in October 1998, it has been recording almost continuously. The GPS network has been surveyed routinely every two summers, using high-quality, dual-frequency GPS receivers. In this study we present the results of a distributed session approach applied to the processing of the GPS data of the VLNDEF. An improved reference frame definition was implemented, including a new Euler pole, to compute the Antarctic intraplate residual velocities. The projection of the residual velocities on the main faults in NVL show present-day activities for some faults, including the Tucker, Leap Year, Lanterman, Aviator, and David faults, with right-lateral strike-slip kinematics and local extensional and compressional components. This active fault pattern divides NVL into eight rigid blocks, each characterized by its relative movements and rigid rotations. These show velocities of up to several millimeters per year, which are comparable to those predicted by plate tectonic theory at active plate margins.</t>
  </si>
  <si>
    <t>[Dubbini, M.] Univ Bologna, Dipartimento Discipline Stor Antropol &amp; Geog, I-40124 Bologna, Italy; [Cianfarra, P.; Salvini, F.] Univ Roma Tre, Dipartimento Sci Geol, I-00146 Rome, Italy; [Casula, G.] Ist Nazl Geofis &amp; Vulcanol, Sez Bologna, I-40128 Bologna, Italy; [Capra, A.] Univ Modena &amp; Reggio Emilia, Dipartimento Ingn Meccan &amp; Civile, I-41100 Modena, Italy</t>
  </si>
  <si>
    <t>University of Bologna; Roma Tre University; Istituto Nazionale Geofisica e Vulcanologia (INGV); Universita di Modena e Reggio Emilia</t>
  </si>
  <si>
    <t>Dubbini, M (corresponding author), Univ Bologna, Dipartimento Discipline Stor Antropol &amp; Geog, Piazza San Giovanni Monte 2, I-40124 Bologna, Italy.</t>
  </si>
  <si>
    <t>cianfarr@uniroma3.it</t>
  </si>
  <si>
    <t>CIANFARRA, Paola/AAQ-5641-2020; CIANFARRA, Paola/JCE-5168-2023; Dubbini, Marco/J-1765-2016; Casula, Giuseppe/AEM-2108-2022; Capra, Alessandro/L-9743-2015</t>
  </si>
  <si>
    <t>Dubbini, Marco/0000-0001-6158-2727; Casula, Giuseppe/0000-0001-7934-2019; CIANFARRA, Paola/0000-0001-9396-4519; Capra, Alessandro/0000-0001-6660-3291</t>
  </si>
  <si>
    <t>PNRA S.C.r.l.</t>
  </si>
  <si>
    <t>All research was carried out in the framework of the Programma Nazionale di Ricerche in Antartide (PNRA) and financially supported by PNRA S.C.r.l. The authors wish to acknowledge the two anonymous reviewers, whose suggestions greatly improved the quality of the paper.</t>
  </si>
  <si>
    <t>2169-9313</t>
  </si>
  <si>
    <t>2169-9356</t>
  </si>
  <si>
    <t>J GEOPHYS RES-SOL EA</t>
  </si>
  <si>
    <t>J. Geophys. Res.-Solid Earth</t>
  </si>
  <si>
    <t>DEC 24</t>
  </si>
  <si>
    <t>B12421</t>
  </si>
  <si>
    <t>10.1029/2009JB007123</t>
  </si>
  <si>
    <t>699BZ</t>
  </si>
  <si>
    <t>WOS:000285640200002</t>
  </si>
  <si>
    <t>Baines, SB; Twining, BS; Brzezinski, MA; Nelson, DM; Fisher, NS</t>
  </si>
  <si>
    <t>Baines, Stephen B.; Twining, Benjamin S.; Brzezinski, Mark A.; Nelson, David M.; Fisher, Nicholas S.</t>
  </si>
  <si>
    <t>Causes and biogeochemical implications of regional differences in silicification of marine diatoms</t>
  </si>
  <si>
    <t>EASTERN EQUATORIAL PACIFIC; BIOGENIC SILICA; FRAGILARIOPSIS-KERGUELENSIS; CHEMICAL-COMPOSITION; IRON FERTILIZATION; DISSOLUTION RATES; PLANKTON DIATOMS; UPTAKE KINETICS; GROWTH-RATES; EXPORT FLUX</t>
  </si>
  <si>
    <t>Diatoms facilitate the export of organic carbon and associated nutrient elements in the ocean because their dense opaline silica shells provide ballast to sinking particles. Marine ecosystem models generally assume that cellular silicification is either constant or varies solely due to physiological responses. Using a cell-specific technique, synchrotron-based X-ray fluorescence (SXRF) microscopy, we show that diatom cells in the cold, high-silicic-acid waters of the Antarctic Zone of the Southern Ocean (SOAZ) had 6 times more Si per volume than did those inhabiting the warm, low-silicic-acid waters of eastern equatorial Pacific (EEP). Ratios of Si: P and Si: S differed less than this because cellular P and S concentrations were higher in SOAZ cells. Resulting differences in excess density and frustule surface area-to-volume ratios should result in more efficient removal and slower dissolution of biogenic silica in the SOAZ compared to the EEP. Moreover, the difference between the excess densities of diatoms and nondiatoms was 15-fold greater in the SOAZ than in the EEP. Several possible causes of the regional differences in silicification are evaluated. Differences in cell volume between regions and additions of silicic acid and iron had minor effects on silicification. Instead, cellular silicification varied substantially among diatom morphological types within each region, suggesting that community composition largely determined the community silicification in these regions. We suggest that ecological processes may cause much larger systematic regional and temporal differences in cellular stoichiometry than is currently accommodated by ecosystem models.</t>
  </si>
  <si>
    <t>[Baines, Stephen B.] SUNY Stony Brook, Dept Ecol &amp; Evolut, Stony Brook, NY 11794 USA; [Brzezinski, Mark A.] Univ Calif Santa Barbara, Inst Marine Sci, Santa Barbara, CA 93106 USA; [Brzezinski, Mark A.] Univ Calif Santa Barbara, Dept Ecol Evolut &amp; Marine Biol, Santa Barbara, CA 93106 USA; [Fisher, Nicholas S.] SUNY Stony Brook, Sch Marine &amp; Atmospher Sci, Stony Brook, NY 11794 USA; [Nelson, David M.] Technopole Brest Iroise, Inst Univ Europeen Mer, F-29280 Plouzane, France; [Twining, Benjamin S.] Bigelow Lab Ocean Sci, W Boothbay Harbor, ME 04575 USA</t>
  </si>
  <si>
    <t>State University of New York (SUNY) System; State University of New York (SUNY) Stony Brook; University of California System; University of California Santa Barbara; University of California System; University of California Santa Barbara; State University of New York (SUNY) System; State University of New York (SUNY) Stony Brook; Universite de Bretagne Occidentale; Institut Universitaire Europeen de la Mer (IUEM); Bigelow Laboratory for Ocean Sciences</t>
  </si>
  <si>
    <t>Baines, SB (corresponding author), SUNY Stony Brook, Dept Ecol &amp; Evolut, Stony Brook, NY 11794 USA.</t>
  </si>
  <si>
    <t>sbaines@ms.cc.sunysb.edu; btwining@bigelow.org; brzezins@lifesci.ucsb.edu; david.nelson@univ-brest.fr; nfisher@notes.cc.sunysb.edu</t>
  </si>
  <si>
    <t>Baines, Stephen/0000-0002-9114-8769; Twining, Benjamin/0000-0002-1365-9192</t>
  </si>
  <si>
    <t>NSF [OCE 0527059, OCE 0527062]; U.S. Department of Energy, Office of Science, Office of Basic Energy Sciences [DE-AC02-06CH11357]</t>
  </si>
  <si>
    <t>NSF(National Science Foundation (NSF)); U.S. Department of Energy, Office of Science, Office of Basic Energy Sciences(United States Department of Energy (DOE))</t>
  </si>
  <si>
    <t>This work was funded by NSF grants to S. B. B., B. S. T., D.M.N., and N.S.F. (OCE 0527059, OCE 0527062). Use of the Advanced Photon Source was supported by the U.S. Department of Energy, Office of Science, Office of Basic Energy Sciences, under contract DE-AC02-06CH11357. Adrian Marchetti aided with identification of diatom species.</t>
  </si>
  <si>
    <t>GB4031</t>
  </si>
  <si>
    <t>10.1029/2010GB003856</t>
  </si>
  <si>
    <t>699AU</t>
  </si>
  <si>
    <t>WOS:000285637100001</t>
  </si>
  <si>
    <t>Risi, C; Bony, S; Vimeux, F; Frankenberg, C; Noone, D; Worden, J</t>
  </si>
  <si>
    <t>Risi, Camille; Bony, Sandrine; Vimeux, Francoise; Frankenberg, Christian; Noone, David; Worden, John</t>
  </si>
  <si>
    <t>Understanding the Sahelian water budget through the isotopic composition of water vapor and precipitation</t>
  </si>
  <si>
    <t>GENERAL-CIRCULATION MODEL; PART I; ANTARCTIC PRECIPITATION; INTERANNUAL VARIABILITY; GLOBAL PRECIPITATION; SUBTROPICAL HUMIDITY; CLIMATE VARIABILITY; STABLE-ISOTOPES; SUMMER MONSOON; WEST-AFRICA</t>
  </si>
  <si>
    <t>The goal of this paper is to investigate the added value of water isotopic measurements to estimate the relative influence of large-scale dynamics, convection, and land surface recycling on the Sahelian water budget. To this aim, we use isotope data in the lower tropospheric water vapor measured by the SCIAMACHY and TES satellite instruments and in situ precipitation data from the Global Network for Isotopes in Precipitation and collected during the African Monsoon Multidisciplinary Analysis field campaign, together with water-tagging experiments with the Laboratoire de Meteorologie Dynamique general circulation model (LMDZ) fitted with isotopes. We show that some isotopic biases in LMDZ reveal the misrepresentation of dehydrating processes that would be undetected without isotopic measurements. In dry regions, the vapor isotopic composition is primarily controlled by the intensity of the air dehydration. In addition, it may also keep some memory of dehydration pathways that is erased in the humidity distribution, namely the relative contribution of dehydration in the tropical upper troposphere versus midlatitudes. In wet regions, vapor and rain isotope compositions are primarily controlled by changes in convection, through rain reevaporation and through the progressive depletion of the vapor by convective mixing along air mass trajectories. Gradients in vapor isotope composition along air mass trajectories may help estimate continental recycling intensity, provided that we could quantify the effect of convection on the isotopic composition of water vapor.</t>
  </si>
  <si>
    <t>[Risi, Camille; Noone, David] Univ Colorado, Cooperat Inst Res Environm Sci, Boulder, CO 80309 USA; [Risi, Camille; Bony, Sandrine] Meteorol Dynam Lab, F-75252 Paris 05, France; [Frankenberg, Christian; Worden, John] CALTECH, Jet Prop Lab, Pasadena, CA 91109 USA; [Vimeux, Francoise] UMR CEA CNRS UVSQ, Lab Sci Climat &amp; Environm, F-91191 Gif Sur Yvette, France; [Vimeux, Francoise] CNRS, IRD, UM1, UM2,Lab HydroSci Montpellier, Gif Sur Yvette, France</t>
  </si>
  <si>
    <t>University of Colorado System; University of Colorado Boulder; Sorbonne Universite; California Institute of Technology; National Aeronautics &amp; Space Administration (NASA); NASA Jet Propulsion Laboratory (JPL); Universite Paris Saclay; CEA; Centre National de la Recherche Scientifique (CNRS); Centre National de la Recherche Scientifique (CNRS); Universite de Montpellier; Universite Paris Saclay; Institut de Recherche pour le Developpement (IRD)</t>
  </si>
  <si>
    <t>Risi, C (corresponding author), Univ Colorado, Cooperat Inst Res Environm Sci, Bldg 318,216 UCB, Boulder, CO 80309 USA.</t>
  </si>
  <si>
    <t>camille.risi@lmd.jussieu.fr</t>
  </si>
  <si>
    <t>Worden, John R/AAY-1002-2021; Bony, Sandrine/AAG-5804-2019; Frankenberg, Christian/A-2944-2013</t>
  </si>
  <si>
    <t>Bony, Sandrine/0000-0002-4791-4438; Frankenberg, Christian/0000-0002-0546-5857; NOONE, DAVID/0000-0002-8642-7843</t>
  </si>
  <si>
    <t>European Community; IPSL project; AMMA API; LEFE/MISTERRE national programme</t>
  </si>
  <si>
    <t>We gratefully thank Luc Descroix, Boubacar Ibrahim, Eric Lebreton, and Ibrahim Mamadou for the rain sampling in the Niamey region; S. Falourd and B. Minster for helping with the isotopic measurements. Based on a French initiative, AMMA was built by an international scientific group and is currently funded by a large number of agencies, especially from France, the United Kingdom, the United States and Africa. It has been the beneficiary of a major financial contribution from the European Community's Sixth Framework Research Programme. Detailed information on scientific coordination and funding is available on the AMMA International web site http://www.amma-international.org. This work was funded by the IPSL project, AMMA API and LEFE/MISTERRE national programme. We thank three anonymous reviewers for their constructive comments.</t>
  </si>
  <si>
    <t>DEC 23</t>
  </si>
  <si>
    <t>D24110</t>
  </si>
  <si>
    <t>10.1029/2010JD014690</t>
  </si>
  <si>
    <t>699CT</t>
  </si>
  <si>
    <t>WOS:000285642200009</t>
  </si>
  <si>
    <t>Hansen, JO; Penn, M; Overland, M; Shearer, KD; Krogdahl, Å; Mydland, LT; Storebakken, T</t>
  </si>
  <si>
    <t>Hansen, Jon Ovrum; Penn, Michael; Overland, Margareth; Shearer, Karl D.; Krogdahl, Ashild; Mydland, Liv Torunn; Storebakken, Trond</t>
  </si>
  <si>
    <t>High inclusion of partially deshelled and whole krill meals in diets for Atlantic salmon (Salmo salar)</t>
  </si>
  <si>
    <t>AQUACULTURE</t>
  </si>
  <si>
    <t>Atlantic salmon; Krill; Digestibility; Fluoride</t>
  </si>
  <si>
    <t>TROUT ONCORHYNCHUS-MYKISS; EUPHAUSIA-SUPERBA MEAL; COD GADUS-MORHUA; RAINBOW-TROUT; ANTARCTIC KRILL; FISH-MEAL; NUTRIENT DIGESTIBILITIES; ELEMENT CONCENTRATIONS; GELATINIZED STARCH; FLUORIDE</t>
  </si>
  <si>
    <t>The aim of this study was to investigate how diets containing partially deshelled or whole krill meals affected growth, digestibility of main nutrients, faecal excretion of minerals, fluoride accumulation, and organ indices and health parameters in Atlantic salmon (Salmo salar). Three extruded diets were fed for 100 days to salmon with an average weight of 550 g. distributed into 9 tanks equipped with flow through sea water. The dietary treatments comprised a control diet based on high-quality fish meal (FM) and two experimental diets where the FM was substituted with either partially deshelled krill meal (PDKM) or whole krill meal (WKM). Shell removal reduced the chitin content from 28 to 8 g kg(-1) dry matter (DM), while fluoride was only reduced from 940 to 631 mg kg(-1) DM. Growth rate for fish fed WKM was significantly lower than for salmon fed control diet whereas the PDKM diet did not appear to alter growth during the first feeding period. Digestibility of lipid tended to be higher for PDKM and lower for WKM compared to the FM control. No significant difference was seen for digestibility of nitrogen, but fish fed the FM diet had higher digestibility of threonine, serine, glutamine, histidine and lysine compared to fish fed the WKM diet. No major differences in plasma were seen for triacylglycerols, free fatty acids, glucose, total protein, albumin, globulin, urea, and total bilirubin. Trypsin activities in the pyloric and mid intestine were lower in fish fed the WKM diet compared to FM. Bile acid concentration in the pyloric intestine were significantly lower in fish fed the WKM diet compared to FM and PDKM. Fish fed both diets containing krill meal had signs of mild to moderate nephrosis. To conclude, PDKM could successfully replace FM as a sole protein source for Atlantic salmon, whereas the WKM slightly reduced growth rate compared to the FM and the PDKM diet. (C) 2010 Elsevier B.V. All rights reserved.</t>
  </si>
  <si>
    <t>[Hansen, Jon Ovrum; Overland, Margareth; Shearer, Karl D.; Mydland, Liv Torunn; Storebakken, Trond] Norwegian Univ Life Sci, Aquaculture Prot Ctr, CoE, Dept Anim &amp; Aquaculture Sci, NO-1432 As, Norway; [Penn, Michael; Krogdahl, Ashild] Norwegian Sch Vet Sci, Aquaculture Prot CoE, Dept Basic Sci &amp; Aquat Med, NO-0033 Oslo, Norway</t>
  </si>
  <si>
    <t>Norwegian University of Life Sciences; Norwegian University of Life Sciences</t>
  </si>
  <si>
    <t>Storebakken, T (corresponding author), Norwegian Univ Life Sci, Aquaculture Prot Ctr, CoE, Dept Anim &amp; Aquaculture Sci, POB 5003, NO-1432 As, Norway.</t>
  </si>
  <si>
    <t>trond.storebakken@umb.no</t>
  </si>
  <si>
    <t>Øverland, Margareth/G-3451-2012; storebakken, trond/E-8050-2011; Mydland, Liv Torunn/AAO-2783-2020</t>
  </si>
  <si>
    <t>Krillsea Group AS, Alesund, Norway; Norwegian University of Life Sciences</t>
  </si>
  <si>
    <t>The research was supported by the Krillsea Group AS, Alesund, Norway. We are grateful to Dr. Johan Hogset Jansen for verification of the histology findings. Jon Ovrum Hansen was supported by a PhD grant from The Norwegian University of Life Sciences.</t>
  </si>
  <si>
    <t>0044-8486</t>
  </si>
  <si>
    <t>1873-5622</t>
  </si>
  <si>
    <t>Aquaculture</t>
  </si>
  <si>
    <t>DEC 22</t>
  </si>
  <si>
    <t>10.1016/j.aquaculture.2010.10.003</t>
  </si>
  <si>
    <t>705TQ</t>
  </si>
  <si>
    <t>WOS:000286161200024</t>
  </si>
  <si>
    <t>Glover, KA; Kanda, N; Haug, T; Pastene, LA; Oien, N; Goto, M; Seliussen, BB; Skaug, HJ</t>
  </si>
  <si>
    <t>Glover, Kevin A.; Kanda, Naohisa; Haug, Tore; Pastene, Luis A.; Oien, Nils; Goto, Mutsuo; Seliussen, Bjorghild B.; Skaug, Hans J.</t>
  </si>
  <si>
    <t>Migration of Antarctic Minke Whales to the Arctic</t>
  </si>
  <si>
    <t>ATLANTIC HUMPBACK WHALES; MULTILOCUS GENOTYPE DATA; BALAENOPTERA-ACUTOROSTRATA; POPULATION-STRUCTURE; NORTH-ATLANTIC; MEGAPTERA-NOVAEANGLIAE; MICROSATELLITE LOCI; BALEEN WHALES; FAROE-ISLANDS; INFERENCE</t>
  </si>
  <si>
    <t>The Antarctic minke whale (Balaenoptera bonaerensis), and the common minke whale found in the North Atlantic (Balaenoptera acutorostrata acutorostrata), undertake synchronized seasonal migrations to feeding areas at their respective poles during spring, and to the tropics in the autumn where they overwinter. Differences in the timing of seasons between hemispheres prevent these species from mixing. Here, based upon analysis of mitochondrial and microsatellite DNA profiles, we report the observation of a single B. bonaerensis in 1996, and a hybrid with maternal contribution from B. bonaerensis in 2007, in the Arctic Northeast Atlantic. Paternal contribution was not conclusively resolved. This is the first documentation of B. bonaerensis north of the tropics, and, the first documentation of hybridization between minke whale species.</t>
  </si>
  <si>
    <t>[Glover, Kevin A.; Oien, Nils; Seliussen, Bjorghild B.; Skaug, Hans J.] Inst Marine Res, N-5024 Bergen, Norway; [Kanda, Naohisa; Pastene, Luis A.; Goto, Mutsuo] Inst Cetacean Res, Tokyo, Japan; [Haug, Tore] Inst Marine Res, Tromso, Norway; [Skaug, Hans J.] Univ Bergen, Dept Math, N-5007 Bergen, Norway</t>
  </si>
  <si>
    <t>Institute of Marine Research - Norway; Institute of Marine Research - Norway; University of Bergen</t>
  </si>
  <si>
    <t>Glover, KA (corresponding author), Inst Marine Res, POB 1870, N-5024 Bergen, Norway.</t>
  </si>
  <si>
    <t>Kevin.glover@imr.no</t>
  </si>
  <si>
    <t>Breistein, Bjorghild/0000-0002-1805-7190</t>
  </si>
  <si>
    <t>Institute of Marine Research</t>
  </si>
  <si>
    <t>This research was funded by the Institute of Marine Research. The funders had no role in study design, data collection and analysis, decision to publish, or preparation of the manuscript.</t>
  </si>
  <si>
    <t>e15197</t>
  </si>
  <si>
    <t>10.1371/journal.pone.0015197</t>
  </si>
  <si>
    <t>698FG</t>
  </si>
  <si>
    <t>WOS:000285578000023</t>
  </si>
  <si>
    <t>Krug, AZ; Jablonski, D; Roy, K; Beu, AG</t>
  </si>
  <si>
    <t>Krug, Andrew Z.; Jablonski, David; Roy, Kaustuv; Beu, Alan G.</t>
  </si>
  <si>
    <t>Differential Extinction and the Contrasting Structure of Polar Marine Faunas</t>
  </si>
  <si>
    <t>EVOLUTIONARY DYNAMICS; NORTHERN ALASKA; DIVERSITY; BIODIVERSITY; PATTERNS; BIVALVIA; EOCENE; RECONSTRUCTIONS; SPECIATION; MOLLUSKS</t>
  </si>
  <si>
    <t>Background: The low taxonomic diversity of polar marine faunas today reflects both the failure of clades to colonize or diversify in high latitudes and regional extinctions of once-present clades. However, simple models of polar evolution are made difficult by the strikingly different faunal compositions and community structures of the two poles. Methodology/Principal Findings: A comparison of early Cenozoic Arctic and Antarctic bivalve faunas with modern ones, within the framework of a molecular phylogeny, shows that while Arctic losses were randomly distributed across the tree, Antarctic losses were significantly concentrated in more derived families, resulting in communities dominated by basal lineages. Potential mechanisms for the phylogenetic structure to Antarctic extinctions include continental isolation, changes in primary productivity leading to turnover of both predators and prey, and the effect of glaciation on shelf habitats. Conclusions/Significance: These results show that phylogenetic consequences of past extinctions can vary substantially among regions and thus shape regional faunal structures, even when due to similar drivers, here global cooling, and provide the first phylogenetic support for the retrograde hypothesis of Antarctic faunal evolution.</t>
  </si>
  <si>
    <t>[Krug, Andrew Z.; Jablonski, David] Univ Chicago, Dept Geophys Sci, Chicago, IL 60637 USA; [Roy, Kaustuv] Univ Calif San Diego, Div Biol, Sect Ecol Behav &amp; Evolut, La Jolla, CA 92093 USA; [Beu, Alan G.] Inst Geol &amp; Nucl Sci Ltd, Lower Hutt, New Zealand</t>
  </si>
  <si>
    <t>University of Chicago; University of California System; University of California San Diego; GNS Science - New Zealand</t>
  </si>
  <si>
    <t>Krug, AZ (corresponding author), Univ Chicago, Dept Geophys Sci, 5734 S Ellis Ave, Chicago, IL 60637 USA.</t>
  </si>
  <si>
    <t>akrug@uchicago.edu</t>
  </si>
  <si>
    <t>NASA Astrobiology; National Science Foundation; Division Of Earth Sciences; Directorate For Geosciences [0922156, 0921800] Funding Source: National Science Foundation; Division Of Environmental Biology; Direct For Biological Sciences [0919451] Funding Source: National Science Foundation</t>
  </si>
  <si>
    <t>NASA Astrobiology; National Science Foundation(National Science Foundation (NSF)); Division Of Earth Sciences; Directorate For Geosciences(National Science Foundation (NSF)NSF - Directorate for Geosciences (GEO)); Division Of Environmental Biology; Direct For Biological Sciences(National Science Foundation (NSF)NSF - Directorate for Biological Sciences (BIO))</t>
  </si>
  <si>
    <t>This research was supported by grants from NASA Astrobiology and the National Science Foundation. The funders had no role in study design, data collection and analysis, decision to publish, or preparation of the manuscript.</t>
  </si>
  <si>
    <t>e15362</t>
  </si>
  <si>
    <t>10.1371/journal.pone.0015362</t>
  </si>
  <si>
    <t>WOS:000285578000031</t>
  </si>
  <si>
    <t>Murata, A; Kumamoto, Y; Sasaki, K; Watanabe, S; Fukasawa, M</t>
  </si>
  <si>
    <t>Murata, Akihiko; Kumamoto, Yuichiro; Sasaki, Ken-ichi; Watanabe, Shuichi; Fukasawa, Masao</t>
  </si>
  <si>
    <t>Decadal increases in anthropogenic CO2 along 20°S in the South Indian Ocean</t>
  </si>
  <si>
    <t>ATMOSPHERIC CO2; CARBON; WATER; SINK; SEA; CIRCULATION; VENTILATION; SATURATION; PACIFIC; FLUXES</t>
  </si>
  <si>
    <t>We used high-quality data for dissolved inorganic carbon and related water properties in the Indian Ocean along 20 degrees S (World Ocean Circulation Experiment Hydrographic Program line I3) and 24 degrees S (I4) obtained 8 years apart (1995-2003/2004) to estimate decadal-scale increases of anthropogenic CO2 in the interior of the South Indian Ocean. Significant increases were detected to about 1800 m depth in the longitude range 35-45 degrees E. In the upper thermocline subtropical subsurface water and Indian Central Water, anthropogenic CO2 increased an average of 7.9 +/- 1.1 and 7.7 +/- 0.5 mu mol kg(-1), respectively, whereas in the lower thermocline Antarctic Intermediate Water, the increase was 3.8 +/- 0.7 mu mol kg(-1). A significant increase was also detected in Circumpolar Deep Water (2.5 +/- 1.0 mu mol kg(-1)). The estimated uptake rate of anthropogenic CO2 along the I3/I4 line over this time interval was 1.0 +/- 0.1 mol m(-2) a(-1). Seasonal variations, which are influential in this ocean because of the Indian monsoon, did not affect detection of the anthropogenic CO2 signals. Comparisons with previous studies showed that increases of anthropogenic CO2 became larger in the most recent decade and that the CO2 uptake rate was similar to that in the South Pacific (1.0 +/- 0.4 mol m(-2) a(-1)) but higher than those in the South Atlantic (0.6 +/- 0.1 mol m(-2) a(-1)) and North Pacific (0.5 +/- 0.1 mol m(-2) a(-1)) Oceans. Deep penetration of anthropogenic CO2 is possibly associated with the higher uptake rate.</t>
  </si>
  <si>
    <t>[Murata, Akihiko; Kumamoto, Yuichiro; Sasaki, Ken-ichi; Fukasawa, Masao] Japan Agcy Marine Earth Sci &amp; Technol, Res Inst Global Change, Yokosuka, Kanagawa 2370061, Japan; [Watanabe, Shuichi] Japan Agcy Marine Earth Sci &amp; Technol, Mutsu Inst Oceanog, Aomori 0350022, Japan</t>
  </si>
  <si>
    <t>Japan Agency for Marine-Earth Science &amp; Technology (JAMSTEC); Japan Agency for Marine-Earth Science &amp; Technology (JAMSTEC)</t>
  </si>
  <si>
    <t>Murata, A (corresponding author), Japan Agcy Marine Earth Sci &amp; Technol, Res Inst Global Change, 2-15 Natsushima, Yokosuka, Kanagawa 2370061, Japan.</t>
  </si>
  <si>
    <t>murataa@jamstec.go.jp</t>
  </si>
  <si>
    <t>DEC 21</t>
  </si>
  <si>
    <t>C12055</t>
  </si>
  <si>
    <t>10.1029/2010JC006250</t>
  </si>
  <si>
    <t>699DA</t>
  </si>
  <si>
    <t>WOS:000285642900005</t>
  </si>
  <si>
    <t>Dietrich, S; Rodger, CJ; Clilverd, MA; Bortnik, J; Raita, T</t>
  </si>
  <si>
    <t>Dietrich, Sarah; Rodger, Craig J.; Clilverd, Mark A.; Bortnik, Jacob; Raita, Tero</t>
  </si>
  <si>
    <t>Relativistic microburst storm characteristics: Combined satellite and ground-based observations</t>
  </si>
  <si>
    <t>OUTER RADIATION BELT; RED SPRITES; ELECTRON MICROBURSTS; VLF SCATTERING; SAMPEX OBSERVATIONS; PRECIPITATION; PERTURBATIONS; ACCELERATION; PLASMA; CHORUS</t>
  </si>
  <si>
    <t>We report a comparison of Solar Anomalous Magnetospheric Particle Explorer detected relativistic electron microbursts and short-lived subionospheric VLF perturbations termed FAST events, observed at Sodankyl Geophysical Observatory, Finland, during 2005. We show that only strong geomagnetic disturbances can produce FAST events, which is consistent with the strong link between storms and relativistic microbursts. Further, the observed FAST event perturbation decay times were consistent with ionospheric recovery from bursts of relativistic electron precipitation. However, the one-to-one correlation in time between microbursts and FAST events was found to be very low (similar to 1%). We interpret this as confirmation that microbursts have small ionospheric footprints and estimate the individual precipitation events to be &lt;4 km radius. In contrast, our study strongly suggests that the region over which microbursts occur during storm event periods can be at least similar to 90 degrees in longitude (similar to 6 h in magnetic local time). This confirms earlier estimates of microburst storm size, suggesting that microbursts could be a significant loss mechanism for radiation belt relativistic electrons during geomagnetic storms. Although microbursts are observed at a much higher rate than FAST events, the ground-based FAST event data can provide additional insight into the conditions required for microburst generation and the time variation of relativistic precipitation.</t>
  </si>
  <si>
    <t>[Dietrich, Sarah; Rodger, Craig J.] Univ Otago, Dept Phys, Dunedin, New Zealand; [Bortnik, Jacob] Univ Calif Los Angeles, Dept Atmospher &amp; Ocean Sci, Los Angeles, CA 90095 USA; [Clilverd, Mark A.] British Antarctic Survey, NERC, Div Phys Sci, Cambridge CB3 0ET, England; [Raita, Tero] Univ Oulu, Sodankyla Geophys Observ, Sodankyla 99600, Finland</t>
  </si>
  <si>
    <t>University of Otago; University of California System; University of California Los Angeles; UK Research &amp; Innovation (UKRI); Natural Environment Research Council (NERC); NERC British Antarctic Survey; University of Oulu</t>
  </si>
  <si>
    <t>Dietrich, S (corresponding author), Univ Otago, Dept Phys, POB 56, Dunedin, New Zealand.</t>
  </si>
  <si>
    <t>sdietrich@physics.otago.ac.nz; crodger@physics.otago.ac.nz; macl@bas.ac.uk; jbortnik@gmail.com; tero.raita@sgo.fi</t>
  </si>
  <si>
    <t>Rodger, Craig/A-1501-2011</t>
  </si>
  <si>
    <t>Raita, Tero/0000-0002-0455-5746; Rodger, Craig J./0000-0002-6770-2707</t>
  </si>
  <si>
    <t>NSF [ATM-0840178]; NERC [bas0100023] Funding Source: UKRI; Natural Environment Research Council [bas0100023] Funding Source: researchfish; Directorate For Geosciences [0840178] Funding Source: National Science Foundation; Div Atmospheric &amp; Geospace Sciences [0840178] Funding Source: National Science Foundation</t>
  </si>
  <si>
    <t>NSF(National Science Foundation (NSF)); NERC(UK Research &amp; Innovation (UKRI)Natural Environment Research Council (NERC)); Natural Environment Research Council(UK Research &amp; Innovation (UKRI)Natural Environment Research Council (NERC)); Directorate For Geosciences(National Science Foundation (NSF)NSF - Directorate for Geosciences (GEO)); Div Atmospheric &amp; Geospace Sciences(National Science Foundation (NSF)NSF - Directorate for Geosciences (GEO))</t>
  </si>
  <si>
    <t>C.J.R. and M.A.C. would like to thank the International Space Science Institute (ISSI) of Bern, Switzerland, for providing the environment in which this paper could be completed. J.B. would like to thank T.P. O'Brien for his invaluable assistance in acquiring and reading the SAMPEX data and NSF for their kind support through grant ATM-0840178.</t>
  </si>
  <si>
    <t>DEC 17</t>
  </si>
  <si>
    <t>A12240</t>
  </si>
  <si>
    <t>10.1029/2010JA015777</t>
  </si>
  <si>
    <t>696VN</t>
  </si>
  <si>
    <t>WOS:000285469600002</t>
  </si>
  <si>
    <t>Wang, Z; Chappellaz, J; Park, K; Mak, JE</t>
  </si>
  <si>
    <t>Wang, Z.; Chappellaz, J.; Park, K.; Mak, J. E.</t>
  </si>
  <si>
    <t>Large Variations in Southern Hemisphere Biomass Burning During the Last 650 Years</t>
  </si>
  <si>
    <t>INTERTROPICAL CONVERGENCE ZONE; CARBON-MONOXIDE; ICE-CORE; ATMOSPHERIC CO; 2 MILLENNIA; CLIMATE; 20TH-CENTURY; VARIABILITY; TROPOSPHERE; ANTARCTICA</t>
  </si>
  <si>
    <t>We present a 650-year Antarctic ice core record of concentration and isotopic ratios (delta C-13 and delta O-18) of atmospheric carbon monoxide. Concentrations decreased by similar to 25% (14 parts per billion by volume) from the mid-1300s to the 1600s then recovered completely by the late 1800s. delta C-13 and delta O-18 decreased by about 2 and 4 per mil (parts per thousand), respectively, from the mid-1300s to the 1600s then increased by about 2.5 and 4 parts per thousand by the late 1800s. These observations and isotope mass balance model results imply that large variations in the degree of biomass burning in the Southern Hemisphere occurred during the last 650 years, with a decrease by about 50% in the 1600s, an increase of about 100% by the late 1800s, and another decrease by about 70% from the late 1800s to present day.</t>
  </si>
  <si>
    <t>[Wang, Z.; Park, K.; Mak, J. E.] SUNY Stony Brook, Sch Marine &amp; Atmospher Sci, Inst Terr &amp; Planetary Atmospheres, Stony Brook, NY 11794 USA; [Chappellaz, J.] Univ Grenoble, CNRS, LGGE, F-38402 St Martin Dheres, France</t>
  </si>
  <si>
    <t>State University of New York (SUNY) System; State University of New York (SUNY) Stony Brook; Communaute Universite Grenoble Alpes; Universite Grenoble Alpes (UGA); Centre National de la Recherche Scientifique (CNRS)</t>
  </si>
  <si>
    <t>Mak, JE (corresponding author), SUNY Stony Brook, Sch Marine &amp; Atmospher Sci, Inst Terr &amp; Planetary Atmospheres, Stony Brook, NY 11794 USA.</t>
  </si>
  <si>
    <t>john.mak@stonybrook.edu</t>
  </si>
  <si>
    <t>Park, Keeseong/B-2435-2012; Chappellaz, Jérôme A./A-4872-2011; Wang, Zhihui/F-7164-2011</t>
  </si>
  <si>
    <t>NSF [OCE0731406]; European Science Foundation (ESF) of the European Commission [ERAS-CT-2003-980409]; Institut National des Sciences de l'Univers (INSU) [ISOTRACE-FP21]; French ANR NEEM [ANR-O7-VULN-09-001]</t>
  </si>
  <si>
    <t>NSF(National Science Foundation (NSF)); European Science Foundation (ESF) of the European Commission(European Science Foundation (ESF)); Institut National des Sciences de l'Univers (INSU); French ANR NEEM(Agence Nationale de la Recherche (ANR))</t>
  </si>
  <si>
    <t>We thank C. A. M. Brenninkmeijer for useful help and discussions. South Pole ice core samples were provided by the National Ice Core Laboratory (NICL) and drilled by J. Cole-Dai and colleagues. We greatly thank M. Twickler for ice allocation and thank B. Bencivengo, E. Cravens, and G. Hargreaves for cutting and shipping ice. We thank the drillers (LGGE) and logistics (French polar institute) who made D47 drilling possible. We also thank E. Brook and J. E. Lee from Oregon State University for providing bubble-free ice and M. Montagnat, LGGE, CNRS for providing monocrystalline and polycrystalline bubble-free ice. We also thank L. Emmons for useful help on MOZART-4 simulation and NCAR for providing a supercomputing environment for MOZART-4 simulation. Z.W. strongly thanks P. Martinerie for logistical support in Grenoble. We are grateful to M. Zhang, D. Black, V. Masson-Delmotte, and D. Knopf for their useful comments. We thank A. Matthews from Mt. Sinai High School for providing a walk-in freezer in which to prepare some ice core samples. This work was supported by NSF grant OCE0731406, the European Science Foundation (ESF) EURO-CORES Programme EuroCLIMATE (contract ERAS-CT-2003-980409 of the European Commission, DG Research, FP6), Institut National des Sciences de l'Univers (INSU) project ISOTRACE-FP21, and the French ANR NEEM (ANR-O7-VULN-09-001).</t>
  </si>
  <si>
    <t>10.1126/science.1197257</t>
  </si>
  <si>
    <t>695RO</t>
  </si>
  <si>
    <t>WOS:000285390500063</t>
  </si>
  <si>
    <t>Garde, E; Frie, AK; Dunshea, G; Hansen, SH; Kovacs, KM; Lydersen, C</t>
  </si>
  <si>
    <t>Garde, Eva; Frie, Anne K.; Dunshea, Glenn; Hansen, Steen H.; Kovacs, Kit M.; Lydersen, Christian</t>
  </si>
  <si>
    <t>Harp seal ageing techniques-teeth, aspartic acid racemization, and telomere sequence analysis</t>
  </si>
  <si>
    <t>JOURNAL OF MAMMALOGY</t>
  </si>
  <si>
    <t>age determination; age estimation; amino acid racemization (AAR); aspartic acid; eye lens; growth layer group (GLG); Pagophilus groenlandicus; population management; telomere</t>
  </si>
  <si>
    <t>AGE-DETERMINATION; GROWTH; LENGTH; PCR</t>
  </si>
  <si>
    <t>Lower jaws (containing the teeth), eyes, and skin samples were collected from harp seals (Pagophilus groenlandicus) in the southeastern Barents Sea for the purpose of comparing age estimates obtained by 3 different methods, the traditional technique of counting growth layer groups (GLGs) in teeth and 2 novel approaches, aspartic acid racemization (AAR) in eye lens nuclei and telomere sequence analyses as a proxy for telomere length. A significant correlation between age estimates obtained using GLGs and AAR was found, whereas no correlation was found between GLGs and telomere length. An AAR rate (k(Asp)) of 0.00130/year +/- 0.00005 SE and a D-enantiomer to L-enantiomer ratio at birth (D/L-0 value) of 0.01933 +/- 0.00048 SE were estimated by regression of D/L ratios against GLG ages from 25 animals (12 selected teeth that had high readability and 13 known-aged animals). AAR could prove to be useful, particularly for ageing older animals in species such as harp seals where difficulties in counting GLGs tend to increase with age. Age estimation by telomere length did not show any correlation with GLG ages and is not recommended for harp seals. DOI: 10.1644/10-MAMM-A-080.1.</t>
  </si>
  <si>
    <t>[Kovacs, Kit M.; Lydersen, Christian] Norwegian Polar Res Inst, N-9296 Tromso, Norway; [Garde, Eva] Univ Copenhagen, Nat Hist Museum Copenhagen, DK-2100 Copenhagen O, Denmark; [Frie, Anne K.] IMR, N-9294 Tromso, Norway; [Dunshea, Glenn] Univ Tasmania, Antarctic Wildlife Res Unit, Sch Zool, Hobart, Tas 7005, Australia; [Hansen, Steen H.] Univ Copenhagen, Dept Pharmaceut &amp; Analyt Chem, Fac Pharm, DK-2100 Copenhagen, Denmark</t>
  </si>
  <si>
    <t>Norwegian Polar Institute; University of Copenhagen; Institute of Marine Research - Norway; University of Tasmania; University of Copenhagen</t>
  </si>
  <si>
    <t>Lydersen, C (corresponding author), Norwegian Polar Res Inst, N-9296 Tromso, Norway.</t>
  </si>
  <si>
    <t>christian.lydersen@npolar.no</t>
  </si>
  <si>
    <t>Dunshea, Glenn/0000-0002-8683-0181</t>
  </si>
  <si>
    <t>Norwegian Polar Institute</t>
  </si>
  <si>
    <t>We thank M. Polterman, C. dos Santos, and crew members onboard M/S Kvitbjorn for collecting harp seal samples at sea and K. A. Fagerheim for performing the tooth-based age determinations in this study. This study was funded by the Norwegian Polar Institute.</t>
  </si>
  <si>
    <t>0022-2372</t>
  </si>
  <si>
    <t>1545-1542</t>
  </si>
  <si>
    <t>J MAMMAL</t>
  </si>
  <si>
    <t>J. Mammal.</t>
  </si>
  <si>
    <t>DEC 16</t>
  </si>
  <si>
    <t>10.1644/10-MAMM-A-080.1</t>
  </si>
  <si>
    <t>697RI</t>
  </si>
  <si>
    <t>WOS:000285533100007</t>
  </si>
  <si>
    <t>Kahru, M; Gille, ST; Murtugudde, R; Strutton, PG; Manzano-Sarabia, M; Wang, H; Mitchell, BG</t>
  </si>
  <si>
    <t>Kahru, M.; Gille, S. T.; Murtugudde, R.; Strutton, P. G.; Manzano-Sarabia, M.; Wang, H.; Mitchell, B. G.</t>
  </si>
  <si>
    <t>Global correlations between winds and ocean chlorophyll</t>
  </si>
  <si>
    <t>COLOR DATA; PHYTOPLANKTON BLOOM; EQUATORIAL PACIFIC; SEA; SIGNATURES; STRESS</t>
  </si>
  <si>
    <t>Global time series of satellite-derived winds and surface chlorophyll concentration (Chl-a) show patterns of coherent areas with either positive or negative correlations. The correlation between Chl-a and wind speed is generally negative in areas with deep mixed layers and positive in areas with shallow mixed layers. These patterns are interpreted in terms of the main limiting factors that control phytoplankton growth, i.e., either nutrients that control phytoplankton biomass in areas with positive correlation between Chl-a and wind speed or light that controls phytoplankton biomass in areas with negative correlation between Chl-a and wind speed. More complex patterns are observed in the equatorial regions due to regional specificities in physical-biological interactions. These correlation patterns can be used to map out the biogeochemical provinces of the world ocean in an objective way.</t>
  </si>
  <si>
    <t>[Kahru, M.; Gille, S. T.; Wang, H.; Mitchell, B. G.] Univ Calif San Diego, Scripps Inst Oceanog, La Jolla, CA 92093 USA; [Murtugudde, R.] Univ Maryland, College Pk, MD 20742 USA; [Strutton, P. G.] Univ Tasmania, Inst Marine &amp; Antarctic Studies, Hobart, Tas, Australia; [Manzano-Sarabia, M.] Univ Autonoma Sinaloa, Fac Ciencias Mar, Mazatlan, Sinaloa, Mexico</t>
  </si>
  <si>
    <t>University of California System; University of California San Diego; Scripps Institution of Oceanography; University System of Maryland; University of Maryland College Park; University of Tasmania; Universidad Autonoma de Sinaloa</t>
  </si>
  <si>
    <t>Kahru, M (corresponding author), Univ Calif San Diego, Scripps Inst Oceanog, La Jolla, CA 92093 USA.</t>
  </si>
  <si>
    <t>mkahru@ucsd.edu</t>
  </si>
  <si>
    <t>Murtugudde, Raghu/M-9571-2019; Gille, Sarah T./B-3171-2012; Manzano-Sarabia, Marlenne/AAV-5926-2020; Strutton, Peter/C-4466-2011; Murtugudde, Raghu/A-2933-2008</t>
  </si>
  <si>
    <t>Strutton, Peter/0000-0002-2395-9471; Gille, Sarah/0000-0001-9144-4368; Murtugudde, Raghu/0000-0002-3307-7114; Mitchell, B. Greg/0000-0002-8550-4333; Manzano-Sarabia, Marlenne/0000-0002-3466-9592</t>
  </si>
  <si>
    <t>NASA; National Science Foundation; Directorate For Geosciences; Division Of Ocean Sciences [1026607] Funding Source: National Science Foundation; Directorate For Geosciences; Office of Polar Programs (OPP) [0948338] Funding Source: National Science Foundation</t>
  </si>
  <si>
    <t>NASA(National Aeronautics &amp; Space Administration (NASA)); National Science Foundation(National Science Foundation (NSF)); Directorate For Geosciences; Division Of Ocean Sciences(National Science Foundation (NSF)NSF - Directorate for Geosciences (GEO)); Directorate For Geosciences; Office of Polar Programs (OPP)(National Science Foundation (NSF)NSF - Directorate for Geosciences (GEO))</t>
  </si>
  <si>
    <t>Financial support was provided by the NASA Ocean Biology and Biogeochemistry Program, the NASA Physical Oceanography Program, and the National Science Foundation. We thank the NASA Ocean Color Processing Group, PODAAC at JPL, and NOAA NODC for satellite data.</t>
  </si>
  <si>
    <t>C12040</t>
  </si>
  <si>
    <t>10.1029/2010JC006500</t>
  </si>
  <si>
    <t>696TY</t>
  </si>
  <si>
    <t>WOS:000285465500007</t>
  </si>
  <si>
    <t>Meynier, L; Morel, PCH; Chilvers, BL; Mackenzie, DDS; Duignan, PJ</t>
  </si>
  <si>
    <t>Meynier, Laureline; Morel, Patrick C. H.; Chilvers, B. Louise; Mackenzie, Duncan D. S.; Duignan, Padraig J.</t>
  </si>
  <si>
    <t>Quantitative fatty acid signature analysis on New Zealand sea lions: model sensitivity and diet estimates</t>
  </si>
  <si>
    <t>dietary methods; feeding ecology; pinniped</t>
  </si>
  <si>
    <t>ANTARCTIC FUR SEALS; SOUTHERN NEW-ZEALAND; PHOCARCTOS-HOOKERI; FORAGING BEHAVIOR; ARCTOCEPHALUS-FORSTERI; DIVING BEHAVIOR; FEEDING ECOLOGY; STABLE-ISOTOPE; PREDATOR DIETS; ADIPOSE-TISSUE</t>
  </si>
  <si>
    <t>We used quantitative fatty acid signature analysis (QFASA) to predict the long-term diet of New Zealand (NZ) sea lions (Phocarctos hookeri) incidentally caught in the NZ arrow squid (Nototodarus spp.) fishery. The QFASA model used fatty acid (FA) profiles based on 82 blubber samples of NZ sea lions bycaught between 2000 and 2006. First, the model was optimized by a series of simulations for which 1 model parameter-6 different sets of calibration coefficients (CCs) from different pinniped species and feeding regime, 2 sets of FAs, and the consideration of individual prey values, or mean prey values varied each time. The best-fit parameters were those giving the lowest Kullback-Liebler distance values. Second, these parameters were used in a model to estimate the diet of NZ sea lions. QFASA was highly sensitive to the set of CCs applied. Across years the most important prey estimated with the best-fit CCs were southern arrow squid (Nototodarus sloani, 18-28% mass), hoki (Macruronus novaezelandiae, 10-27% mass), rattails (Macrouridae, 7-27% mass), and possibly scampi (Metanephrops challengeri, 1-19% mass). Despite the uncertainty on the accuracy of the match between the best-fit CCs used and the true FA metabolism of NZ sea lions, the variation of prey estimated among years was highly consistent with the trends of commercial catches during the same period, providing some confidence in the present QFASA predictions. The most important estimated prey were demersal species living mainly at depths &gt;200 m that NZ sea lions encounter on the slopes of the Auckland Islands shelf. Our study emphasized the importance of these areas for bycaught NZ sea lions over the 1st half of the lactation period. DOT: 10.1644/09-MAMM-A-299.1.</t>
  </si>
  <si>
    <t>[Meynier, Laureline; Morel, Patrick C. H.; Mackenzie, Duncan D. S.] Massey Univ, Inst Food Nutr &amp; Human Hlth, Palmerston North 4442, New Zealand; [Meynier, Laureline; Duignan, Padraig J.] Massey Univ, New Zealand Wildlife Hlth Ctr, Inst Vet Anim &amp; Biomed Sci, Palmerston North 4442, New Zealand; [Chilvers, B. Louise] Dept Conservat, Aquat &amp; Threats Unit, Wellington 6011, New Zealand</t>
  </si>
  <si>
    <t>Massey University; Massey University</t>
  </si>
  <si>
    <t>Meynier, L (corresponding author), Massey Univ, Inst Food Nutr &amp; Human Hlth, Private Bag 11-222, Palmerston North 4442, New Zealand.</t>
  </si>
  <si>
    <t>l.meynier@massey.ac.nz</t>
  </si>
  <si>
    <t>Chilvers, B. Louise/AAV-1965-2021</t>
  </si>
  <si>
    <t>Massey University; Department of Conservation; New Zealand Ministry of Fisheries</t>
  </si>
  <si>
    <t>Special thanks go to M. Walton (Sea Mammal Research Unit, United Kingdom), who provided the program Fascalc, and to D. Tollit (University of British Columbia, Canada), who provided the calibration coefficients calculated for Steller sea lions. R. Sherriff (Brimble Sherriff Young Limited, New Zealand) programmed the optimization model for Massey University. Thanks go to D. Tollit and M. Walton and 5 anonymous reviewers who provided helpful comments on earlier versions of this manuscript. This study was sponsored by the Massey University Research Fund, the Department of Conservation, and the New Zealand Ministry of Fisheries.</t>
  </si>
  <si>
    <t>ALLIANCE COMMUNICATIONS GROUP DIVISION ALLEN PRESS</t>
  </si>
  <si>
    <t>810 EAST 10TH STREET, LAWRENCE, KS 66044 USA</t>
  </si>
  <si>
    <t>10.1644/09-MAMM-A-299.1</t>
  </si>
  <si>
    <t>WOS:000285533100019</t>
  </si>
  <si>
    <t>Jiang, HC; Mao, X; Xu, HY; Thompson, J; Ma, XL</t>
  </si>
  <si>
    <t>Jiang, Hanchao; Mao, Xue; Xu, Hongyan; Thompson, Jessica; Ma, Xiaolin</t>
  </si>
  <si>
    <t>∼4 Ma coarsening of sediments from Baikal, Chinese Loess Plateau and South China Sea and implications for the onset of NH glaciation</t>
  </si>
  <si>
    <t>Coarsening of sediments; 4.0 Ma; ITCZ; Polar ice volume; Northern Hemisphere</t>
  </si>
  <si>
    <t>NORTHERN-HEMISPHERE GLACIATION; EAST-ASIAN MONSOON; CENTRAL-AMERICAN SEAWAY; RED-EARTH FORMATION; PERMANENT EL-NINO; TIBETAN PLATEAU; CLIMATE-CHANGE; EARLY PLIOCENE; ATLANTIC-OCEAN; YELLOW-RIVER</t>
  </si>
  <si>
    <t>Intense tectonic movement occurred along the northeastern margin of the Tibetan Plateau 3-4 Ma. During the same time period, global climate changed from a period of stability to a period of frequent and abrupt changes, which prevented fluvial and glacial systems from establishing a state of equilibrium. Thus, it is difficult to directly attribute the 3-4 Ma coarse-grained sediment accumulation in East Asia to climate change or tectonic activity. This study compares Late Cenozoic multi-proxy records from the Chinese Loess Plateau (CLP) to the low-latitude grain size, sea level and benthic delta O-18 records from the South China Sea (SCS) and the high latitude grain-size record from Lake Baikal. All records suggest a steady and persistent cooling since similar to 4 Ma, which correlates well with those cooling records from other regions around the world. This coincided in timing with the modeling results that the closure of the Central American Seaway (CAS) initiated strengthening of Atlantic meridional overturning circulation between 4.8 and 4.0 Ma which led to both warming of the Northern Hemisphere (NH) and cooling of the Southern Hemisphere (SH). Cooling of the SH would induce a marked development of the Antarctic ice sheets at similar to 4 Ma, pushing the Intertropical Convergence Zone (ITCZ) northward. This was superimposed on warming of the NH and brought more precipitation to the middle latitudes of the NH, resulting in increases in coarse-grained sediments in the Sikouzi section from the western CLP since 4.2 Ma. Notably, the absence of coarse-grained sedimentation in the Sikouzi section during 3.0-2.1 Ma and the gradual decrease in coarse-grained peaks since 2.1 Ma reflected by the Sikouzi grain-size record probably resulted from stepwise increase in the NH ice volume pushing the ITCZ southward. On the other hand, development of the Antarctic ice sheets would induce global cooling and enhancement of physical weathering, initiating increases in sedimentation rates as well as increases in grain size from Lake Baikal to the CLP to the SCS. Therefore the closure of the CAS during 4.8-4.0 Ma and its influence on ocean heat transport was possibly the major forcing factor for global cooling since 4 Ma. A persistent and steady cooling during 4-3 Ma probably made a significant contribution to the establishment of the NH ice sheets at 2.75 Ma ago. (C) 2010 Elsevier B.V. All rights reserved.</t>
  </si>
  <si>
    <t>[Jiang, Hanchao; Mao, Xue; Xu, Hongyan; Ma, Xiaolin] China Earthquake Adm, State Key Lab Earthquake Dynam, Inst Geol, Beijing 100029, Peoples R China; [Mao, Xue; Ma, Xiaolin] China Univ Geosci, Coll Geosci &amp; Resources, Beijing 100083, Peoples R China; [Thompson, Jessica] Univ Calif Santa Barbara, Dept Earth Sci, Santa Barbara, CA 93106 USA</t>
  </si>
  <si>
    <t>China Earthquake Administration; China University of Geosciences; University of California System; University of California Santa Barbara</t>
  </si>
  <si>
    <t>Jiang, HC (corresponding author), China Earthquake Adm, State Key Lab Earthquake Dynam, Inst Geol, POB 9803, Beijing 100029, Peoples R China.</t>
  </si>
  <si>
    <t>hcjiang@ies.ac.cn</t>
  </si>
  <si>
    <t>Jiang, Hanchao/ABG-2653-2020; Thompson, Jessica/GXW-0323-2022; Lin, Fan/JZT-1441-2024; Xu, Hongyan/I-4518-2017</t>
  </si>
  <si>
    <t>Jiang, Hanchao/0000-0003-3391-4477; Lin, Fan/0000-0002-7330-3833; Ma, Xiaolin/0000-0002-5073-418X</t>
  </si>
  <si>
    <t>Institute of Geology, China Earthquake Administration [IGCEA0901, IGCEA1012]; State Key Laboratory of Earthquake Dynamics [LED2008A07, LED2008A02]; International Science and Technology Cooperation Program of China [2008DFA20860]; National Natural Science Foundation of China [40972117, 40730208]; State Key Laboratory of Vegetation and Environmental Change, Institute of Botany, Chinese Academy of Sciences</t>
  </si>
  <si>
    <t>Institute of Geology, China Earthquake Administration; State Key Laboratory of Earthquake Dynamics; International Science and Technology Cooperation Program of China; National Natural Science Foundation of China(National Natural Science Foundation of China (NSFC)); State Key Laboratory of Vegetation and Environmental Change, Institute of Botany, Chinese Academy of Sciences(Chinese Academy of Sciences)</t>
  </si>
  <si>
    <t>We feel grateful to Prof. Peter Kershaw (editor) and two anonymous reviewers for valuable comments and suggestions on an early version of the manuscript. We thank Drs. Huiping Zhang and Jin Zhang from the Institute of Geology, China Earthquake Administration for helpful discussion. This work was financially supported by the special project of the fundamental scientific research of the Institute of Geology, China Earthquake Administration (IGCEA0901 and IGCEA1012), the State Key Laboratory of Earthquake Dynamics (Project nos. LED2008A07 and LED2008A02), International Science and Technology Cooperation Program of China (2008DFA20860), the National Natural Science Foundation of China (Grants 40972117 and 40730208) and open research fund of the State Key Laboratory of Vegetation and Environmental Change, Institute of Botany, Chinese Academy of Sciences.</t>
  </si>
  <si>
    <t>DEC 15</t>
  </si>
  <si>
    <t>10.1016/j.palaeo.2010.09.025</t>
  </si>
  <si>
    <t>709AC</t>
  </si>
  <si>
    <t>WOS:000286406400003</t>
  </si>
  <si>
    <t>Smith, AM; Lawton, EI</t>
  </si>
  <si>
    <t>Smith, Abigail M.; Lawton, Emily I.</t>
  </si>
  <si>
    <t>Growing up in the temperate zone: Age, growth, calcification and carbonate mineralogy of Melicerita chathamensis (Bryozoa) in southern New Zealand</t>
  </si>
  <si>
    <t>Bryozoan; Growth; Calcification; Age; Carbonate mineralogy; Calcite</t>
  </si>
  <si>
    <t>ZOOID SIZE; ANTARCTIC BRYOZOAN; CHEILOSTOME BRYOZOANS; PENTAPORA-FASCIALIS; OCEAN ACIDIFICATION; SEASONAL-VARIATION; FOLIACEA BRYOZOA; SEA; SKELETONS; IMPACT</t>
  </si>
  <si>
    <t>The cheilostome bryozoan Melicerita chathamensis from the continental shelf around southern New Zealand is unusual in having macroscopic annual growth checks. It thus presents an opportunity to examine annual variations in age, growth, calcification and carbonate mineralogy in a temperate bryozoan. Forty-one colonies dredged south of Snares Islands, New Zealand (47 degrees 49.537'S, 166 degrees 45.910'E, 166 m water depth, 2 February 2008) ranged from 2 to 9 years old and were up to 40 mm long. Segment length varied from 0.94 to 13.67 mm, with a mean growth rate of 5.27 mm yr(-1), whereas segment weight varied from 0.1 to 37 mg, with an average calcification rate of 9.2 mg yr(-1). Low-Mg calcite ranged from 0.8 to 3.6 wt.% MgCO3, with a mean of 2.1 wt.% MgCO3, whereas high-Mg calcite ranged from 6.6 wt.% MgCO3 to 9.7 wt.% MgCO3 with a mean of 8.1 wt.% MgCO3. The well-studied polar Melicerita obliqua, in contrast, grows more slowly over a much longer period and calcifies more rapidly, suggesting that polar bryozoans may be more effective at sequestering carbon than their temperate counterparts. The proportion of each mineral in skeletal segments generally varied with age, from almost entirely high-Mg calcite in the oldest segments to entirely low-Mg calcite at the growing tips, with a mean of 60.7% high-Mg calcite. This unusual dual-calcite mineralogy appears to be analogous to some other cheilostomes which also produce a primary skeleton of low-Mg calcite but their secondary mineral is aragonite. Such bimineralic bryozoans, which are sophisticated mineralisers that exert a great deal of control over their skeletal composition, may be able to mineralise despite decreasing sea-water pH. Bimineral skeletal sediments, however, could be especially vulnerable to dissolution, as both aragonite and high-Mg calcite are more soluble than low-Mg calcite. Weakening of the skeleton by dissolution of secondary thickening could increase the likely effects of temperate abrasion and bioerosion. (C) 2010 Elsevier B.V. All rights reserved.</t>
  </si>
  <si>
    <t>[Smith, Abigail M.; Lawton, Emily I.] Univ Otago, Dept Marine Sci, Dunedin 9054, New Zealand</t>
  </si>
  <si>
    <t>Smith, AM (corresponding author), Univ Otago, Dept Marine Sci, POB 56, Dunedin 9054, New Zealand.</t>
  </si>
  <si>
    <t>abby.smith@otago.ac.nz</t>
  </si>
  <si>
    <t>Smith, Abigail/F-7714-2011</t>
  </si>
  <si>
    <t>Smith, Abigail/0000-0001-6468-9124</t>
  </si>
  <si>
    <t>10.1016/j.palaeo.2010.09.033</t>
  </si>
  <si>
    <t>WOS:000286406400009</t>
  </si>
  <si>
    <t>Shafer, JT; Brandon, AD; Lapen, TJ; Righter, M; Peslier, AH; Beard, BL</t>
  </si>
  <si>
    <t>Shafer, J. T.; Brandon, A. D.; Lapen, T. J.; Righter, M.; Peslier, A. H.; Beard, B. L.</t>
  </si>
  <si>
    <t>Trace element systematics and 147Sm-143Nd and 176Lu-176Hf ages of Larkman Nunatak 06319: Closed-system fractional crystallization of an enriched shergottite magma</t>
  </si>
  <si>
    <t>HF ISOTOPE GEOCHEMISTRY; SM-ND; DIFFERENTIATION HISTORY; RB-SR; MANTLE; METEORITES; EVOLUTION; PETROGENESIS; MODEL; REE</t>
  </si>
  <si>
    <t>Combined Sm-147-Nd-143 and Lu-176-Hf-176 chronology of the martian meteorite Larkman Nunatak (LAR) 06319 indicates an igneous crystallization age of 193 +/- 20 Ma (2 sigma weighted mean). The individual Sm-147-Nd-143 and Lu-176-Hf-176 internal isochron ages are 183 +/- 12 Ma and 197 +/- 29 Ma, respectively, and are concordant with two previously determined Sm-147-Nd-143 and Rb-87-Sr-87 internal isochron ages of 190 +/- 26 Ma and 207 +/- 14 Ma, respectively (Shih et al., 2009). With respect to the Sm-147-Nd-143 isotope systematics, maskelynite lies above the isochron defined by primary igneous phases and is therefore not in isotopic equilibrium with the other phases in the rock. Non-isochronous maskelynite is interpreted to result from shock-induced reaction between plagioclase and partial melts of pyroxene and phosphate during transformation to maskelynite, which resulted in it having unsupported Nd-143 relative to its measured Sm-147/Nd-144 ratio. The rare earth element (REE) and high field strength element (HFSE) compositions of major constituent minerals can be modeled as the result of progressive crystallization of a single magma with no addition of secondary components. The concordant ages, combined with igneous textures, mineralogy, and trace clement systematics indicate that the weighted average of the radiometric ages records the true crystallization age of this rock. The young igneous age for LAR 06319 and other shergottites are in conflict with models that advocate for circa 4.1 Ga crystallization ages of shergottites from Pb isotope compositions, however, they are consistent with updated crater counting statistics indicating that young volcanic activity on Mars is more widespread than previously realized (Neukum et al., 2010). (C) 2010 Elsevier Ltd. All rights reserved.</t>
  </si>
  <si>
    <t>[Shafer, J. T.; Brandon, A. D.; Lapen, T. J.; Righter, M.] Univ Houston, Dept Earth &amp; Atmospher Sci, Houston, TX 77204 USA; [Shafer, J. T.] Lunar &amp; Planetary Inst, Houston, TX 77059 USA; [Brandon, A. D.] NASA, Lyndon B Johnson Space Ctr, ARES, Houston, TX 77058 USA; [Peslier, A. H.] Jacobs Technol, ESCG, Houston, TX 77058 USA; [Beard, B. L.] NASA, Astrobiol Inst, Houston, TX 77058 USA</t>
  </si>
  <si>
    <t>University of Houston System; University of Houston; National Aeronautics &amp; Space Administration (NASA); NASA Johnson Space Center; National Aeronautics &amp; Space Administration (NASA); NASA Johnson Space Center</t>
  </si>
  <si>
    <t>Shafer, JT (corresponding author), Univ Houston, Dept Earth &amp; Atmospher Sci, Houston, TX 77204 USA.</t>
  </si>
  <si>
    <t>jtshafer@uh.edu</t>
  </si>
  <si>
    <t>Peslier, Anne/F-3956-2010; Lapen, Thomas/JEP-5171-2023</t>
  </si>
  <si>
    <t>Righter, Minako/0000-0002-9299-9733</t>
  </si>
  <si>
    <t>Lunar and Planetary Institute; NASA; University of Houston Institute for Space System Operations</t>
  </si>
  <si>
    <t>Lunar and Planetary Institute; NASA(National Aeronautics &amp; Space Administration (NASA)); University of Houston Institute for Space System Operations</t>
  </si>
  <si>
    <t>J.S. was supported on a Lunar and Planetary Institute post-doctoral fellowship during the analytical phase of this work. A.D.B. and T.L.J. acknowledge support for their respective NASA Cosmochemistry awards. T.J.L. also acknowledges the University of Houston Institute for Space System Operations for partially supporting the analytical campaign at UW-Madison. NASA and the Antarctic Meteorite Working Group are thanked for providing the sample of LAR 06319 examined in this study. We thank reviewers James Day, Audrey Bouvier, and an anonymous reviewer for constructive and helpful reviews and editor Richard Walker for his efficient editorial handling of the manuscript.</t>
  </si>
  <si>
    <t>10.1016/j.gca.2010.09.009</t>
  </si>
  <si>
    <t>691JR</t>
  </si>
  <si>
    <t>WOS:000285076600022</t>
  </si>
  <si>
    <t>Downes, SM; Bindoff, NL; Rintoul, SR</t>
  </si>
  <si>
    <t>Downes, Stephanie M.; Bindoff, Nathaniel L.; Rintoul, Stephen R.</t>
  </si>
  <si>
    <t>Changes in the Subduction of Southern Ocean Water Masses at the End of the Twenty-First Century in Eight IPCC Models</t>
  </si>
  <si>
    <t>SUB-ANTARCTIC MODE; COUPLED CLIMATE MODEL; AIR-SEA FLUXES; INTERMEDIATE WATERS; HEMISPHERE; PACIFIC; CIRCULATION; TEMPERATURE; VENTILATION; SIMULATION</t>
  </si>
  <si>
    <t>A multimodel comparison method is used to assess the sensitivity of Subantarctic Mode Water (SAMW) and Antarctic Intermediate Water (AAIW) formation to climate change. For the Intergovernmental Panel on Climate Change A2 emissions scenario (where atmospheric CO2 is 860 ppm at 2100), the models show cooling and freshening on density surfaces less than about 27.4 kg m(-3), a pattern that has been observed in the late twentieth century. SAMW (defined by the low potential vorticity layer) and AAIW (defined by the salinity minimum layer) warm and freshen as they shift to lighter density classes. Heat and freshwater fluxes at the ocean surface dominate the projected buoyancy gain at outcrop regions of SAMW and AAIW, whereas the net increase in the Ekman flux of heat and freshwater contributes to a lesser extent. This buoyancy gain, combined with shoaling of the winter mixed layer, reduces the volume of SAMW subducted into the ocean interior by a mean of 8 Sv (12%), and the subduction of AAIW decreases by a mean of 14 Sv (23%; 1 Sv equivalent to 106 10(6) m(3) s(-1)). Decreases in the projected subduction of the key Southern Ocean upper-water masses imply a slow down in the Southern Ocean circulation in the future, driven by surface warming and freshening. A reduction in the subduction of intermediate waters implies a likely future decrease in the capacity of the Southern Ocean to sequester CO2.</t>
  </si>
  <si>
    <t>[Downes, Stephanie M.] Princeton Univ, Program Atmospher &amp; Ocean Sci, Princeton, NJ 08544 USA; [Downes, Stephanie M.; Bindoff, Nathaniel L.] Univ Tasmania, Inst Marine &amp; Antarctic Studies, Hobart, Tas, Australia; [Downes, Stephanie M.; Bindoff, Nathaniel L.; Rintoul, Stephen R.] Antarctic Climate &amp; Ecosyst CRC, Hobart, Tas, Australia; [Bindoff, Nathaniel L.; Rintoul, Stephen R.] Ctr Australian Weather &amp; Climate Res, Aspendale, Vic, Australia; [Bindoff, Nathaniel L.; Rintoul, Stephen R.] Wealth Oceans Natl Res Flagship, Clayton, Vic, Australia</t>
  </si>
  <si>
    <t>Princeton University; National Oceanic Atmospheric Admin (NOAA) - USA; University of Tasmania; University of Tasmania; Commonwealth Scientific &amp; Industrial Research Organisation (CSIRO); Commonwealth Scientific &amp; Industrial Research Organisation (CSIRO)</t>
  </si>
  <si>
    <t>Downes, SM (corresponding author), Princeton Univ, Program Atmospher &amp; Ocean Sci, 300 Forrestal Rd, Princeton, NJ 08544 USA.</t>
  </si>
  <si>
    <t>sdownes@princeton.edu</t>
  </si>
  <si>
    <t>Bindoff, Nathaniel Lee/C-8050-2011; Bindoff, Nathaniel Lee/IVV-0333-2023; Rintoul, Stephen R/A-1471-2012; Downes, Stephanie/A-1424-2012</t>
  </si>
  <si>
    <t>Bindoff, Nathaniel Lee/0000-0001-5662-9519; Bindoff, Nathaniel Lee/0000-0001-5662-9519; Rintoul, Stephen R/0000-0002-7055-9876;</t>
  </si>
  <si>
    <t>Australian Government through the Antarctic Climate and Ecosystems CRC; CSIRO Wealth from Oceans National Research Flagship; Australian Climate Change Science Program</t>
  </si>
  <si>
    <t>Australian Government through the Antarctic Climate and Ecosystems CRC(Australian GovernmentDepartment of Industry, Innovation and ScienceCooperative Research Centres (CRC) Programme); CSIRO Wealth from Oceans National Research Flagship; Australian Climate Change Science Program</t>
  </si>
  <si>
    <t>This work is supported by the Australian Government's Cooperative Research Centres program through the Antarctic Climate and Ecosystems CRC, by the CSIRO Wealth from Oceans National Research Flagship and the Australian Climate Change Science Program. We greatly appreciate the discussions on the theory of neutrals surfaces with Trevor McDougall and David Jackett and would like to express our thanks to Glenn Hyland, Martin Dix, and Joseph Majkut for their assistance with data access. We acknowledge the modeling groups for providing their data for analysis, the Program for Climate Model Diagnosis and Intercomparison (PCMDI) for collecting and archiving the model output, and the JSC/CLIVAR Working Group on Coupled Modelling (WGCM) for organizing the model data analysis activity. The multimodel data archive is supported by the Office of Science, U.S. Department of Energy.</t>
  </si>
  <si>
    <t>10.1175/2010JCLI3620.1</t>
  </si>
  <si>
    <t>710YS</t>
  </si>
  <si>
    <t>WOS:000286553500005</t>
  </si>
  <si>
    <t>Veal, CJ; Carmi, M; Dishon, G; Sharon, Y; Michael, K; Tchernov, D; Hoegh-Guldberg, O; Fine, M</t>
  </si>
  <si>
    <t>Veal, Cameron James; Carmi, Maya; Dishon, Gal; Sharon, Yoni; Michael, Kelvin; Tchernov, Dan; Hoegh-Guldberg, Ove; Fine, Maoz</t>
  </si>
  <si>
    <t>Shallow-water wave lensing in coral reefs: a physical and biological case study</t>
  </si>
  <si>
    <t>JOURNAL OF EXPERIMENTAL BIOLOGY</t>
  </si>
  <si>
    <t>coral; wave lensing; light</t>
  </si>
  <si>
    <t>FREQUENCY LIGHT FLUCTUATIONS; DEPENDENT ENERGY-DISSIPATION; PHOTOSYNTHETIC ADAPTATION; STYLOPHORA-PISTILLATA; OPTICAL-PROPERTIES; CLIMATE-CHANGE; SURFACE-WAVES; PHYTOPLANKTON; OCEAN; MICROALGAE</t>
  </si>
  <si>
    <t>Wave lensing produces the highest level of transient solar irradiances found in nature, ranging in intensity over several orders of magnitude in just a few tens of milliseconds. Shallow coral reefs can be exposed to wave lensing during light-wind, clear-sky conditions, which have been implicated as a secondary cause of mass coral bleaching through light stress. Management strategies to protect small areas of high-value reef from wave-lensed light stress were tested using seawater irrigation sprinklers to negate wave lensing by breaking up the water surface. A series of field and tank experiments investigated the physical and photophysiological response of the shallow-water species Stylophora pistillata and Favites abdita to wave lensing and sprinkler conditions. Results show that the sprinkler treatment only slightly reduces the total downwelling photosynthetically active and ultraviolet irradiance (similar to 5.0%), whereas it dramatically reduces, by 460%, the irradiance variability caused by wave lensing. Despite this large reduction in variability and modest reduction in downwelling irradiance, there was no detectable difference in photophysiological response of the corals between control and sprinkler treatments under two thermal regimes of ambient (27 degrees C) and heated treatment (31 degrees C). This study suggests that shallow-water coral species are not negatively affected by the strong flashes that occur under wave-lensing conditions.</t>
  </si>
  <si>
    <t>[Veal, Cameron James; Hoegh-Guldberg, Ove] Univ Queensland, Coral Reef Ecosyst Lab, Global Change Inst, Brisbane, Qld 4072, Australia; [Veal, Cameron James; Carmi, Maya; Dishon, Gal; Sharon, Yoni; Tchernov, Dan; Fine, Maoz] Interuniv Inst Marine Sci, IL-88103 Elat, Israel; [Michael, Kelvin] Univ Tasmania, Inst Marine &amp; Antarctic Studies, Sandy Bay, Tas 7001, Australia; [Tchernov, Dan] Hebrew Univ Jerusalem, Alexander Silberman Inst Life Sci, IL-91904 Jerusalem, Israel; [Tchernov, Dan] Univ Haifa, Leon H Charney Sch Marine Sci, Dept Marine Biol, IL-31905 Haifa, Israel; [Fine, Maoz] Bar Ilan Univ, Mina &amp; Everard Goodman Fac Life Sci, IL-52900 Ramat Gan, Israel</t>
  </si>
  <si>
    <t>University of Queensland; University of Tasmania; Hebrew University of Jerusalem; University of Haifa; Bar Ilan University</t>
  </si>
  <si>
    <t>Veal, CJ (corresponding author), Univ Queensland, Coral Reef Ecosyst Lab, Global Change Inst, Brisbane, Qld 4072, Australia.</t>
  </si>
  <si>
    <t>c.veal@uq.edu.au</t>
  </si>
  <si>
    <t>Fine, Maoz/S-5582-2019; Tchernov, Dan/AAE-2545-2021; Hoegh-Guldberg, Ove/ABA-5420-2020; Hoegh-Guldberg, Ove/H-6169-2011; Hoegh-Guldberg, Ove/HJP-1821-2023; Michael, Kelvin/J-7217-2014</t>
  </si>
  <si>
    <t>Fine, Maoz/0000-0003-4911-4562; Tchernov, Dan/0000-0003-1135-8270; Hoegh-Guldberg, Ove/0000-0001-7510-6713; Hoegh-Guldberg, Ove/0000-0001-7510-6713; Michael, Kelvin/0000-0002-5427-7393</t>
  </si>
  <si>
    <t>Australian Research Council</t>
  </si>
  <si>
    <t>Australian Research Council(Australian Research Council)</t>
  </si>
  <si>
    <t>We acknowledge the assistance from the Interuniversity Institute for Marine Science technical Staff for plumbing and electrical support. We also thank Oded Ben-Shaprut and Genadi Zalzman for marine support and David Iluz for allowing us to borrow his PRR800 for our research. Modelling used in this manuscript was kindly provided by Rudolf Deckert. This manuscript has benefited significantly from the anonymous feedback of three reviewers. This research was part-funded through an Australian Research Council industry linkage with the US National Oceanic and Atmospheric Administration (to O.H.-G.) as well as the 2009 Australian Israeli Scientific Exchange Foundation (AISEF) (to C.J.V.).</t>
  </si>
  <si>
    <t>COMPANY BIOLOGISTS LTD</t>
  </si>
  <si>
    <t>BIDDER BUILDING, STATION RD, HISTON, CAMBRIDGE CB24 9LF, ENGLAND</t>
  </si>
  <si>
    <t>0022-0949</t>
  </si>
  <si>
    <t>1477-9145</t>
  </si>
  <si>
    <t>J EXP BIOL</t>
  </si>
  <si>
    <t>J. Exp. Biol.</t>
  </si>
  <si>
    <t>10.1242/jeb.044941</t>
  </si>
  <si>
    <t>685JX</t>
  </si>
  <si>
    <t>WOS:000284626100026</t>
  </si>
  <si>
    <t>Barucca, M; Biscotti, MA; Forconi, M; Regoli, F; Olmo, E; Canapa, A</t>
  </si>
  <si>
    <t>Barucca, Marco; Biscotti, Maria Assunta; Forconi, Mariko; Regoli, Francesco; Olmo, Ettore; Canapa, Adriana</t>
  </si>
  <si>
    <t>Characterization and Phylogenetic Analysis of Vitellogenin Coding Sequences in the Antarctic Fish Trematomus bernacchii</t>
  </si>
  <si>
    <t>JOURNAL OF EXPERIMENTAL ZOOLOGY PART B-MOLECULAR AND DEVELOPMENTAL EVOLUTION</t>
  </si>
  <si>
    <t>TERRA-NOVA BAY; YOLK PROTEINS; OOCYTE MATURATION; BARFIN FLOUNDER; ROSS SEA; 2 FORMS; EXPRESSION; GENE; NOTOTHENIIDAE; MITOCHONDRIAL</t>
  </si>
  <si>
    <t>Vitellogenin is the yolk protein precursor. Multiple vitellogenins identified in several teleosts have been attributed different roles in the control of egg buoyancy and in early embryonic vs. late larval nutrition. In this study, the cDNA encoding VtgAa was characterized in the Antarctic fish Trematomus bernacchii (suborder Notothenioidei). The sequence contains 4,964 nucleotides and encodes 1,629 amino acids of the precursor molecule. To gain insights into the evolution of vitellogenin in Antarctic fishes, we identified the partial sequence of vtgAb, and vtgAa and vtgAb partial sequences of five other notothenioids. The phylogenetic analysis highlighted a close correlation between the Vtg amino acid sequences of the six Antarctic species and VtgAa and VtgAb of other perciforms. Finally, analysis of the ratio of vtgAa to vtgAb expression, evaluated in T. bernacchii by real-time PCR, showed a considerably greater expression of vtgAa in different periods of austral summer. J. Exp. Zool. (Mol. Dev. Evol.) 3148:645-652, 2010. (C) 2010 Wiley-Liss, Inc.</t>
  </si>
  <si>
    <t>[Barucca, Marco; Biscotti, Maria Assunta; Forconi, Mariko; Regoli, Francesco; Olmo, Ettore; Canapa, Adriana] Univ Politecn Marche, Dipartimento Biochim Biol &amp; Genet, I-60131 Ancona, Italy</t>
  </si>
  <si>
    <t>Canapa, A (corresponding author), Univ Politecn Marche, Dipartimento Biochim Biol &amp; Genet, Via Brecce Bianche, I-60131 Ancona, Italy.</t>
  </si>
  <si>
    <t>a.canapa@univpm.it</t>
  </si>
  <si>
    <t>Regoli, Francesco/K-2719-2018</t>
  </si>
  <si>
    <t>Regoli, Francesco/0000-0001-6084-6188</t>
  </si>
  <si>
    <t>Programma Nazionale di Ricerche in Antartide (PNRA)</t>
  </si>
  <si>
    <t>Grant Sponsor: Programma Nazionale di Ricerche in Antartide (PNRA).</t>
  </si>
  <si>
    <t>1552-5007</t>
  </si>
  <si>
    <t>1552-5015</t>
  </si>
  <si>
    <t>J EXP ZOOL PART B</t>
  </si>
  <si>
    <t>J. Exp. Zool. Part B</t>
  </si>
  <si>
    <t>314B</t>
  </si>
  <si>
    <t>10.1002/jez.b.21365</t>
  </si>
  <si>
    <t>Evolutionary Biology; Developmental Biology; Zoology</t>
  </si>
  <si>
    <t>688NO</t>
  </si>
  <si>
    <t>WOS:000284857200005</t>
  </si>
  <si>
    <t>King, JC; Doble, MJ; Holland, PR</t>
  </si>
  <si>
    <t>King, J. C.; Doble, M. J.; Holland, P. R.</t>
  </si>
  <si>
    <t>Analysis of a rapid sea ice retreat event in the Bellingshausen Sea</t>
  </si>
  <si>
    <t>ATMOSPHERIC MERIDIONAL CIRCULATION; ANTARCTIC PENINSULA; THICKNESS DISTRIBUTION; AMUNDSEN SEAS; WEDDELL SEA; WINTER; VARIABILITY; IMPACT; EXTENT</t>
  </si>
  <si>
    <t>The winter advance of the sea ice edge in the Bellingshausen Sea is frequently interrupted by periods of rapid retreat lasting a few days. The frequency and duration of such events strongly controls the location of the late winter sea ice edge in this sector of the Antarctic. We examine the dynamics and thermodynamics of a retreat event that occurred in May 2001 using data from a drifting buoy array together with diagnostics from a kinematic/thermodynamic ice growth model and a high-resolution (11 km) regional coupled ocean-ice model. During the retreat event, the ice edge retreated by 250 km over 13 days in response to strong and persistent northerly winds associated with a quasi-stationary low-pressure system. Ice motion in the outer part of the pack was convergent and correlated strongly with local wind forcing. By contrast, in the region closer to the coast, ice motion was less well correlated with wind forcing. Model diagnostics indicate that ice thickening resulting from convergence in the outer pack was largely balanced by basal melting. In the outer pack, ice was in a state close to free drift while, closer to the coast, internal ice stresses became significant. The ocean-ice model simulated the characteristics of the retreat event realistically, giving us confidence in the ability of such models to reproduce ice conditions in this sector.</t>
  </si>
  <si>
    <t>[King, J. C.; Holland, P. R.] British Antarctic Survey, Cambridge CB3 0ET, England; [Doble, M. J.] Univ Cambridge, Dept Appl Math &amp; Theoret Phys, Cambridge CB2 1TN, England</t>
  </si>
  <si>
    <t>UK Research &amp; Innovation (UKRI); Natural Environment Research Council (NERC); NERC British Antarctic Survey; University of Cambridge</t>
  </si>
  <si>
    <t>King, JC (corresponding author), British Antarctic Survey, Madingley Rd, Cambridge CB3 0ET, England.</t>
  </si>
  <si>
    <t>jcki@bas.ac.uk</t>
  </si>
  <si>
    <t>Holland, Paul R/G-2796-2012; Doble, Martin J/A-9915-2012</t>
  </si>
  <si>
    <t>Doble, Martin/0000-0001-8185-6510</t>
  </si>
  <si>
    <t>UK Met Office; U.K. Natural Environment Research Council; NERC [bas0100023] Funding Source: UKRI; Natural Environment Research Council [bas0100023] Funding Source: researchfish</t>
  </si>
  <si>
    <t>UK Met Office;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</si>
  <si>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Alfred Wegener Institute and the officers and crew of the research vessel Polarstern for supporting the buoy deployments. The SVPBs were funded by the UK Met Office, and we thank David Meldrum (Scottish Association for Marine Science) for making them available to us. We thank Stephen Harangozo for providing climatological ice edge data and Keith Nicholls for helping us to interpret the spectra displayed in Figure 2. This study is a contribution to the British Antarctic Survey's programme Polar Science for Planet Earth and was supported by the U.K. Natural Environment Research Council.</t>
  </si>
  <si>
    <t>C12030</t>
  </si>
  <si>
    <t>10.1029/2010JC006101</t>
  </si>
  <si>
    <t>696TV</t>
  </si>
  <si>
    <t>WOS:000285465200002</t>
  </si>
  <si>
    <t>De Deckker, P; Norman, MD</t>
  </si>
  <si>
    <t>De Deckker, Patrick; Norman, Marc D.</t>
  </si>
  <si>
    <t>Re-evaluation of the composition of sediments from the Murray Darling Basin of Australia as a Potential Source Area for airborne dust to EPICA Dome C in Antarctica. Reply to Comment on Lead isotopic evidence for an Australian source of aeolian dust to Antarctica at times over the last 170,000 years by P. De Deckker, M. Norman, I.D. Goodwin, A. Wain and F.X. Gingele [Palaeogeography, Palaeoclimatology, Palaeoecology 285 (2010) 205-223]</t>
  </si>
  <si>
    <t>Dust; Pb isotopes; Pb/Ga; Pb/Ta; Contamination; Anthropogenic Pb; Grain size</t>
  </si>
  <si>
    <t>NEW-SOUTH-WALES; ICE-CORE; GRAIN-SIZE; PROVENANCE; INDUSTRIAL; POLLUTION; RECORD; SR</t>
  </si>
  <si>
    <t>We re-examined the data presented by De Deckker et al. (2010; Lead isotopic evidence for an Australian source of aeolian dust to Antarctica at times over the last 170, 000 years. Palaeogeography, Palaeoclimatology, Palaeoecology 285, 205-223), which argued for some parts of the Murray Darling Basin (MDB) in southeastern Australia to have been potential source areas (PSA) for dust in the EPICA Dome C ice core. This was done in light of the comments tabled by Kamber et al. (Comment on Lead isotopic evidence for an Australian source of aeolian dust to Antarctica at times over the last 170,000 years by P. De Deckker, M. Norman, I.D. Goodwin, A. Wain and F.X. Gingele [Palaeogeography, Palaeoclimatology, Palaeoecology 285 (2010) 205-223], 2010-this issue) suggesting that the MDB samples are variably contaminated by anthropogenically-produced Pb that originated from the Broken Hill mine, from smelters, and from agricultural practices and coal burning. We argue, first of all, that the MDB samples are not as comprehensively contaminated with Pb as claimed by Kamber et al., and the Pb isotope data presented by De Deckker et al. (2010) do provide useful information about potential dust source. Following the approach of Kamber and colleagues (Marx et al., 2010), we compare the Pb isotopic compositions of MDB sediments against their Pb content and diagnostic elemental ratios such as Pb/Ta, and Pb/Ga to evaluate possible anthropogenic contamination. We find that 3 of these MDB samples have notably high Pb concentrations, anomalously high Pb/Ta and Pb/Ga ratios, and Pb isotopic compositions that are consistent with anthropogenic contamination from a Broken Hill-type Pb source. The remaining 20 samples show a wide range of isotopic compositions and no correlation with either Pb content or element ratios, consistent with natural signatures. The 3 contaminated samples are located in heavily used agricultural areas in the Murray sub-basin but, importantly, none of these 3 samples were considered by De Deckker et al. (2010) to represent potential source areas for dust in the Dome C ice core. Secondly, previous studies have shown that significant Pb contamination in Australian surficial sediments tends to be localised, and that subsurface samples can be used reliably for comparison with deposits that contain airborne dust. Thirdly, we argue that valid evaluation of potential sedimentary dust sources can only be made on the same grain size fractions as those found in Antarctic ice cores, as it was recently demonstrated by Feng et al. (2010) and Vallelonga et al. (2010) that Pb isotopic ratios of aeolian deposits and Australian sediments vary with grain size. Our measurements were made on &lt;2 mu m fractions of MDB sediments, which are directly comparable to the particle size of ice core dust. We, therefore, maintain that the Darling sub-basin represents a potentially significant source area for dust delivered to the Dome C site through time. (C) 2010 Elsevier B.V. All rights reserved.</t>
  </si>
  <si>
    <t>[De Deckker, Patrick; Norman, Marc D.] Australian Natl Univ, Res Sch Earth Sci, Canberra, ACT 0200, Australia</t>
  </si>
  <si>
    <t>De Deckker, P (corresponding author), Australian Natl Univ, Res Sch Earth Sci, GPO Box 4, Canberra, ACT 0200, Australia.</t>
  </si>
  <si>
    <t>patrick.dedeckker@anu.edu.au</t>
  </si>
  <si>
    <t>Norman, Marc D/A-2244-2008</t>
  </si>
  <si>
    <t>Norman, Marc/0000-0002-1357-5415</t>
  </si>
  <si>
    <t>10.1016/j.palaeo.2010.10.023</t>
  </si>
  <si>
    <t>WOS:000286406400025</t>
  </si>
  <si>
    <t>Fraser, AD; Massom, RA; Michael, KJ</t>
  </si>
  <si>
    <t>Fraser, Alexander D.; Massom, Robert A.; Michael, Kelvin J.</t>
  </si>
  <si>
    <t>Generation of high-resolution East Antarctic landfast sea-ice maps from cloud-free MODIS satellite composite imagery</t>
  </si>
  <si>
    <t>REMOTE SENSING OF ENVIRONMENT</t>
  </si>
  <si>
    <t>Antarctica; Sea ice; Landfast sea ice; Fast ice; Satellite remote sensing</t>
  </si>
  <si>
    <t>LUTZOW-HOLM BAY; ADELIE LAND; ROSS SEA; DISTRIBUTIONS; POLYNYA; MOTION; SAR</t>
  </si>
  <si>
    <t>A method to generate high spatio-temporal resolution maps of landfast sea ice from cloud-free MODIS composite imagery is presented. Visible (summertime) and thermal infrared (wintertime) cloud-free 20-day MODIS composite images are used as the basis for these maps, augmented by AMSR-E ASI sea-ice concentration composite images (when MODIS composite image quality is insufficient). The success of this technique is dependent upon efficient cloud removal during the compositing process. Example wintertime maximum (-374,000 km(2)) and summertime minimum (similar to 112,000 km(2)) fast-ice maps for the entire East Antarctic coast are presented. The summertime minimum map provides the first high-resolution indication of multi-year fast-ice extent, which may be used to help assess changes in Antarctic sea-ice volume. The 2 sigma errors in fast-ice extent are estimated to be +/- 2.98% when &gt;= 90% of the fast-ice pixels in a 20-day period are classified using the MODIS composite, or +/-8.76 otherwise (when augmenting AMSR-E or the previous/next MODIS composite image is used to classify &gt;10% of the fast ice). Imperfect composite image quality, caused by persistent cloud, inaccurate cloud masking or a highly dynamic fast-ice edge, was the biggest impediment to automating the fast-ice detection procedure. (C) 2010 Elsevier Inc. All rights reserved.</t>
  </si>
  <si>
    <t>[Fraser, Alexander D.; Massom, Robert A.; Michael, Kelvin J.] Univ Tasmania, Antarctic Climate &amp; Ecosyst Cooperat Res Ctr, Hobart, Tas 7001, Australia; [Fraser, Alexander D.; Michael, Kelvin J.] Univ Tasmania, Inst Marine &amp; Antarctic Studies, Hobart, Tas 7001, Australia; [Massom, Robert A.] Australian Antarctic Div, Kingston, Tas 7050, Australia</t>
  </si>
  <si>
    <t>Antarctic Climate &amp; Ecosystems Cooperative Research Centre (ACE CRC); University of Tasmania; University of Tasmania; Australian Antarctic Division</t>
  </si>
  <si>
    <t>Fraser, AD (corresponding author), Univ Tasmania, Antarctic Climate &amp; Ecosyst Cooperat Res Ctr, Private Bag 80, Hobart, Tas 7001, Australia.</t>
  </si>
  <si>
    <t>adfraser@utas.edu.au</t>
  </si>
  <si>
    <t>Fraser, Alexander/AFO-7186-2022; Michael, Kelvin/J-7217-2014</t>
  </si>
  <si>
    <t>Fraser, Alexander/0000-0003-1924-0015; Massom, Robert/0000-0003-1533-5084; Michael, Kelvin/0000-0002-5427-7393</t>
  </si>
  <si>
    <t>Antarctic Climate and Ecosystems Cooperative Research Centre (ACE CRC)</t>
  </si>
  <si>
    <t>Antarctic Climate and Ecosystems Cooperative Research Centre (ACE CRC)(Australian GovernmentDepartment of Industry, Innovation and ScienceCooperative Research Centres (CRC) Programme)</t>
  </si>
  <si>
    <t>This work was carried out with the support of the Australian Government's Cooperative Research Centre Program through the Antarctic Climate and Ecosystems Cooperative Research Centre (ACE CRC) and contributing to Australian Antarctic Science Project 3024. MODIS data were obtained from the NASA Level 1 Atmosphere Archive and Distribution System (LAADS) (http://ladsweb.nascom.nasa.gov/). AMSR-E ASI sea-ice concentration data were obtained from the University of Hamburg (ftp://ftp-projects.zmaw.de/seaice/AMSR-E_ASI_IceConc/hdf/s6250/). Thanks to J. Lieser, P. Reid and P. Heil (ACE CRC) and two anonymous reviewers for helpful discussions and comments.</t>
  </si>
  <si>
    <t>ELSEVIER SCIENCE INC</t>
  </si>
  <si>
    <t>STE 800, 230 PARK AVE, NEW YORK, NY 10169 USA</t>
  </si>
  <si>
    <t>0034-4257</t>
  </si>
  <si>
    <t>1879-0704</t>
  </si>
  <si>
    <t>REMOTE SENS ENVIRON</t>
  </si>
  <si>
    <t>Remote Sens. Environ.</t>
  </si>
  <si>
    <t>10.1016/j.rse.2010.07.006</t>
  </si>
  <si>
    <t>Environmental Sciences; Remote Sensing; Imaging Science &amp; Photographic Technology</t>
  </si>
  <si>
    <t>Environmental Sciences &amp; Ecology; Remote Sensing; Imaging Science &amp; Photographic Technology</t>
  </si>
  <si>
    <t>670CZ</t>
  </si>
  <si>
    <t>WOS:000283400100006</t>
  </si>
  <si>
    <t>Phillips, E; Everest, J; Diaz-Doce, D</t>
  </si>
  <si>
    <t>Phillips, Emrys; Everest, Jez; Diaz-Doce, Diego</t>
  </si>
  <si>
    <t>Bedrock controls on subglacial landform distribution and geomorphological processes: Evidence from the Late Devensian Irish Sea Ice Stream</t>
  </si>
  <si>
    <t>SEDIMENTARY GEOLOGY</t>
  </si>
  <si>
    <t>Subglacial landforms; Landform distribution; Bedrock geology; Irish Sea Ice Stream</t>
  </si>
  <si>
    <t>NORTH WALES; SOUTHERN UPLANDS; WESTERN LLEYN; DEPOSITIONAL EVIDENCE; GLACIGENIC DEPOSITS; MONIAN SUPERGROUP; DEGLACIATION; ANGLESEY; SHEET; SECTOR</t>
  </si>
  <si>
    <t>Ice streams play an important role as regulators of the behaviour of modern ice sheets taking the form of corridors of fast flowing ice Similar zones of fast moving ice have also been recognised draining the margins of the Late Devensian British and Irish Ice Sheet. Although the geomorphological and sedimentary signatures of palaeo ice streams have received significant attention allowing the identification of these former ice streams the influence of bedrock geology on the processes occurring beneath these palaeo ice streams is less well understood even though subglacial geology has been shown to control the location ice streams within the West Antarctic Ice Steam This paper highlights the role played by bedrock geology on landform distribution beneath a much older ice stream the Late Devensian Irish Sea Ice Stream The spatial relationships displayed between subglacial landforms and bedrock geology are described from Anglesey northwest Wales, and the Rhins of Galloway southwest Scotland both sites occur close to the eastern margin of this Irish Sea Ice Stream A link has been established between landform morphology and distribution and the disposition of the main tectonostratigraphical units within the bedrock. Changes in landform morphology are shown to have been locally controlled by large-scale faults and/or major lithological boundaries with less durable bedrock lithologies controlling the location and lateral extent of relatively faster flowing portions of the ice stream (C) 2009 Natural Environment Research Council Published by Elsevier BV All rights reserved</t>
  </si>
  <si>
    <t>[Phillips, Emrys; Everest, Jez; Diaz-Doce, Diego] British Geol Survey, Murchison House, Edinburgh EH9 3LA, Midlothian, Scotland</t>
  </si>
  <si>
    <t>UK Research &amp; Innovation (UKRI); Natural Environment Research Council (NERC); NERC British Geological Survey</t>
  </si>
  <si>
    <t>Phillips, E (corresponding author), British Geol Survey, Murchison House, W Mains Rd, Edinburgh EH9 3LA, Midlothian, Scotland.</t>
  </si>
  <si>
    <t>Natural Environment Research Council [bgs05001] Funding Source: researchfish; NERC [bgs05001] Funding Source: UKRI</t>
  </si>
  <si>
    <t>0037-0738</t>
  </si>
  <si>
    <t>1879-0968</t>
  </si>
  <si>
    <t>SEDIMENT GEOL</t>
  </si>
  <si>
    <t>Sediment. Geol.</t>
  </si>
  <si>
    <t>10.1016/j.sedgeo.2009.11.004</t>
  </si>
  <si>
    <t>691YF</t>
  </si>
  <si>
    <t>WOS:000285118000002</t>
  </si>
  <si>
    <t>Massom, RA; Giles, AB; Fricker, HA; Warner, RC; Legrésy, B; Hyland, G; Young, N; Fraser, AD</t>
  </si>
  <si>
    <t>Massom, Robert A.; Giles, A. Barry; Fricker, Helen A.; Warner, Roland C.; Legresy, Benoit; Hyland, Glenn; Young, Neal; Fraser, Alexander D.</t>
  </si>
  <si>
    <t>Examining the interaction between multi-year landfast sea ice and the Mertz Glacier Tongue, East Antarctica: Another factor in ice sheet stability?</t>
  </si>
  <si>
    <t>FILCHNER-RONNE ICE; MARINE ICE; GROUNDING LINES; SHELF COLLAPSE; MASS-BALANCE; ROSS SEA; ICEBERG; GREENLAND; OCEAN; ACCELERATION</t>
  </si>
  <si>
    <t>The Mertz Glacier tongue (MGT), East Antarctica, has a large area of multi-year fast sea ice (MYFI) attached to its eastern edge. We use various satellite data sets to study the extent, age, and thickness of the MYFI and how it interacts with the MGT. We estimate its age to be at least 25 years and its thickness to be 10-55 m; this is an order of magnitude thicker than the average regional sea-ice thickness and too thick to be formed through sea-ice growth alone. We speculate that the most plausible process for its growth after initial formation is marine (frazil) ice accretion. The satellite data provide two types of evidence for strong mechanical coupling between the two types of ice: The MYFI moves with the MGT, and persistent rifts that originate in the MGT continue to propagate for large distances into the MYFI. The area of MYFI decreased by 50% following the departure of two large tabular icebergs that acted as pinning points and protective barriers. Future MYFI extent will be affected by subsequent icebergs from the Ninnis Glacier and the imminent calving of the MGT. Fast ice is vulnerable to changing atmospheric and oceanic conditions, and its disappearance may have an influence on ice tongue/ice shelf stability. Understanding the influence of thick MYFI on floating ice tongues/ice shelves may be significant to understanding the processes that control their evolution and how these respond to climate change, and thus to predicting the future of the Antarctic Ice Sheet.</t>
  </si>
  <si>
    <t>[Massom, Robert A.; Warner, Roland C.; Hyland, Glenn; Young, Neal] Australian Antarctic Div, Dept Sustainabil Environm Water Populat &amp; Communi, Kingston, Tas 7050, Australia; [Massom, Robert A.; Giles, A. Barry; Warner, Roland C.; Hyland, Glenn; Young, Neal; Fraser, Alexander D.] Univ Tasmania, Antarctic Climate &amp; Ecosyst Cooperat Res Ctr, Sandy Bay, Tas 7001, Australia; [Fricker, Helen A.] Univ Calif San Diego, Inst Geophys &amp; Planetary Phys, Scripps Inst Oceanog, La Jolla, CA 92093 USA; [Legresy, Benoit] CNRS, LEGOS, F-31400 Toulouse, France; [Fraser, Alexander D.] Univ Tasmania, Inst Marine &amp; Antarctic Studies, Sandy Bay, Tas 7001, Australia</t>
  </si>
  <si>
    <t>Australian Antarctic Division; University of Tasmania; Antarctic Climate &amp; Ecosystems Cooperative Research Centre (ACE CRC); University of California System; University of California San Diego; Scripps Institution of Oceanography; Universite de Toulouse; Universite Toulouse III - Paul Sabatier; Centre National de la Recherche Scientifique (CNRS); Institut de Recherche pour le Developpement (IRD); Laboratoire d'Etudes en Geophysique et oceanographie spatiales; University of Tasmania</t>
  </si>
  <si>
    <t>Massom, RA (corresponding author), Australian Antarctic Div, Dept Sustainabil Environm Water Populat &amp; Communi, Channel Highway, Kingston, Tas 7050, Australia.</t>
  </si>
  <si>
    <t>r.massom@utas.edu.au</t>
  </si>
  <si>
    <t>Fraser, Alexander/AFO-7186-2022; Warner, Roland Charles/ISS-2485-2023; Warner, Robert/M-5342-2013; legresy, benoit/K-6673-2018</t>
  </si>
  <si>
    <t>Fraser, Alexander/0000-0003-1924-0015; Warner, Roland Charles/0000-0002-9778-3544; Warner, Robert/0000-0002-3299-5685; Young, Neal/0000-0001-9729-3273; Fricker, Helen Amanda/0000-0002-0921-1432; Massom, Robert/0000-0003-1533-5084; legresy, benoit/0000-0002-1909-1630</t>
  </si>
  <si>
    <t>Australian Government's Cooperative Research Centres through the Antarctic Climate and Ecosystems Cooperative Research Centre (ACE CRC) [3024, 2698]; European Space Agency [4123, 4129]; International Space Science Institute (Bern, Switzerland) [137, 169]; NASA [NNX06AD40G, NNX06AH39G]; CNRS; INSU; CNES; IPEV</t>
  </si>
  <si>
    <t>Australian Government's Cooperative Research Centres through the Antarctic Climate and Ecosystems Cooperative Research Centre (ACE CRC)(Australian GovernmentDepartment of Industry, Innovation and ScienceCooperative Research Centres (CRC) Programme); European Space Agency(European Space Agency); International Space Science Institute (Bern, Switzerland); NASA(National Aeronautics &amp; Space Administration (NASA)); CNRS(Centre National de la Recherche Scientifique (CNRS)); INSU(Centre National de la Recherche Scientifique (CNRS)); CNES(Centre National D'etudes Spatiales); IPEV</t>
  </si>
  <si>
    <t>For R. M., A. B. G., N.Y., G. H., and R. W., this work was supported by the Australian Government's Cooperative Research Centres Programme through the Antarctic Climate and Ecosystems Cooperative Research Centre (ACE CRC), and contributes to AAS Projects 3024 and 2698 and European Space Agency sponsored IPY projects 4123 and 4129. The International Space Science Institute (Bern, Switzerland) is acknowledged for supporting this study via Projects 137 and 169. H. A. F. was supported by NASA grants NNX06AD40G and NNX06AH39G. B. L.'s visit to the ACE CRC was supported by CNRS; his contribution is within the CRACICE project supported by CNRS, INSU, CNES, and IPEV. We are very grateful to Jason Roberts (ACE CRC and AAD), Ben Galton-Fenzi, and Bill Budd (ACE CRC) for their suggestions and comments on the manuscript, and Pat Langhorne (University of Otago, New Zealand) and one anonymous reviewer for their valuable comments. Radarsat SAR imagery was obtained from the NASA Alaska Satellite Facility (ASF), and Envisat and ERS imagery from ESA. MODIS imagery was obtained from the U.S. National Snow and Ice Data Center (http://nsidc.org/data/iceshelves_images/), and MODIS Level 1B data were obtained from the MODIS LAADS (Level 1 Atmosphere Archive and Distribution System) archives at the NASA Goddard Space Flight Center (currently accessible at http://ladsweb.nascom.nasa.gov/data/search.html). Landsat imagery was obtained from the NASA Land Processes DAAC (https://lpdaac.usgs.gov/).</t>
  </si>
  <si>
    <t>DEC 14</t>
  </si>
  <si>
    <t>C12027</t>
  </si>
  <si>
    <t>10.1029/2009JC006083</t>
  </si>
  <si>
    <t>696TT</t>
  </si>
  <si>
    <t>WOS:000285465000001</t>
  </si>
  <si>
    <t>Hall, BL; Denton, GH; Fountain, AG; Hendy, CH; Henderson, GM</t>
  </si>
  <si>
    <t>Hall, Brenda L.; Denton, George H.; Fountain, Andrew G.; Hendy, Chris H.; Henderson, Gideon M.</t>
  </si>
  <si>
    <t>Antarctic lakes suggest millennial reorganizations of Southern Hemisphere atmospheric and oceanic circulation</t>
  </si>
  <si>
    <t>Antarctica; Dry Valleys; lake-level change; radiocarbon</t>
  </si>
  <si>
    <t>MCMURDO DRY VALLEYS; LAST GLACIAL MAXIMUM; SCALE CLIMATE-CHANGE; GROUNDED ICE-SHEET; TAYLOR VALLEY; ROSS SEA; VICTORIA LAND; DOME; HISTORY; RETREAT</t>
  </si>
  <si>
    <t>The phasing of millennial-scale oscillations in Antarctica relative to those elsewhere in the world is important for discriminating among models for abrupt climate change, particularly those involving the Southern Ocean. However, records of millennial-scale variability from Antarctica dating to the last glacial maximum are rare and rely heavily on data from widely spaced ice cores, some of which show little variability through that time. Here, we present new data from closed-basin lakes in the Dry Valleys region of East Antarctica that show high-magnitude, high-frequency oscillations in surface level during the late Pleistocene synchronous with climate fluctuations elsewhere in the Southern Hemisphere. These data suggest a coherent Southern Hemisphere pattern of climate change on millennial time scales, at least in the Pacific sector, and indicate that any hypothesis concerning the origin of these events must account for synchronous changes in both high and temperate latitudes.</t>
  </si>
  <si>
    <t>[Hall, Brenda L.; Denton, George H.] Univ Maine, Dept Earth Sci, Orono, ME 04469 USA; [Hall, Brenda L.; Denton, George H.] Univ Maine, Climate Change Inst, Orono, ME 04469 USA; [Fountain, Andrew G.] Portland State Univ, Portland, OR 97207 USA; [Hendy, Chris H.] Univ Waikato, Dept Chem, Hamilton, New Zealand; [Henderson, Gideon M.] Univ Oxford, Dept Earth Sci, Oxford OX1 3PR, England</t>
  </si>
  <si>
    <t>University of Maine System; University of Maine Orono; University of Maine System; University of Maine Orono; Portland State University; University of Waikato; University of Oxford</t>
  </si>
  <si>
    <t>Hall, BL (corresponding author), Univ Maine, Dept Earth Sci, Orono, ME 04469 USA.</t>
  </si>
  <si>
    <t>BrendaH@maine.edu</t>
  </si>
  <si>
    <t>Henderson, Gideon/0000-0002-6279-7137</t>
  </si>
  <si>
    <t>National Science Foundation; New Zealand Antarctic Research Programme; NERC [NE/D012546/1] Funding Source: UKRI; Natural Environment Research Council [NE/D012546/1] Funding Source: researchfish</t>
  </si>
  <si>
    <t>National Science Foundation(National Science Foundation (NSF)); New Zealand Antarctic Research Programme; NERC(UK Research &amp; Innovation (UKRI)Natural Environment Research Council (NERC)); Natural Environment Research Council(UK Research &amp; Innovation (UKRI)Natural Environment Research Council (NERC))</t>
  </si>
  <si>
    <t>T. Cruickshank, K. Faloon, E. Hofstee, B. Overturf, A. Roy, R. Verow, and T. Whittaker assisted in the field. We thank D. Bromwich and N. Bertler for helpful discussions and two anonymous reviewers and our editor for insightful comments. This work was supported by the Office of Polar Programs of the National Science Foundation and the New Zealand Antarctic Research Programme.</t>
  </si>
  <si>
    <t>1091-6490</t>
  </si>
  <si>
    <t>10.1073/pnas.1007250107</t>
  </si>
  <si>
    <t>697NY</t>
  </si>
  <si>
    <t>WOS:000285521500027</t>
  </si>
  <si>
    <t>Deng, C; Cheng, CHC; Ye, H; He, XM; Chen, LB</t>
  </si>
  <si>
    <t>Deng, Cheng; Cheng, C. -H. Christina; Ye, Hua; He, Ximiao; Chen, Liangbiao</t>
  </si>
  <si>
    <t>Evolution of an antifreeze protein by neofunctionalization under escape from adaptive conflict</t>
  </si>
  <si>
    <t>Antarctic eelpouts; thermal hysteresis; tandem repeats; positive selection</t>
  </si>
  <si>
    <t>SIALIC-ACID SYNTHASE; POSITIVE SELECTION; BRANCH-SITE; GENE; BINDING; IDENTIFICATION; DUPLICATION; SURFACE; ORIGIN; DOMAIN</t>
  </si>
  <si>
    <t>The evolutionary model escape from adaptive conflict (EAC) posits that adaptive conflict between the old and an emerging new function within a single gene could drive the fixation of gene duplication, where each duplicate can freely optimize one of the functions. Although EAC has been suggested as a common process in functional evolution, definitive cases of neofunctionalization under EAC are lacking, and the molecular mechanisms leading to functional innovation are not well-understood. We report here clear experimental evidence for EAC-driven evolution of type III antifreeze protein gene from an old sialic acid synthase (SAS) gene in an Antarctic zoarcid fish. We found that an SAS gene, having both sialic acid synthase and rudimentary ice-binding activities, became duplicated. In one duplicate, the N-terminal SAS domain was deleted and replaced with a nascent signal peptide, removing pleiotropic structural conflict between SAS and ice-binding functions and allowing rapid optimization of the C-terminal domain to become a secreted protein capable of noncolligative freezing-point depression. This study reveals how minor functionalities in an old gene can be transformed into a distinct survival protein and provides insights into how gene duplicates facing presumed identical selection and mutation pressures at birth could take divergent evolutionary paths.</t>
  </si>
  <si>
    <t>[Cheng, C. -H. Christina] Univ Illinois, Dept Anim Biol, Urbana, IL 61801 USA; [Deng, Cheng; Ye, Hua; Chen, Liangbiao] Chinese Acad Sci, Inst Genet &amp; Dev Biol, Key Lab Mol &amp; Dev Biol, Beijing 100101, Peoples R China; [Deng, Cheng; Ye, Hua; He, Ximiao] Chinese Acad Sci, Grad Coll, Beijing 100101, Peoples R China</t>
  </si>
  <si>
    <t>University of Illinois System; University of Illinois Urbana-Champaign; Chinese Academy of Sciences; Institute of Genetics &amp; Developmental Biology, CAS; Chinese Academy of Sciences</t>
  </si>
  <si>
    <t>Cheng, CHC (corresponding author), Univ Illinois, Dept Anim Biol, Urbana, IL 61801 USA.</t>
  </si>
  <si>
    <t>c-cheng@uiuc.edu; lbchen@genetics.ac.cn</t>
  </si>
  <si>
    <t>He, Ximiao/AFM-6566-2022</t>
  </si>
  <si>
    <t>He, Ximiao/0000-0003-1253-5275; deng, cheng/0000-0002-5296-8879; , liangbiao/0000-0002-0717-8536</t>
  </si>
  <si>
    <t>US National Science Foundation [OPP 0231006, OPP 0636696]; [NSFC30625007]; [MOST2010CB126304]; [NSFC30570244]; [CAS-KSCX2-YVV-N-020]</t>
  </si>
  <si>
    <t>US National Science Foundation(National Science Foundation (NSF)); ; ; ;</t>
  </si>
  <si>
    <t>We thank Jianshe Wang for participating in the construction and screening of the L. dearborni BAC library, Dr. Laura Ghigliotti for assistance with chromosome preparations, Dr. Zhukuang Cheng for helping in the FISH analysis, and Arthur DeVries and Paul Cziko for assisting in ice-binding activity measurements. The work is supported by NSFC30625007, MOST2010CB126304, NSFC30570244, CAS-KSCX2-YVV-N-020 (to L.C.) and US National Science Foundation Grants OPP 0231006 and OPP 0636696 (to C.-H.C.C.).</t>
  </si>
  <si>
    <t>10.1073/pnas.1007883107</t>
  </si>
  <si>
    <t>WOS:000285521500068</t>
  </si>
  <si>
    <t>Zhou, WZ; Shen, BL; Meng, FP; Liu, SB; Zhang, YZ</t>
  </si>
  <si>
    <t>Zhou, Weizhi; Shen, Boling; Meng, Fanping; Liu, Shengbo; Zhang, Yuzhong</t>
  </si>
  <si>
    <t>Coagulation enhancement of exopolysaccharide secreted by an Antarctic sea-ice bacterium on dye wastewater</t>
  </si>
  <si>
    <t>SEPARATION AND PURIFICATION TECHNOLOGY</t>
  </si>
  <si>
    <t>Coagulation enhancement; Exopolysaccharide; Decolorization; Reactive brilliant red X-3B</t>
  </si>
  <si>
    <t>GRANULAR FERRIC HYDROXIDE; REACTIVE DYES; COLOR REMOVAL; PERFORMANCE; DECOLORIZATION; ADSORPTION; CHLORIDE; POLYACRYLAMIDE; OPTIMIZATION; DYNAMICS</t>
  </si>
  <si>
    <t>The purpose of this paper is to study the enhancement of Bsi20310 exopolysaccharide (Bsi20310 EPS, secreted by an Antarctic sea-ice bacterium Pseudoalteromonas sp. Bsi20310), on coagulation of reactive brilliant red X-3B (RX-38) by ferric chloride. The effect of solution pH, EPS addition timing and NaCl concentration for coagulation of RX-3B was investigated. The results showed that at pH 10. Fe(III) dosage of 55 mg/L, adding 150 mg/L Bsi20310 EPS enhanced the decolorization effectively. NaCl had little effect on the enhancement of Bsi20310 EPS. The EPS had negative surface charge and could combine with positive Fe(III)-dye flocs to form neutralized settleable Fe(III)-dye-EPS flocs. Results of residual Fe(III) concentration and ferric-ferron reaction kinetics indicated that EPS addition led not only more Fe(III) to participate in coagulation but also to form more Fe-b (the most effective ferric hydrolysis species) in coagulation. Bsi20310 EPS enhanced Fe(III) coagulation performance by neutralization, bridging and sweeping to improve the floc aggregation. (C) 2010 Elsevier B.V. All rights reserved.</t>
  </si>
  <si>
    <t>[Zhou, Weizhi; Shen, Boling; Meng, Fanping] Shandong Univ, Sch Environm Sci &amp; Engn, Jinan 250100, Shandong, Peoples R China; [Zhou, Weizhi; Liu, Shengbo; Zhang, Yuzhong] Shandong Univ, State Key Lab Microbial Technol, Jinan 250100, Shandong, Peoples R China</t>
  </si>
  <si>
    <t>Shandong University; Shandong University</t>
  </si>
  <si>
    <t>Zhou, WZ (corresponding author), Shandong Univ, Sch Environm Sci &amp; Engn, Jinan 250100, Shandong, Peoples R China.</t>
  </si>
  <si>
    <t>wzzhou@sdu.edu.cn</t>
  </si>
  <si>
    <t>National Natural Science Foundation of China [50878120, 30770062]; Hi-Tech Research and Development Program of China [2007AA091903]; Natural Science Foundation of Shandong province of China [Z2008B09]; Foundation for Young Excellent Scientists in Shandong Province [007BS08004]; Interdisciplinary Foundation of Shandong Universit [2009JC017]</t>
  </si>
  <si>
    <t>National Natural Science Foundation of China(National Natural Science Foundation of China (NSFC)); Hi-Tech Research and Development Program of China(National High Technology Research and Development Program of China); Natural Science Foundation of Shandong province of China(Natural Science Foundation of Shandong Province); Foundation for Young Excellent Scientists in Shandong Province; Interdisciplinary Foundation of Shandong Universit</t>
  </si>
  <si>
    <t>The authors are thankful to the supports of National Natural Science Foundation of China (50878120, 30770062), Hi-Tech Research and Development Program of China (2007AA091903), Natural Science Foundation of Shandong province of China (Z2008B09), Foundation for Young Excellent Scientists in Shandong Province (007BS08004) and Interdisciplinary Foundation of Shandong University (2009JC017).</t>
  </si>
  <si>
    <t>1383-5866</t>
  </si>
  <si>
    <t>1873-3794</t>
  </si>
  <si>
    <t>SEP PURIF TECHNOL</t>
  </si>
  <si>
    <t>Sep. Purif. Technol.</t>
  </si>
  <si>
    <t>DEC 13</t>
  </si>
  <si>
    <t>10.1016/j.seppur.2010.10.011</t>
  </si>
  <si>
    <t>Engineering, Chemical</t>
  </si>
  <si>
    <t>704XV</t>
  </si>
  <si>
    <t>WOS:000286089800017</t>
  </si>
  <si>
    <t>Garner, J; Harding, MM</t>
  </si>
  <si>
    <t>Garner, James; Harding, Margaret M.</t>
  </si>
  <si>
    <t>Design and Synthesis of Antifreeze Glycoproteins and Mimics</t>
  </si>
  <si>
    <t>CHEMBIOCHEM</t>
  </si>
  <si>
    <t>antifreeze; glycoproteins; glycosylation; peptide mimics; synthesis design</t>
  </si>
  <si>
    <t>MOLECULAR-DYNAMICS SIMULATIONS; ICE GROWTH-INHIBITION; SOLID-PHASE SYNTHESIS; ICE/WATER INTERFACE; ANTARCTIC FISHES; CLICK CHEMISTRY; FREEZING RESISTANCE; CIRCULAR-DICHROISM; CRYSTAL-GROWTH; POLAR FISH</t>
  </si>
  <si>
    <t>Antifreeze glycoproteins are an important class of biological antifreezes that have potential applications in many areas of medicine, agriculture and industry in which ice crystal growth is damaging. While the synthesis of antifreeze glycoproteins as pure glycoforms has recently been achieved by using ligation and polymerisation strategies, the routine production of large quantities of pure glycoforms remains challenging. A range of C-linked analogues that are readily produced by solid-phase synthesis have delivered novel compounds that are not biological antifreezes, but are potent, non-cytotoxic, ice-recrystallisation inhibitors. Structure-activity studies, the identification of cyclic antifreeze glycoproteins and conformational studies have provided further insight into the requirements for antifreeze activity. These results, coupled with significant advances in approaches to the routine synthesis of different glycoproteins and mimics, present opportunities for the design and synthesis of novel ice-growth-inhibiting and antifreeze compounds.</t>
  </si>
  <si>
    <t>[Garner, James; Harding, Margaret M.] Univ New S Wales, Sch Chem, Sydney, NSW 2052, Australia</t>
  </si>
  <si>
    <t>Harding, MM (corresponding author), Univ New S Wales, Sch Chem, Sydney, NSW 2052, Australia.</t>
  </si>
  <si>
    <t>harding@unsw.edu.au</t>
  </si>
  <si>
    <t>Harding, Margaret/0000-0003-1072-3870</t>
  </si>
  <si>
    <t>Australian Research Discovery Grant Program; University of New South Wales</t>
  </si>
  <si>
    <t>This work was supported by the Australian Research Discovery Grant Program and the University of New South Wales.</t>
  </si>
  <si>
    <t>POSTFACH 101161, 69451 WEINHEIM, GERMANY</t>
  </si>
  <si>
    <t>1439-4227</t>
  </si>
  <si>
    <t>1439-7633</t>
  </si>
  <si>
    <t>ChemBioChem</t>
  </si>
  <si>
    <t>DEC 10</t>
  </si>
  <si>
    <t>10.1002/cbic.201000509</t>
  </si>
  <si>
    <t>Biochemistry &amp; Molecular Biology; Chemistry, Medicinal</t>
  </si>
  <si>
    <t>693VJ</t>
  </si>
  <si>
    <t>WOS:000285253200001</t>
  </si>
  <si>
    <t>Hoffmann, M; Hilton-Taylor, C; Angulo, A; Böhm, M; Brooks, TM; Butchart, SHM; Carpenter, KE; Chanson, J; Collen, B; Cox, NA; Darwall, WRT; Dulvy, NK; Harrison, LR; Katariya, V; Pollock, CM; Quader, S; Richman, NI; Rodrigues, ASL; Tognelli, MF; Vié, JC; Aguiar, JM; Allen, DJ; Allen, GR; Amori, G; Ananjeva, NB; Andreone, F; Andrew, P; Ortiz, ALA; Baillie, JEM; Baldi, R; Bell, BD; Biju, SD; Bird, JP; Black-Decima, P; Blanc, JJ; Bolaños, F; Bolivar, W; Burfield, IJ; Burton, JA; Capper, DR; Castro, F; Catullo, G; Cavanagh, RD; Channing, A; Chao, NL; Chenery, AM; Chiozza, F; Clausnitzer, V; Collar, NJ; Collett, LC; Collette, BB; Fernandez, CFC; Craig, MT; Crosby, MJ; Cumberlidge, N; Cuttelod, A; Derocher, AE; Diesmos, AC; Donaldson, JS; Duckworth, JW; Dutson, G; Dutta, SK; Emslie, RH; Farjon, A; Fowler, S; Freyhof, J; Garshelis, DL; Gerlach, J; Gower, DJ; Grant, TD; Hammerson, GA; Harris, RB; Heaney, LR; Hedges, SB; Hero, JM; Hughes, B; Hussain, SA; Icochea, J; Inger, RF; Ishii, N; Iskandar, DT; Jenkins, RKB; Kaneko, Y; Kottelat, M; Kovacs, KM; Kuzmin, SL; La Marca, E; Lamoreux, JF; Lau, MWN; Lavilla, EO; Leus, K; Lewison, RL; Lichtenstein, G; Livingstone, SR; Lukoschek, V; Mallon, DP; McGowan, PJK; McIvor, A; Moehlman, PD; Molur, S; Alonso, AM; Musick, JA; Nowell, K; Nussbaum, RA; Olech, W; Orlov, NL; Papenfuss, TJ; Parra-Olea, G; Perrin, WF; Polidoro, BA; Pourkazemi, M; Racey, PA; Ragle, JS; Ram, M; Rathbun, G; Reynolds, RP; Rhodin, AGJ; Richards, SJ; Rodríguez, LO; Ron, SR; Rondinini, C; Rylands, AB; de Mitcheson, YS; Sanciangco, JC; Sanders, KL; Santos-Barrera, G; Schipper, J; Self-Sullivan, C; Shi, YC; Shoemaker, A; Short, FT; Sillero-Zubiri, C; Silvano, DL; Smith, KG; Smith, AT; Snoeks, J; Stattersfield, AJ; Symes, AJ; Taber, AB; Talukdar, BK; Temple, HJ; Timmins, R; Tobias, JA; Tsytsulina, K; Tweddle, D; Ubeda, C; Valenti, SV; van Dijk, PP; Veiga, LM; Veloso, A; Wege, DC; Wilkinson, M; Williamson, EA; Xie, F; Young, BE; Akçakaya, HR; Bennun, L; Blackburn, TM; Boitani, L; Dublin, HT; da Fonseca, GAB; Gascon, C; Lacher, TE; Mace, GM; Mainka, SA; McNeely, JA; Mittermeier, RA; Reid, GM; Rodriguez, JP; Rosenberg, AA; Samways, MJ; Smart, J; Stein, BA; Stuart, SN</t>
  </si>
  <si>
    <t>Hoffmann, Michael; Hilton-Taylor, Craig; Angulo, Ariadne; Boehm, Monika; Brooks, Thomas M.; Butchart, Stuart H. M.; Carpenter, Kent E.; Chanson, Janice; Collen, Ben; Cox, Neil A.; Darwall, William R. T.; Dulvy, Nicholas K.; Harrison, Lucy R.; Katariya, Vineet; Pollock, Caroline M.; Quader, Suhel; Richman, Nadia I.; Rodrigues, Ana S. L.; Tognelli, Marcelo F.; Vie, Jean-Christophe; Aguiar, John M.; Allen, David J.; Allen, Gerald R.; Amori, Giovanni; Ananjeva, Natalia B.; Andreone, Franco; Andrew, Paul; Aquino Ortiz, Aida Luz; Baillie, Jonathan E. M.; Baldi, Ricardo; Bell, Ben D.; Biju, S. D.; Bird, Jeremy P.; Black-Decima, Patricia; Blanc, J. Julian; Bolanos, Federico; Bolivar-G, Wilmar; Burfield, Ian J.; Burton, James A.; Capper, David R.; Castro, Fernando; Catullo, Gianluca; Cavanagh, Rachel D.; Channing, Alan; Chao, Ning Labbish; Chenery, Anna M.; Chiozza, Federica; Clausnitzer, Viola; Collar, Nigel J.; Collett, Leah C.; Collette, Bruce B.; Fernandez, Claudia F. Cortez; Craig, Matthew T.; Crosby, Michael J.; Cumberlidge, Neil; Cuttelod, Annabelle; Derocher, Andrew E.; Diesmos, Arvin C.; Donaldson, John S.; Duckworth, J. W.; Dutson, Guy; Dutta, S. K.; Emslie, Richard H.; Farjon, Aljos; Fowler, Sarah; Freyhof, Joerg; Garshelis, David L.; Gerlach, Justin; Gower, David J.; Grant, Tandora D.; Hammerson, Geoffrey A.; Harris, Richard B.; Heaney, Lawrence R.; Hedges, S. Blair; Hero, Jean-Marc; Hughes, Baz; Hussain, Syed Ainul; Icochea M, Javier; Inger, Robert F.; Ishii, Nobuo; Iskandar, Djoko T.; Jenkins, Richard K. B.; Kaneko, Yoshio; Kottelat, Maurice; Kovacs, Kit M.; Kuzmin, Sergius L.; La Marca, Enrique; Lamoreux, John F.; Lau, Michael W. N.; Lavilla, Esteban O.; Leus, Kristin; Lewison, Rebecca L.; Lichtenstein, Gabriela; Livingstone, Suzanne R.; Lukoschek, Vimoksalehi; Mallon, David P.; McGowan, Philip J. K.; McIvor, Anna; Moehlman, Patricia D.; Molur, Sanjay; Munoz Alonso, Antonio; Musick, John A.; Nowell, Kristin; Nussbaum, Ronald A.; Olech, Wanda; Orlov, Nikolay L.; Papenfuss, Theodore J.; Parra-Olea, Gabriela; Perrin, William F.; Polidoro, Beth A.; Pourkazemi, Mohammad; Racey, Paul A.; Ragle, James S.; Ram, Mala; Rathbun, Galen; Reynolds, Robert P.; Rhodin, Anders G. J.; Richards, Stephen J.; Rodriguez, Lily O.; Ron, Santiago R.; Rondinini, Carlo; Rylands, Anthony B.; de Mitcheson, Yvonne Sadovy; Sanciangco, Jonnell C.; Sanders, Kate L.; Santos-Barrera, Georgina; Schipper, Jan; Self-Sullivan, Caryn; Shi, Yichuan; Shoemaker, Alan; Short, Frederick T.; Sillero-Zubiri, Claudio; Silvano, Debora L.; Smith, Kevin G.; Smith, Andrew T.; Snoeks, Jos; Stattersfield, Alison J.; Symes, Andrew J.; Taber, Andrew B.; Talukdar, Bibhab K.; Temple, Helen J.; Timmins, Rob; Tobias, Joseph A.; Tsytsulina, Katerina; Tweddle, Denis; Ubeda, Carmen; Valenti, Sarah V.; van Dijk, Peter Paul; Veiga, Liza M.; Veloso, Alberto; Wege, David C.; Wilkinson, Mark; Williamson, Elizabeth A.; Xie, Feng; Young, Bruce E.; Akcakaya, H. Resit; Bennun, Leon; Blackburn, Tim M.; Boitani, Luigi; Dublin, Holly T.; da Fonseca, Gustavo A. B.; Gascon, Claude; Lacher, Thomas E., Jr.; Mace, Georgina M.; Mainka, Susan A.; McNeely, Jeffery A.; Mittermeier, Russell A.; Reid, Gordon McGregor; Paul Rodriguez, Jon; Rosenberg, Andrew A.; Samways, Michael J.; Smart, Jane; Stein, Bruce A.; Stuart, Simon N.</t>
  </si>
  <si>
    <t>The Impact of Conservation on the Status of the World's Vertebrates</t>
  </si>
  <si>
    <t>EXTINCTION RISK; CLIMATE-CHANGE; BIODIVERSITY; BENEFITS; FUTURE</t>
  </si>
  <si>
    <t>Using data for 25,780 species categorized on the International Union for Conservation of Nature Red List, we present an assessment of the status of the world's vertebrates. One-fifth of species are classified as Threatened, and we show that this figure is increasing: On average, 52 species of mammals, birds, and amphibians move one category closer to extinction each year. However, this overall pattern conceals the impact of conservation successes, and we show that the rate of deterioration would have been at least one-fifth again as much in the absence of these. Nonetheless, current conservation efforts remain insufficient to offset the main drivers of biodiversity loss in these groups: agricultural expansion, logging, overexploitation, and invasive alien species.</t>
  </si>
  <si>
    <t>[Hoffmann, Michael; Stuart, Simon N.] United Nations Environm Programme World Conservat, IUCN SSC Species Survival Commiss, Cambridge CB3 0DL, England; [Cox, Neil A.; Tognelli, Marcelo F.] Conservat Int, IUCN CI Biodivers Assessment Unit, Arlington, VA 22202 USA; [Hilton-Taylor, Craig; Darwall, William R. T.; Katariya, Vineet; Pollock, Caroline M.; Allen, David J.; Collett, Leah C.; Cuttelod, Annabelle; Shi, Yichuan; Smith, Kevin G.] IUCN, Species Programme, Cambridge CB3 0DL, England; [Angulo, Ariadne] IUCN CI Biodivers Assessment Unit, Toronto, ON M5S 1X1, Canada; [Angulo, Ariadne; Carpenter, Kent E.; Chanson, Janice; Cox, Neil A.; Tognelli, Marcelo F.; Vie, Jean-Christophe; Lamoreux, John F.; Polidoro, Beth A.; Ragle, James S.; Sanciangco, Jonnell C.] IUCN, Species Programme, CH-1196 Gland, Switzerland; [Boehm, Monika; Collen, Ben; Richman, Nadia I.; Ram, Mala; Blackburn, Tim M.] Zool Soc London, Inst Zool, London NW1 4RY, England; [Brooks, Thomas M.; Young, Bruce E.] NatureServe, Arlington, VA 22209 USA; [Brooks, Thomas M.] Univ Philippines Los Banos, World Agroforestry Ctr ICRAF, Laguna 4031, Philippines; [Brooks, Thomas M.] Univ Tasmania, Sch Geog &amp; Environm Studies, Hobart, Tas 7001, Australia; [Butchart, Stuart H. M.; Burfield, Ian J.; Collar, Nigel J.; Crosby, Michael J.; Stattersfield, Alison J.; Symes, Andrew J.; Wege, David C.; Bennun, Leon] BirdLife Int, Cambridge CB3 0NA, England; [Carpenter, Kent E.; Polidoro, Beth A.; Sanciangco, Jonnell C.] Old Dominion Univ, Dept Biol Sci, Norfolk, VA 23529 USA; [Chanson, Janice] IUCN CI Biodivers Assessment Unit, Cheltenham, Vic 3192, Australia; [Dulvy, Nicholas K.; Harrison, Lucy R.] Simon Fraser Univ, Dept Biol Sci, IUCN Shark Specialist Grp, Burnaby, BC V5A 1S6, Canada; [Quader, Suhel] Tata Inst Fundamental Res, Natl Ctr Biol Sci, Bangalore 560065, Karnataka, India; [Rodrigues, Ana S. L.] CNRS, UMR5175, Ctr Ecol Fonct &amp; Evolut, F-34293 Montpellier, France; [Tognelli, Marcelo F.] IADIZA CONICET, CCT Mendoza, RA-5500 Mendoza, Argentina; [Aguiar, John M.; Lacher, Thomas E., Jr.] Texas A&amp;M Univ, Dept Wildlife &amp; Fisheries Sci, College Stn, TX 77843 USA; [Allen, Gerald R.] Western Australian Museum, Perth, WA 6986, Australia; [Amori, Giovanni] CNR, Inst Ecosyst Studies, I-00185 Rome, Italy; [Ananjeva, Natalia B.; Orlov, Nikolay L.] Russian Acad Sci, Inst Zool, St Petersburg 199034, Russia; [Andreone, Franco] Museo Reg Sci Nat, I-10123 Turin, Italy; [Andrew, Paul] Taronga Conservat Soc Australia, Taronga Zoo, Sydney, NSW 2088, Australia; [Baillie, Jonathan E. M.] Zool Soc London, London NW1 4RY, England; [Baldi, Ricardo] Ctr Nacl Pagagon CONICET, Unidad Invest Ecol Terrestre, RA-9120 Puerto Madryn, Argentina; [Baldi, Ricardo] Wildlife Conservat Soc, Patagonian &amp; Andean Steppe Program, RA-9120 Puerto Madryn, Argentina; [Bell, Ben D.] Victoria Univ Wellington, Sch Biol Sci, Ctr Biodivers &amp; Restorat Ecol, Wellington 6140, New Zealand; [Biju, S. D.] Univ Delhi, Sch Environm Studies, Systemat Lab, Delhi 110007, India; [Bird, Jeremy P.] Pacific Inst Sustainable Dev, Ctr Biodivers &amp; Biosecur Studies, Manado, North Sulawesi, Indonesia; [Black-Decima, Patricia] Univ Nacl Tucuman, Fac Ciencias Nat, RA-4000 San Miguel De Tucuman, Argentina; [Black-Decima, Patricia] Univ Nacl Tucuman, Inst Miguel Lillo, RA-4000 San Miguel De Tucuman, Argentina; [Bolanos, Federico] Univ Costa Rica, Escuela Biol, San Jose 115012060, Costa Rica; [Bolivar-G, Wilmar] Univ Valle, Fac Ciencias Nat &amp; Exactas, Dept Biol, Secc Zool, Cali, Colombia; [Burton, James A.] Earthwatch Inst, Oxford OX2 7DE, England; [Burton, James A.] Univ Edinburgh, Royal Dick Sch Vet Studies, Edinburgh EH9 1QH, Midlothian, Scotland; [Castro, Fernando] Univ Valle, Lab Herpetol, Cali, Colombia; [Catullo, Gianluca] WWF Italy Specis Off, I-00198 Rome, Italy; [Cavanagh, Rachel D.] British Antarctic Survey, Cambridge CB3 0ET, England; [Channing, Alan] Univ Western Cape, Biodivers &amp; Conservat Biol Dept, ZA-7535 Bellville, South Africa; [Chao, Ning Labbish] Bioamazonia Conservat Int, Baltimore, MD 21230 USA; [Chao, Ning Labbish] Univ Fed Amazonas, Depto Ciencias Pesqueiras, BR-60700 Manaus, Amazonas, Brazil; [Chao, Ning Labbish] Natl Museum Marine Biol &amp; Aquarium, Checheng 944, Pingtung, Taiwan; [Chiozza, Federica; Rondinini, Carlo; Boitani, Luigi] Univ Roma La Sapienza, Dept Anim &amp; Human Biol, I-00185 Rome, Italy; [Clausnitzer, Viola] Senckenberg Museum Nat Hist Goerlitz, D-02806 Goerlitz, Germany; [Collette, Bruce B.] Smithsonian Inst, Natl Museum Nat Hist, Natl Marine Fisheries Serv Systemat Lab, Washington, DC 20013 USA; [Craig, Matthew T.] Univ Puerto Rico, Dept Marine Sci, Mayaguez, PR 00681 USA; [Cumberlidge, Neil] Univ Michigan, Dept Biol, Marquette, MI 49855 USA; [Derocher, Andrew E.] Univ Alberta, Dept Biol Sci, Edmonton, AB T6G 2E9, Canada; [Diesmos, Arvin C.] Natl Museum Philippines, Div Zool, Herpetol Sect, Manila 1000, Philippines; [Donaldson, John S.] S African Natl Biodivers Inst, KRC, ZA-7735 Claremont, South Africa; [Dutson, Guy] Birds Australia, Carlton, Vic 3053, Australia; [Dutta, S. K.] N Orissa Univ, Mayurbhanj 757003, Orissa, India; [Emslie, Richard H.] IUCN SSC African Rhino Specialist Grp, ZA-3245 Hilton, South Africa; [Farjon, Aljos] Royal Bot Gardens, Herbarium Lib Art &amp; Arch, Richmond TW9 3AB, Surrey, England; [Fowler, Sarah; Valenti, Sarah V.] NatureBur, Newbury RG14 5SJ, Berks, England; [Freyhof, Joerg] Leibniz Inst Freshwater Ecol &amp; Inland Fisheries, D-12587 Berlin, Germany; [Garshelis, David L.] Minnesota Dept Nat Resources, Grand Rapids, MN 55744 USA; [Gerlach, Justin] Nat Protect Trust Seychelles, Cambridge CB1 7BX, England; [Gower, David J.; Wilkinson, Mark] Nat Hist Museum, Dept Zool, London SW7 5BD, England; [Grant, Tandora D.] San Diego Zoo Inst Conservat Res, Escondido, CA 92027 USA; [Hammerson, Geoffrey A.] NatureServe, Port Townsend, WA 98368 USA; [Harris, Richard B.] Univ Montana, Dept Ecosyst &amp; Conservat Sci, Missoula, MT 59812 USA; [Heaney, Lawrence R.; Inger, Robert F.] Field Museum Nat Hist, Chicago, IL 60605 USA; [Hedges, S. Blair] Penn State Univ, Dept Biol, University Pk, PA 16802 USA; [Hero, Jean-Marc] Griffith Univ, Sch Environm, Environm Futures Ctr, Griffith, Qld 4222, Australia; [Hughes, Baz] Wildfowl &amp; Wetlands Trust, Slimbridge GL2 7BT, Glos, England; [Hussain, Syed Ainul] Wildlife Inst India, Dehra Dun 248001, Uttar Pradesh, India; [Ishii, Nobuo] Tokyo Womans Christian Univ, Sch Arts &amp; Sci, Suginami Ku, Tokyo 1678585, Japan; [Iskandar, Djoko T.] Inst Teknol Bandung, Sch Life Sci &amp; Technol, Bandung 40132, Indonesia; [Jenkins, Richard K. B.] Univ Kent, Sch Anthropol &amp; Conservat, Durrell Inst Conservat &amp; Ecol, Canterbury CT2 7NR, Kent, England; [Jenkins, Richard K. B.] Bangor Univ, Sch Environm &amp; Nat Resources, Bangor LL57 2UW, Gwynedd, Wales; [Jenkins, Richard K. B.] Madagasikara Voakajy, Antananarivo 101, Madagascar; [Kaneko, Yoshio] Iwate Prefectural Univ, Takizawa, Iwate 0200193, Japan; [Kottelat, Maurice] Natl Univ Singapore, Dept Biol Sci, Raffles Museum Biodivers Res, Singapore 117546, Singapore; [Kovacs, Kit M.] Norwegian Polar Res Inst, N-9296 Tromso, Norway; [Kuzmin, Sergius L.] Russian Acad Sci, Inst Ecol &amp; Evolut, Moscow 119071, Russia; [La Marca, Enrique] Univ Los Andes, Escuela Geog, Lab Biogeog, Merida 5101, Venezuela; [Lamoreux, John F.] IUCN Species Programme, Randolph, NH 03593 USA; [Lau, Michael W. N.] Kadoorie Farm &amp; Bot Garden, Tai Po, Hong Kong, Peoples R China; [Lavilla, Esteban O.] Fdn Miguel Lillo CONICET, Inst Herpetol, RA-4000 San Miguel De Tucuman, Argentina; [Leus, Kristin] European Reg Off, Conservat Breeding Specialist Grp, B-2170 Merksem, Belgium; [Lewison, Rebecca L.] San Diego State Univ, Dept Biol, San Diego, CA 92182 USA; [Lichtenstein, Gabriela] Inst Nacl Antropol &amp; Pensamiento Latinoamer, RA-1426 Buenos Aires, DF, Argentina; [Livingstone, Suzanne R.] Univ Glasgow, Fac Biomed &amp; Life Sci, Glasgow G12 8QQ, Lanark, Scotland; [Lukoschek, Vimoksalehi] Univ Calif Irvine, Dept Ecol &amp; Evolutionary Biol, Irvine, CA 92697 USA; [Lukoschek, Vimoksalehi] James Cook Univ, ARC Ctr Excellence Coral Reef Studies, Townsville, Qld 4811, Australia; [Mallon, David P.] Manchester Metropolitan Univ, Dept Biol Chem &amp; Hlth Sci, Manchester M1 5GD, Lancs, England; [McGowan, Philip J. K.] Newcastle Univ, Biol Field Stn, World Pheasant Assoc, Newcastle Upon Tyne NE15 0HT, Tyne &amp; Wear, England; [Moehlman, Patricia D.] Wildlife Trust Alliance, Arusha, Tanzania; [Molur, Sanjay] Zoo Outreach Org, Coimbatore 641004, Tamil Nadu, India; [Munoz Alonso, Antonio] Colegio Frontera Sur, San Cristobal Las Casas 29290, Chiapas, Mexico; [Musick, John A.] Virginia Inst Marine Sci, Gloucester Point, VA 23062 USA; [Nowell, Kristin] CAT, Cape Neddick, ME 03902 USA; [Nussbaum, Ronald A.] Univ Michigan, Museum Zool, Div Reptiles &amp; Amphibians, Ann Arbor, MI 48109 USA; [Olech, Wanda] Warsaw Univ Life Sci, PL-02786 Warsaw, Poland; [Papenfuss, Theodore J.] Univ Calif Berkeley, Museum Vertebrate Zool, Berkeley, CA 94720 USA; [Parra-Olea, Gabriela] Univ Nacl Autonoma Mexico, Inst Biol, Dept Zool, Mexico City 04510, DF, Mexico; [Perrin, William F.] NOAA, SW Fisheries Sci Ctr, Natl Marine Fisheries Serv, La Jolla, CA 92037 USA; [Pourkazemi, Mohammad] Int Sturgeon Res Inst, Rasht, Iran; [Racey, Paul A.] Univ Exeter Cornwall, Ctr Ecol &amp; Conservat, Penryn TR10 9EZ, England; [Rathbun, Galen] Calif Acad Sci San Francisco, Dept Ornithol &amp; Mammal, Cambria, CA 93428 USA; [Reynolds, Robert P.] Smithsonian Inst, Natl Museum Nat Hist, Patuxent Wildlife Res Ctr, USGS, Washington, DC 20013 USA; [Rhodin, Anders G. J.] Chelonian Res Fdn, Lunenburg, MA 01462 USA; [Richards, Stephen J.] S Australian Museum, Herpetol Dept, Adelaide, SA 5000, Australia; [Richards, Stephen J.] Conservat Int, Rapid Assessment Program, Atherton, Qld 4883, Australia; [Rodriguez, Lily O.] German Tech Cooperat GmbH, Lima 27, Peru; [Ron, Santiago R.] Pontificia Univ Catolica Ecuador, Escuela Biol, Museo Zool, Quito, Ecuador; [de Mitcheson, Yvonne Sadovy] Univ Hong Kong, Sch Biol Sci, Hong Kong, Hong Kong, Peoples R China; [de Mitcheson, Yvonne Sadovy] Soc Conservat Reef Fish Aggregat, San Diego, CA 92126 USA; [Sanders, Kate L.] Univ Adelaide, Sch Earth &amp; Environm Sci, Adelaide, SA 5005, Australia; [Santos-Barrera, Georgina] Univ Nacl Autonoma Mexico, Fac Ciencias, Dept Evolut Biol, Mexico City 04510, DF, Mexico; [Schipper, Jan] Univ Hawaii, Pacific Cooperat Studies Unit, Big Isl Invas Species Comm, Hilo, HI 96720 USA; [Self-Sullivan, Caryn] Sirenian Int, Fredericksburg, VA 22401 USA; [Self-Sullivan, Caryn] Georgia So Univ, Dept Biol, Statesboro, GA 30460 USA; [Shoemaker, Alan] IUCN SSC Tapir Specialist Grp, Columbia, SC 29210 USA; [Short, Frederick T.] Univ New Hampshire, Jackson Estuarine Lab, Dept Nat Resources &amp; Environm, Durham, NH 03824 USA; [Sillero-Zubiri, Claudio] Univ Oxford, Recanati Kaplan Ctr, Dept Zool, Wildlife Conservat Res Unit, Tubney OX13 5QL, England; [Silvano, Debora L.] Univ Catolica Brasilia, Zool Lab, BR-71966700 Taguatinga, DF, Brazil; [Smith, Andrew T.] Arizona State Univ, Sch Life Sci, Tempe, AZ 85287 USA; [Snoeks, Jos] Royal Museum Cent Africa, B-3080 Tervuren, Belgium; [Snoeks, Jos] Katholieke Univ Leuven, Lab Anim Div &amp; Systemat, B-3000 Louvain, Belgium; [Taber, Andrew B.] Jalan CIFOR, Ctr Int Forestry Res, Situ Gede 16115, Bogor Barat, Indonesia; [Talukdar, Bibhab K.] Aaranyak &amp; Int Rhino Fdn, Gauhati 781028, Assam, India; [Temple, Helen J.] Biodivers Consultancy Ltd, Cambridge CB2 9LJ, England; [Tobias, Joseph A.] Univ Oxford, Dept Zool, Edward Grey Inst, Oxford OX1 3PS, England; [Tsytsulina, Katerina] Natl Inst Biol Resources, Vertebrate Res Div, Inchon 404708, South Korea; [Tweddle, Denis] S African Inst Aquat Biodivers, ZA-6140 Grahamstown, South Africa; [Ubeda, Carmen] Univ Nacl Comahue, Ctr Reg Univ Bariloche, Dept Zool, RA-8400 San Carlos De Bariloche, Rio Negro, Argentina; [Veiga, Liza M.] Museu Paraense Emilio Goeldi, BR-66017970 Belem, Para, Brazil; [Veiga, Liza M.] Fed Univ Para, BR-66075110 Belem, Para, Brazil; [Veloso, Alberto] Univ Chile, Fac Ciencias, Dept Ciencias Ecol, Santiago, Chile; [Williamson, Elizabeth A.] Univ Stirling, Dept Psychol, Stirling FK9 4LA, Scotland; [Xie, Feng] Chinese Acad Sci, Chengdu Inst Biol, Chengdu 610041, Peoples R China; [Akcakaya, H. Resit] SUNY Stony Brook, Dept Ecol &amp; Evolut, Stony Brook, NY 11794 USA; [Dublin, Holly T.] IUCN ESARO, African Elephant Specialist Grp, IUCN SSC, Nairobi 00200, Kenya; [Dublin, Holly T.] Wildlife Conservat Soc, Bronx, NY 10460 USA; [da Fonseca, Gustavo A. B.] Global Environm Facil, Washington, DC 20433 USA; [da Fonseca, Gustavo A. B.] Univ Fed Minas Gerais, Dept Zool, BR-31270901 Belo Horizonte, MG, Brazil; [Mace, Georgina M.] Univ London Imperial Coll Sci Technol &amp; Med, Ctr Populat Biol, Ascot SL5 7PY, Berks, England; [Mainka, Susan A.; McNeely, Jeffery A.; Mittermeier, Russell A.; Smart, Jane] IUCN, CH-1196 Gland, Switzerland; [Reid, Gordon McGregor] N England Zool Soc, Chester Zoo, Chester CH2 1LH, Cheshire, England; [Paul Rodriguez, Jon] Inst Venezolano Invest Cient, Ctr Ecol, Caracas 1020A, Venezuela; [Samways, Michael J.] Univ Stellenbosch, Dept Conservat Ecol &amp; Entomol, ZA-7602 Matieland, South Africa; [Stein, Bruce A.] Natl Wildlife Federat, Washington, DC 20004 USA; [Stuart, Simon N.] Univ Bath, Dept Biol &amp; Biochem, Bath BA2 7AY, Avon, England; [Stuart, Simon N.] Al Ain Wildlife Pk &amp; Resort, Abu Dhabi, U Arab Emirates</t>
  </si>
  <si>
    <t>Conservation International; Zoological Society of London; Nature Conservancy; University of the Philippines System; University of the Philippines Los Banos; CGIAR; World Agroforestry (ICRAF); University of Tasmania; BirdLife International; Old Dominion University; Simon Fraser University; Tata Institute of Fundamental Research (TIFR); National Centre for Biological Sciences (NCBS);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Consejo Nacional de Investigaciones Cientificas y Tecnicas (CONICET); Texas A&amp;M University System; Texas A&amp;M University College Station; Western Australian Museum; Consiglio Nazionale delle Ricerche (CNR); Istituto per lo Studio degli Ecosistemi (ISE-CNR); Russian Academy of Sciences; Zoological Institute of the Russian Academy of Sciences; Taronga Conservation Society Australia; Zoological Society of London; Consejo Nacional de Investigaciones Cientificas y Tecnicas (CONICET); Victoria University Wellington; University of Delhi; Universidad Nacional de Tucuman; Miguel Lillo Foundation; Universidad Nacional de Tucuman; Universidad Costa Rica; Universidad del Valle; University of Edinburgh; Universidad del Valle; UK Research &amp; Innovation (UKRI); Natural Environment Research Council (NERC); NERC British Antarctic Survey; University of the Western Cape; Universidade Federal de Amazonas; National Museum of Marine Biology &amp; Aquarium; Sapienza University Rome; Senckenberg Gesellschaft fur Naturforschung (SGN); National Oceanic Atmospheric Admin (NOAA) - USA; Smithsonian Institution; Smithsonian National Museum of Natural History; University of Puerto Rico; University of Puerto Rico Mayaguez; University of Michigan System; University of Michigan; University of Alberta; National Museum of the Philippines; South African National Biodiversity Institute; Royal Botanic Gardens, Kew; Leibniz Institut fur Gewasserokologie und Binnenfischerei (IGB); Minnesota Department of Natural Resources; Natural History Museum London; Zoological Society of San Diego; University of Montana System; University of Montana; Field Museum of Natural History (Chicago); Pennsylvania Commonwealth System of Higher Education (PCSHE); Pennsylvania State University; Pennsylvania State University - University Park; Griffith University; Wildlife Institute of India; Institute Technology of Bandung; University of Kent; Bangor University; Iwate Prefectural University; National University of Singapore; Norwegian Polar Institute; Russian Academy of Sciences; University of Los Andes Venezuela; Consejo Nacional de Investigaciones Cientificas y Tecnicas (CONICET); Miguel Lillo Foundation; California State University System; San Diego State University; University of Glasgow; University of California System; University of California Irvine; James Cook University; Manchester Metropolitan University; Newcastle University - UK; El Colegio de la Frontera Sur (ECOSUR); William &amp; Mary; Virginia Institute of Marine Science; University of Michigan System; University of Michigan; Warsaw University of Life Sciences; University of California System; University of California Berkeley; Universidad Nacional Autonoma de Mexico; National Oceanic Atmospheric Admin (NOAA) - USA; University of Exeter; California Academy of Sciences; United States Department of the Interior; United States Geological Survey; Smithsonian Institution; Smithsonian National Museum of Natural History; Pontificia Universidad Catolica del Ecuador; University of Hong Kong; University of Adelaide; Universidad Nacional Autonoma de Mexico; University of Hawaii System; University Hawaii Hilo; University System of Georgia; Georgia Southern University; University System Of New Hampshire; University of New Hampshire; University of Oxford; Universidade Catolica de Brasilia; Arizona State University; Arizona State University-Tempe; Royal Museum for Central Africa; KU Leuven; CGIAR; Center for International Forestry Research (CIFOR); University of Oxford; National Institute of Biological Resources; National Research Foundation - South Africa; South African Institute for Aquatic Biodiversity; Universidad Nacional del Comahue; Museu Paraense Emilio Goeldi; Universidade Federal do Para; Universidad de Chile; University of Stirling; Chinese Academy of Sciences; Chengdu Institute of Biology, CAS; State University of New York (SUNY) System; State University of New York (SUNY) Stony Brook; Wildlife Conservation Society; Universidade Federal de Minas Gerais; Imperial College London; Venezuelan Institute Science Research; Stellenbosch University; University of Bath</t>
  </si>
  <si>
    <t>Hoffmann, M (corresponding author), United Nations Environm Programme World Conservat, IUCN SSC Species Survival Commiss, 219 Huntingdon Rd, Cambridge CB3 0DL, England.</t>
  </si>
  <si>
    <t>mike.hoffmann@iucn.org</t>
  </si>
  <si>
    <t>Rodrigues, Ana S.L./A-5914-2009; Butchart, Stuart/AAJ-1852-2021; Blackburn, Tim/AAC-3144-2019; Collen, Ben/D-5055-2011; Hoffmann, Michael/E-6419-2010; Derocher, Andrew Edward/J-4469-2012; Fernández, Claudia/KAM-2683-2024; Mace, Georgina M/I-3072-2016; Rodrigues, Ana/GYQ-6273-2022; Collette, Bruce B./AAA-9532-2019; Veiga, Liza/C-6667-2009; Jenkins, Richard KB/A-4567-2012; Hu, Lile/E-7961-2015; Tognelli, Marcelo/L-3958-2019; Bird, Jeremy/JFV-9213-2023; Williamson, Elizabeth/N-8958-2019; Rodriguez, Lily/JVZ-5787-2024; Alonso, Luis Antonio Muñoz/V-7652-2019; Ananjeva, Natalia/AAF-4308-2021; Ron, Santiago R/J-4203-2019; Lobo, Diele/I-9106-2012; Sanders, Kate L/D-1507-2019; Rondinini, Carlo/E-9027-2011; Stein, Bruce/S-5283-2019; Böhm, Michael/C-3638-2011; Orlov, Nikolai/AAF-4316-2021; Harrison, Lucy R/F-9494-2011; Cumberlidge, Neil/I-4044-2019; Iskasndar, Djoko/AAD-2204-2021; Böhm, Monika/E-1153-2018; Hero, Jean-Marc/A-4257-2010; Williamson, Elizabeth/E-4727-2016; Wilkinson, Mark/J-2026-2014; Olech, Wanda/AAB-5072-2022; Williamson, Elizabeth A/B-9090-2011; Rodriguez, Jon P/A-1491-2009; Dulvy, Nicholas/I-2895-2012; Rodriguez, Jon P/G-7224-2012; Akcakaya, H. Resit/A-7830-2008; Diesmos, Arvin C./AGG-8542-2022; Rinaldi2, Carlos/D-4479-2011; Butchart, Stuart HM/Y-2711-2018; Blackburn, Tim M/A-7685-2011; Self-Sullivan, Caryn/H-2605-2012; Lukoschek, Vimoksalehi/C-6126-2013; Donaldson, John/F-6833-2011; Andreone, Franco/H-4942-2012; Silvano, Debora/H-4235-2012; Schipper, Jan/N-5266-2015; Pourkazemi, Mohammad/C-9510-2017; Collen, Ben/F-2543-2016</t>
  </si>
  <si>
    <t>Rodrigues, Ana S.L./0000-0003-4775-0127; Butchart, Stuart/0000-0002-1140-4049; Blackburn, Tim/0000-0003-0152-2663; Hoffmann, Michael/0000-0003-4785-2254; Derocher, Andrew Edward/0000-0002-1104-7774; Mace, Georgina M/0000-0001-8965-5211; Tognelli, Marcelo/0000-0002-9761-4505; Bird, Jeremy/0000-0002-7466-1755; Williamson, Elizabeth/0000-0001-6848-9154; Alonso, Luis Antonio Muñoz/0000-0002-0225-0332; Ron, Santiago R/0000-0001-6300-9350; Iskasndar, Djoko/0000-0002-8923-6081; Williamson, Elizabeth/0000-0001-6848-9154; Wilkinson, Mark/0000-0002-9459-8976; Olech, Wanda/0000-0002-6166-3954; Williamson, Elizabeth A/0000-0001-6848-9154; Rodriguez, Jon P/0000-0001-5019-2870; Dulvy, Nicholas/0000-0002-4295-9725; Akcakaya, H. Resit/0000-0002-8679-5929; Self-Sullivan, Caryn/0000-0003-0785-3682; CASTRO HERRERA, FERNANDO/0000-0002-7626-0103; Brooks, Thomas/0000-0001-8159-3116; Samways, Michael J./0000-0003-4237-6025; Rodriguez, Lily/0000-0002-0366-879X; Lukoschek, Vimoksalehi/0000-0002-0268-3808; Donaldson, John/0000-0002-7930-1695; Ragle, James/0000-0002-5829-3745; Lichtenstein, Gabriela/0000-0002-1717-0941; Andreone, Franco/0000-0001-9809-5818; Silvano, Debora/0000-0001-7349-5962; Diesmos, Arvin/0000-0001-7272-3927; Gerlach, Justin/0000-0002-0157-0449; Schipper, Jan/0000-0002-8338-7874; Richman, Nadia/0000-0003-4072-1622; Ubeda, Carmen/0000-0001-8962-4001; smith, kevin/0000-0002-0785-3028; Molur, Sanjay/0000-0001-8230-518X; Pourkazemi, Mohammad/0000-0002-0496-8049; Sanciangco, Jonnell Cueto/0000-0001-8268-3180; Collen, Ben/0000-0003-2564-4243; Tobias, Joseph/0000-0003-2429-6179; Lavilla, Esteban Orlando/0000-0001-7024-3049; Blanc, Julian/0000-0003-4331-5339; Rondinini, Carlo/0000-0002-6617-018X</t>
  </si>
  <si>
    <t>Natural Environment Research Council [cpb010001, bas0100025] Funding Source: researchfish; NERC [cpb010001, bas0100025] Funding Source: UKRI; Division Of Environmental Biology; Direct For Biological Sciences [0818798] Funding Source: National Science Foundation</t>
  </si>
  <si>
    <t>Natural Environment Research Council(UK Research &amp; Innovation (UKRI)Natural Environment Research Council (NERC)); NERC(UK Research &amp; Innovation (UKRI)Natural Environment Research Council (NERC)); Division Of Environmental Biology; Direct For Biological Sciences(National Science Foundation (NSF)NSF - Directorate for Biological Sciences (BIO))</t>
  </si>
  <si>
    <t>10.1126/science.1194442</t>
  </si>
  <si>
    <t>692LE</t>
  </si>
  <si>
    <t>WOS:000285153500055</t>
  </si>
  <si>
    <t>Hain, MP; Sigman, DM; Haug, GH</t>
  </si>
  <si>
    <t>Hain, Mathis P.; Sigman, Daniel M.; Haug, Gerald H.</t>
  </si>
  <si>
    <t>Carbon dioxide effects of Antarctic stratification, North Atlantic Intermediate Water formation, and subantarctic nutrient drawdown during the last ice age: Diagnosis and synthesis in a geochemical box model</t>
  </si>
  <si>
    <t>SOUTHERN-OCEAN; DEEP-WATER; ATMOSPHERIC CO2; THERMOHALINE CIRCULATION; BENTHIC FORAMINIFERA; BIOLOGICAL PUMP; GLACIAL MAXIMUM; ISOTOPE RECORDS; SEA-ICE; PRODUCTIVITY</t>
  </si>
  <si>
    <t>In a box model synthesis of Southern Ocean and North Atlantic mechanisms for lowering CO2 during ice ages, the CO2 changes are parsed into their component geochemical causes, including the soft-tissue pump, the carbonate pump, and whole ocean alkalinity. When the mechanisms are applied together, their interactions greatly modify the net CO2 change. Combining the Antarctic mechanisms (stratification, nutrient drawdown, and sea ice cover) within bounds set by observations decreases CO2 by no more than 36 ppm, a drawdown that could be caused by any one of these mechanisms in isolation. However, these Antarctic changes reverse the CO2 effect of the observed ice age shoaling of North Atlantic overturning: in isolation, the shoaling raises CO2 by 16 ppm, but alongside the Antarctic changes, it lowers CO2 by an additional 13 ppm, a 29 ppm synergy. The total CO2 decrease does not reach 80 ppm, partly because Antarctic stratification, Antarctic sea ice cover, and the shoaling of North Atlantic overturning all strengthen the sequestration of alkalinity in the deepest ocean, which increases CO2 both by itself and by decreasing whole ocean alkalinity. Increased nutrient consumption in the sub-Antarctic causes as much as an additional 35 ppm CO2 decrease, interacting minimally with the other changes. With its inclusion, the lowest ice age CO2 levels are within reach. These findings may bear on the two-stepped CO2 decrease of the last ice age.</t>
  </si>
  <si>
    <t>[Hain, Mathis P.; Sigman, Daniel M.] Princeton Univ, Dept Geosci, Princeton, NJ 08544 USA; [Hain, Mathis P.; Haug, Gerald H.] Univ Potsdam, DFG Leibniz Ctr Surface Proc &amp; Climate Studies, Inst Geowissensch, Potsdam, Germany; [Haug, Gerald H.] Swiss Fed Inst Technol, Dept Earth Sci, Inst Geol, CH-8092 Zurich, Switzerland</t>
  </si>
  <si>
    <t>Princeton University; University of Potsdam; Swiss Federal Institutes of Technology Domain; ETH Zurich</t>
  </si>
  <si>
    <t>Hain, MP (corresponding author), Princeton Univ, Dept Geosci, Guyot Hall, Princeton, NJ 08544 USA.</t>
  </si>
  <si>
    <t>mhain@princeton.edu</t>
  </si>
  <si>
    <t>Hain, Mathis P/I-5252-2012; Sigman, Daniel M./A-2649-2008; Sigman, Daniel M./IYJ-2613-2023</t>
  </si>
  <si>
    <t>Hain, Mathis P/0000-0002-8478-1857; Sigman, Daniel M./0000-0002-7923-1973;</t>
  </si>
  <si>
    <t>US NSF; German DFG; Humboldt and MacArthur Foundations; Siebel Energy Grand Challenge at Princeton</t>
  </si>
  <si>
    <t>US NSF(National Science Foundation (NSF)); German DFG(German Research Foundation (DFG)); Humboldt and MacArthur Foundations; Siebel Energy Grand Challenge at Princeton</t>
  </si>
  <si>
    <t>We thank J. R. Toggweiler for insightful discussion. Comments by two anonymous reviewers improved the manuscript. Support was provided by the US NSF, the German DFG, the Humboldt and MacArthur Foundations, the Siebel Energy Grand Challenge at Princeton, and O. Happel.</t>
  </si>
  <si>
    <t>DEC 8</t>
  </si>
  <si>
    <t>GB4023</t>
  </si>
  <si>
    <t>10.1029/2010GB003790</t>
  </si>
  <si>
    <t>693WS</t>
  </si>
  <si>
    <t>WOS:000285256700002</t>
  </si>
  <si>
    <t>Holzer, M; Primeau, FW</t>
  </si>
  <si>
    <t>Holzer, Mark; Primeau, Francois W.</t>
  </si>
  <si>
    <t>Improved constraints on transit time distributions from argon 39: A maximum entropy approach</t>
  </si>
  <si>
    <t>ANTARCTIC BOTTOM WATER; ATLANTIC DEEP-WATER; OCEAN; AR-39; AGE; CIRCULATION; THERMOCLINE; TRANSPORT; CARBON; C-14</t>
  </si>
  <si>
    <t>We use Ar-39 in conjunction with CFCs, natural radiocarbon, and the cyclostationary tracers PO4*, temperature, and salinity to estimate the ocean's transit time distributions (TTDs). A maximum entropy method is employed to deconvolve the tracer data for the TTDs. The constraint provided by the Ar-39 data allows us to estimate TTDs even in the deep Pacific where CFCs have not yet penetrated. From the TTDs, we calculate the ideal mean age, Gamma, the TTD width, Delta, and the mass fraction of water with transit times less than a century, f(1). We also quantify the entropic uncertainties due to the nonuniqueness of the deconvolutions. In the Atlantic, the patterns of Gamma and f(1) reflect the distribution of the major water masses. At the deepest locations in the North Atlantic Gamma similar or equal to 300(-100)(+300) a, while at the deepest locations in the South Atlantic Gamma similar or equal to 500(-100)(+200) a. The Pacific is nearly homogeneous below 2000 m with Gamma similar or equal to 1300(-50)(+200) a in the North Pacific and Gamma similar or equal to 900(-100)(+200) a in the deep South Pacific. The Southern Ocean locations have little vertical structure, with Gamma ranging from 300 to 450 a with an uncertainty of about (+150)(-40) a. The importance of diffusion compared to advection as quantified by Delta/Gamma has most probable values ranging from 0.2 to 3 but with large entropic uncertainty bounds ranging from 0.2 to 9. For the majority of locations analyzed, the effect of Ar-39 is to reduce f(1) and to correspondingly increase G by about a century. The additional constraint provided by Ar-39 reduces the entropic uncertainties of f(1) by roughly 50% on average.</t>
  </si>
  <si>
    <t>[Holzer, Mark] Univ New S Wales, Sch Math &amp; Stat, Dept Appl Math, Sydney, NSW 2052, Australia; [Primeau, Francois W.] Univ Calif Irvine, Dept Earth Syst Sci, Irvine, CA 92697 USA; [Holzer, Mark] Columbia Univ, Dept Appl Phys &amp; Appl Math, New York, NY USA</t>
  </si>
  <si>
    <t>University of New South Wales Sydney; University of California System; University of California Irvine; Columbia University</t>
  </si>
  <si>
    <t>Holzer, M (corresponding author), Univ New S Wales, Sch Math &amp; Stat, Dept Appl Math, Sydney, NSW 2052, Australia.</t>
  </si>
  <si>
    <t>mholzer@unsw.edu.au; fprimeau@uci.edu</t>
  </si>
  <si>
    <t>Primeau, Francois/A-7310-2011; Holzer, Mark/E-8735-2011</t>
  </si>
  <si>
    <t>Primeau, Francois/0000-0001-7452-9415; Holzer, Mark/0000-0002-9568-1763</t>
  </si>
  <si>
    <t>NSF (Columbia) [OCE-0727229]; NSF (UC Irvine) [OCE-0726871]</t>
  </si>
  <si>
    <t>NSF (Columbia); NSF (UC Irvine)(National Science Foundation (NSF))</t>
  </si>
  <si>
    <t>This work was supported by NSF grants OCE-0727229 (Columbia) and OCE-0726871 (UC Irvine). We thank Bill Smethie for discussions and for making the thesis of Rodriguez [1993] available to us.</t>
  </si>
  <si>
    <t>C12021</t>
  </si>
  <si>
    <t>10.1029/2010JC006410</t>
  </si>
  <si>
    <t>693XV</t>
  </si>
  <si>
    <t>WOS:000285259600002</t>
  </si>
  <si>
    <t>Channell, JET; Hodell, DA; Singer, BS; Xuan, C</t>
  </si>
  <si>
    <t>Channell, J. E. T.; Hodell, D. A.; Singer, B. S.; Xuan, C.</t>
  </si>
  <si>
    <t>Reconciling astrochronological and 40Ar/39Ar ages for the Matuyama-Brunhes boundary and late Matuyama Chron</t>
  </si>
  <si>
    <t>GEOCHEMISTRY GEOPHYSICS GEOSYSTEMS</t>
  </si>
  <si>
    <t>argon ages; magnetic reversals; astrochronology; magnetic excursions; Matuyama-Brunhes boundary</t>
  </si>
  <si>
    <t>TRANSITIONALLY MAGNETIZED LAVAS; ASTRONOMICAL CALIBRATION; INSOLATION QUANTITIES; CLIMATE VARIABILITY; POLARITY REVERSALS; DECAY CONSTANTS; BISHOP TUFF; TIME-SCALE; ICE CORE; U-PB</t>
  </si>
  <si>
    <t>When five Matuyama-Brunhes (M-B) boundary records from the North Atlantic are placed on isotope age models, produced by correlation of the delta O-18 record directly or indirectly to an ice volume model, the M-B boundary lies consistently at the young end of marine isotope stage 19 with a mean age for the midpoint of the reversal of 773.1 ka (standard deviation = 0.4 kyr), similar to 7 kyr younger than the presently accepted astrochronological age for this polarity reversal (780-781 ka). Two recently proposed revisions of the age of the 40Ar/39Ar Fish Canyon sanidine (FCs) standard to 28.201 +/- 0.046 Ma and 28.305 +/- 0.036 Ma would adjust 40Ar/39Ar ages applicable to the M-B boundary (and other reversals and excursions back to 1.2 Ma) to ages older than the new astrochronological ages by 8-24 kyr. The variables used to construct the ice volume models cannot account for the discrepancy. The FCs standard age that best fits the astrochronological ages is 27.93 Ma, which is within the uncertainty associated with the commonly used value of 28.02 (+/- 0.16) Ma but younger than the recently proposed FCs ages. The EDC2 and EDC3 age models in the Dome C (Antarctic) ice core yield ages of 771.7 ka and 766.4 ka, respectively, for the Be-10 flux peak that denotes the paleointensity minimum at the reversal boundary, implying that the EDC2 (rather than EDC3) age model is consistent with the observations from marine sediments, at least close to the M-B boundary.</t>
  </si>
  <si>
    <t>[Channell, J. E. T.; Xuan, C.] Univ Florida, Dept Geol Sci, Gainesville, FL 32611 USA; [Hodell, D. A.] Univ Cambridge, Dept Earth Sci, Cambridge CB2 3EQ, England; [Singer, B. S.] Univ Wisconsin, Dept Geosci, Madison, WI 53706 USA</t>
  </si>
  <si>
    <t>State University System of Florida; University of Florida; University of Cambridge; University of Wisconsin System; University of Wisconsin Madison</t>
  </si>
  <si>
    <t>Channell, JET (corresponding author), Univ Florida, Dept Geol Sci, Gainesville, FL 32611 USA.</t>
  </si>
  <si>
    <t>jetc@ufl.edu</t>
  </si>
  <si>
    <t>Singer, Brad S/HNC-4900-2023; Xuan, Chuang/E-2039-2011; Singer, Bradley/F-4991-2012</t>
  </si>
  <si>
    <t>Singer, Brad S/0000-0003-3595-5168; Singer, Bradley/0000-0003-3595-5168; Xuan, Chuang/0000-0003-4043-3073; Hodell, David/0000-0001-8537-1588</t>
  </si>
  <si>
    <t>NSF [OCE-0850413, OCE-1014506, EAR-0959108]; Natural Environment Research Council [NE/H009930/1] Funding Source: researchfish; NERC [NE/H009930/1] Funding Source: UKRI; Directorate For Geosciences; Division Of Ocean Sciences [0850413] Funding Source: National Science Foundation</t>
  </si>
  <si>
    <t>NSF(National Science Foundation (NSF)); Natural Environment Research Council(UK Research &amp; Innovation (UKRI)Natural Environment Research Council (NERC)); NERC(UK Research &amp; Innovation (UKRI)Natural Environment Research Council (NERC)); Directorate For Geosciences; Division Of Ocean Sciences(National Science Foundation (NSF)NSF - Directorate for Geosciences (GEO))</t>
  </si>
  <si>
    <t>We thank Paul Renne, Joel Baker, Matt Heizler, and an anonymous reviewer for journal reviews and Kyle Min and David Sawyer for comments on an early version of the manuscript. Patricia Feretti provided stable isotope data from the M-B boundary interval at ODP Site 1063. Research was supported by NSF through grants OCE-0850413, OCE-1014506, and EAR-0959108.</t>
  </si>
  <si>
    <t>1525-2027</t>
  </si>
  <si>
    <t>GEOCHEM GEOPHY GEOSY</t>
  </si>
  <si>
    <t>Geochem. Geophys. Geosyst.</t>
  </si>
  <si>
    <t>DEC 7</t>
  </si>
  <si>
    <t>Q0AA12</t>
  </si>
  <si>
    <t>10.1029/2010GC003203</t>
  </si>
  <si>
    <t>693VA</t>
  </si>
  <si>
    <t>WOS:000285252300001</t>
  </si>
  <si>
    <t>Lichtenberger, J; Ferencz, C; Hamar, D; Steinbach, P; Rodger, CJ; Clilverd, MA; Collier, AB</t>
  </si>
  <si>
    <t>Lichtenberger, Janos; Ferencz, Csaba; Hamar, Daniel; Steinbach, Peter; Rodger, Craig J.; Clilverd, Mark A.; Collier, Andrew B.</t>
  </si>
  <si>
    <t>Automatic Whistler Detector and Analyzer system: Implementation of the analyzer algorithm</t>
  </si>
  <si>
    <t>ELECTRON-DENSITY; PLASMASPHERE; SIGNALS</t>
  </si>
  <si>
    <t>The full potential of whistlers for monitoring plasmaspheric electron density variations has not yet been realized. The primary reason is the vast human effort required for the analysis of whistler traces. Recently, the first part of a complete whistler analysis procedure was successfully automated, i.e., the automatic detection of whistler traces from the raw broadband VLF signal was achieved. This study describes a new algorithm developed to determine plasmaspheric electron density measurements from whistler traces, based on a Virtual (Whistler) Trace Transformation, using a 2-D fast Fourier transform transformation. This algorithm can be automated and can thus form the final step to complete an Automatic Whistler Detector and Analyzer (AWDA) system. In this second AWDA paper, the practical implementation of the Automatic Whistler Analyzer (AWA) algorithm is discussed and a feasible solution is presented. The practical implementation of the algorithm is able to track the variations of plasmasphere in quasi real time on a PC cluster with 100 CPU cores. The electron densities obtained by the AWA method can be used in investigations such as plasmasphere dynamics, ionosphere-plasmasphere coupling, or in space weather models.</t>
  </si>
  <si>
    <t>[Lichtenberger, Janos; Ferencz, Csaba; Hamar, Daniel] Eotvos Lorand Univ, Dept Geophys &amp; Space Sci, Space Res Grp, H-1117 Budapest, Hungary; [Collier, Andrew B.] Hemanus Magnet Observ, ZA-7200 Hermanus, South Africa; [Clilverd, Mark A.] British Antarctic Survey, Cambridge CB3 0ET, England; [Rodger, Craig J.] Univ Otago, Dept Phys, Dunedin 9054, New Zealand; [Steinbach, Peter] Hungarian Acad Sci, Res Grp Geol Geophys &amp; Space Sci, H-1117 Budapest, Hungary; [Collier, Andrew B.] Univ KwaZulu Natal, Sch Phys, Durban, South Africa</t>
  </si>
  <si>
    <t>Eotvos Lorand University; UK Research &amp; Innovation (UKRI); Natural Environment Research Council (NERC); NERC British Antarctic Survey; University of Otago; Hungarian Academy of Sciences; University of Kwazulu Natal</t>
  </si>
  <si>
    <t>Lichtenberger, J (corresponding author), Eotvos Lorand Univ, Dept Geophys &amp; Space Sci, Space Res Grp, H-1117 Budapest, Hungary.</t>
  </si>
  <si>
    <t>spacerg@sas.elte.hu; spacerg@sas.elte.hu; crodger@physiscs.oatgo.ac.nz; macl@bas.ac.uk; collierab@gmail.com</t>
  </si>
  <si>
    <t>Collier, Andrew B/H-3752-2011; Rodger, Craig/A-1501-2011; Lichtenberger, Janos/K-1034-2018</t>
  </si>
  <si>
    <t>Steinbach, Peter/0000-0003-2524-8494; Lichtenberger, Janos/0000-0001-9175-9255; Rodger, Craig J./0000-0002-6770-2707</t>
  </si>
  <si>
    <t>Hungarian Space Office; NERC [bas0100023] Funding Source: UKRI; Natural Environment Research Council [bas0100023] Funding Source: researchfish</t>
  </si>
  <si>
    <t>Hungarian Space Office; NERC(UK Research &amp; Innovation (UKRI)Natural Environment Research Council (NERC)); Natural Environment Research Council(UK Research &amp; Innovation (UKRI)Natural Environment Research Council (NERC))</t>
  </si>
  <si>
    <t>This work was supported by the Hungarian Space Office.</t>
  </si>
  <si>
    <t>A12214</t>
  </si>
  <si>
    <t>10.1029/2010JA015931</t>
  </si>
  <si>
    <t>693WJ</t>
  </si>
  <si>
    <t>WOS:000285255800006</t>
  </si>
  <si>
    <t>Potvin, J; Goldbogen, JA; Shadwick, RE</t>
  </si>
  <si>
    <t>Potvin, J.; Goldbogen, J. A.; Shadwick, R. E.</t>
  </si>
  <si>
    <t>Scaling of lunge feeding in rorqual whales: An integrated model of engulfment duration</t>
  </si>
  <si>
    <t>JOURNAL OF THEORETICAL BIOLOGY</t>
  </si>
  <si>
    <t>Lunge feeding; Rorqual whales; Allometry; Foraging; Predator-prey relationships</t>
  </si>
  <si>
    <t>KRILL EUPHAUSIA-SUPERBA; FIN WHALES; ANTARCTIC KRILL; DIVING BEHAVIOR; PREY CAPTURE; PREDATOR; SIZE; PERFORMANCE; LOCOMOTION; CAPACITY</t>
  </si>
  <si>
    <t>Rorqual whales (Balaenopteridae) obtain their food by lunge feeding, a dynamic process that involves the intermittent engulfment and filtering of large amounts of water and prey. During a lunge, whales accelerate to high speed and open their mouth wide, thereby exposing a highly distensible buccal cavity to the flow and facilitating its inflation. Unsteady hydrodynamic models suggest that the muscles associated with the ventral groove blubber undergo eccentric contraction in order to stiffen and control the inflation of the buccal cavity; in doing so the engulfed water mass is accelerated forward as the whale's body slows down. Although the basic mechanics of lunge feeding are relatively well known, the scaling of this process remains poorly understood, particularly with regards to its duration (from mouth opening to closure). Here we formulate a new theory of engulfment time which integrates prey escape behavior with the mechanics of the whale's body, including lunge speed and acceleration, gape angle dynamics, and the controlled inflation of the buccal cavity. Given that the complex interaction between these factors must be highly coordinated in order to maximize engulfment volume, the proposed formulation rests on the scenario of Synchronized Engulfment, whereby the filling of the cavity (posterior to the temporomandibular joint) coincides with the moment of maximum gape. When formulated specifically for large rorquals feeding on krill, our analysis predicts that engulfment time increases with body size, but in amounts dictated by the specifics of krill escape and avoidance kinematics. The predictions generated by the model are corroborated by limited empirical data on a species-specific basis, particularly for humpback and blue whales chasing krill. A sensitivity analysis applied to all possible sized fin whales also suggests that engulfment duration and lunge speed will increase intra-specifically with body size under a wide range of predator-prey scenarios. This study provides the theoretical framework required to estimate the scaling of the mass-specific drag being generated during engulfment, as well as the energy expenditures incurred. (C) 2010 Elsevier Ltd. All rights reserved.</t>
  </si>
  <si>
    <t>[Potvin, J.] St Louis Univ, Dept Phys, St Louis, MO 63103 USA; [Goldbogen, J. A.; Shadwick, R. E.] Univ British Columbia, Dept Zool, Vancouver, BC V6T 1Z4, Canada; [Goldbogen, J. A.] Univ Calif San Diego, Scripps Inst Oceanog, La Jolla, CA 92093 USA</t>
  </si>
  <si>
    <t>Saint Louis University; University of British Columbia; University of California System; University of California San Diego; Scripps Institution of Oceanography</t>
  </si>
  <si>
    <t>Potvin, J (corresponding author), St Louis Univ, Dept Phys, 3450 Lindell Blvd, St Louis, MO 63103 USA.</t>
  </si>
  <si>
    <t>potvinj@slu.edu</t>
  </si>
  <si>
    <t>Goldbogen, Jeremy A./H-4287-2019</t>
  </si>
  <si>
    <t>Goldbogen, Jeremy A./0000-0002-4170-7294</t>
  </si>
  <si>
    <t>NSERC; University Graduate Fellowship; Saint Louis University</t>
  </si>
  <si>
    <t>NSERC(Natural Sciences and Engineering Research Council of Canada (NSERC)); University Graduate Fellowship; Saint Louis University</t>
  </si>
  <si>
    <t>Funding was provided by NSERC to R.E.S. and a University Graduate Fellowship to J.A.G.J.P. would like to thank Saint Louis University and the NSERC for the financial support provided to him for the completion of this project. The authors thank Bill Hamner for his correspondence on krill biology.</t>
  </si>
  <si>
    <t>ACADEMIC PRESS LTD- ELSEVIER SCIENCE LTD</t>
  </si>
  <si>
    <t>24-28 OVAL RD, LONDON NW1 7DX, ENGLAND</t>
  </si>
  <si>
    <t>0022-5193</t>
  </si>
  <si>
    <t>1095-8541</t>
  </si>
  <si>
    <t>J THEOR BIOL</t>
  </si>
  <si>
    <t>J. Theor. Biol.</t>
  </si>
  <si>
    <t>10.1016/j.jtbi.2010.08.026</t>
  </si>
  <si>
    <t>Biology; Mathematical &amp; Computational Biology</t>
  </si>
  <si>
    <t>Life Sciences &amp; Biomedicine - Other Topics; Mathematical &amp; Computational Biology</t>
  </si>
  <si>
    <t>675JA</t>
  </si>
  <si>
    <t>WOS:000283825200019</t>
  </si>
  <si>
    <t>Williams, C; Flower, BP; Hastings, DW; Guilderson, TP; Quinn, KA; Goddard, EA</t>
  </si>
  <si>
    <t>Williams, Carlie; Flower, Benjamin P.; Hastings, David W.; Guilderson, Thomas P.; Quinn, Kelly A.; Goddard, Ethan A.</t>
  </si>
  <si>
    <t>Deglacial abrupt climate change in the Atlantic Warm Pool: A Gulf of Mexico perspective</t>
  </si>
  <si>
    <t>SEA-SURFACE TEMPERATURE; YOUNGER DRYAS CLIMATE; LAURENTIDE ICE-SHEET; LAST GLACIAL PERIOD; PLANKTONIC-FORAMINIFERA; NORTH-ATLANTIC; THERMOHALINE CIRCULATION; VARIABILITY; MG/CA; CALIBRATION</t>
  </si>
  <si>
    <t>During the last deglaciation, Greenland ice core and North Atlantic sediment records exhibit multiple abrupt climate events including the Younger Dryas cold episode (12.9-11.7 ka). However, evidence for the presence of the Younger Dryas in the Gulf of Mexico (GOM) and the relationship between GOM sea surface temperature (SST) and high-latitude climate change is less clear. We present new Mg/Ca-SST records from two varieties of the planktonic foraminifer Globigerinoides ruber (white and pink) to assess northern GOM SST history from approximately 18.4-10.8 ka. Thirty-five accelerator mass spectrometry (AMS) C-14 dates from Orca Basin core MD02-2550 provide excellent age control and document high sedimentation rates (similar to 40 cm/kyr). G. ruber (white and pink) Mg/Ca-SST data exhibit increases (similar to 4.6 +/- 0.6 degrees C and similar to 2.2 +/- 0.5 degrees C, respectively) from at least 17.8-16.6 ka, with nearly decadal resolution that are early relative to the onset of the Bolling-Allerod interstadial. Moreover, G. ruber (white) SST decreases at 16.0-14.7 ka (similar to 1.0 +/- 0.5 degrees C) and 12.8-11.6 ka (similar to 2.4 +/- 0.6 degrees C) correlate to the Oldest and Younger Dryas in Greenland and Cariaco Basin. The G. ruber (pink) SST record, which reflects differences in seasonality and/or depth habitat, is often not in phase with G. ruber (white) and closely resembles Antarctic air temperature records. Overall, it appears that Orca Basin SST records follow Antarctic air temperature early in the deglacial sequence and exhibit enhanced seasonality during Greenland stadials.</t>
  </si>
  <si>
    <t>[Williams, Carlie; Flower, Benjamin P.; Quinn, Kelly A.; Goddard, Ethan A.] Univ S Florida, Coll Marine Sci, St Petersburg, FL 33701 USA; [Guilderson, Thomas P.] Lawrence Livermore Natl Lab, Ctr Accelerator Mass Spectrometry, Livermore, CA 94551 USA; [Hastings, David W.] Eckerd Coll, Coll Nat Sci, St Petersburg, FL 33713 USA</t>
  </si>
  <si>
    <t>State University System of Florida; University of South Florida; United States Department of Energy (DOE); Lawrence Livermore National Laboratory</t>
  </si>
  <si>
    <t>Williams, C (corresponding author), Univ S Florida, Coll Marine Sci, 140 7th Ave S, St Petersburg, FL 33701 USA.</t>
  </si>
  <si>
    <t>cwilliams@mail.usf.edu</t>
  </si>
  <si>
    <t>Goddard, Ethan/0000-0001-6749-7937; Guilderson, Thomas/0000-0001-9371-7059</t>
  </si>
  <si>
    <t>Gary Comer Science and Education Foundation [CP-18]; National Science Foundation [OCE-0318361, OCE-0903017]; U.S. Department of Energy by Lawrence Livermore National Laboratory [W-7405-Eng-48]; Division Of Ocean Sciences; Directorate For Geosciences [0903017] Funding Source: National Science Foundation</t>
  </si>
  <si>
    <t>Gary Comer Science and Education Foundation; National Science Foundation(National Science Foundation (NSF)); U.S. Department of Energy by Lawrence Livermore National Laboratory(United States Department of Energy (DOE)); Division Of Ocean Sciences; Directorate For Geosciences(National Science Foundation (NSF)NSF - Directorate for Geosciences (GEO))</t>
  </si>
  <si>
    <t>We thank the IMAGES program, Viviane Bout-Roumazeilles, Yvon Balut, and Laurent Labeyrie for a productive cruise on the R/V Marion Dufresne in 2002. This work was supported by the Gary Comer Science and Education Foundation (CP-18 to B. P. F. and D. W. H.), with partial support from the National Science Foundation under grants OCE-0318361 and OCE-0903017. Radiocarbon analyses were performed under the auspices of the U.S. Department of Energy by Lawrence Livermore National Laboratory (contract W-7405-Eng-48). We also thank Jessica Spear, Julie Richey, and USF Paleo lab members for useful discussions and Eckerd College interns Hilary Browning, Kaela Wuestoff, Katie Slatterey, and Missy Gilbert for help in sample preparation. We thank Rainer Zahn, Stefan Mulitza, and an anonymous reviewer for insightful reviews.</t>
  </si>
  <si>
    <t>PA4221</t>
  </si>
  <si>
    <t>10.1029/2010PA001928</t>
  </si>
  <si>
    <t>693WZ</t>
  </si>
  <si>
    <t>WOS:000285257400002</t>
  </si>
  <si>
    <t>Sergienko, OV</t>
  </si>
  <si>
    <t>Sergienko, O. V.</t>
  </si>
  <si>
    <t>Elastic response of floating glacier ice to impact of long-period ocean waves</t>
  </si>
  <si>
    <t>JOURNAL OF GEOPHYSICAL RESEARCH-EARTH SURFACE</t>
  </si>
  <si>
    <t>FRACTURE-MECHANICS APPROACH; SHELF RIFT PROPAGATION; BOTTOM CREVASSES; CALVING GLACIERS; TIDAL FLEXURE; ANTARCTICA; STREAM; PENETRATION; MARGINS; TONGUE</t>
  </si>
  <si>
    <t>Disintegration of ice shelves along the Antarctic Peninsula over the past two decades has clearly demonstrated their high sensitivity to recent changes in the local thermal regime of the atmosphere and ocean and has given rise to the question of whether mechanical coupling with waves in the ocean may provide the triggering mechanism that starts collapse events. Motivated by these events, this study considers a more general question: how ocean waves affect the stress regime of floating ice, and in particular, how ocean waves can influence the creation of fractures and its fatiguing that may lead to breakup and collapse. A new treatment of ice shelf/ocean wave interaction in which the typical thin plate approximation is relaxed is presented here, and exact, analytic solutions describing ice shelf stresses induced by long (&gt;60 s period) ocean waves in various idealized ice/ocean geometries are derived. The numerical calculations demonstrate that the amplitudes of the wave-induced stresses are sufficiently large to initiate top to bottom crevasse penetration through the depth of the ice shelf. The cyclic nature of the wave-induced stresses contributes to ice fatigue and damage that is also a precursor to ice shelf disintegration. Although primarily theoretical, the results of the present analysis suggest that ocean waves could be a potential trigger of ice shelf collapse as well as less dramatic, but equally important, episodic calving.</t>
  </si>
  <si>
    <t>Princeton Univ, Atmospher &amp; Ocean Sci Geophys Fluid Dynam Lab, Princeton, NJ 08540 USA</t>
  </si>
  <si>
    <t>Princeton University; National Oceanic Atmospheric Admin (NOAA) - USA</t>
  </si>
  <si>
    <t>Sergienko, OV (corresponding author), Princeton Univ, Atmospher &amp; Ocean Sci Geophys Fluid Dynam Lab, 201 Forrestal Rd, Princeton, NJ 08540 USA.</t>
  </si>
  <si>
    <t>Sergienko, Olga/0000-0002-5764-8815</t>
  </si>
  <si>
    <t>NSF [OPP-0838811, CMG-0934534]; Office of Polar Programs (OPP); Directorate For Geosciences [0934534] Funding Source: National Science Foundation</t>
  </si>
  <si>
    <t>NSF(National Science Foundation (NSF)); Office of Polar Programs (OPP); Directorate For Geosciences(National Science Foundation (NSF)NSF - Directorate for Geosciences (GEO))</t>
  </si>
  <si>
    <t>I would like to thank Doug MacAyeal, Allan Rubin, Peter Bromirski, Christina Hulbe, and Richard Hindmarsh for fruitful discussions and for help with initial drafts of the manuscript. Constructive criticism and valuable comments provided by Jeremy Bassis, the Associate Editor, and two anonymous reviewers are highly appreciated. This research is supported by a NSF grants OPP-0838811 and CMG-0934534.</t>
  </si>
  <si>
    <t>2169-9003</t>
  </si>
  <si>
    <t>2169-9011</t>
  </si>
  <si>
    <t>J GEOPHYS RES-EARTH</t>
  </si>
  <si>
    <t>J. Geophys. Res.-Earth Surf.</t>
  </si>
  <si>
    <t>DEC 4</t>
  </si>
  <si>
    <t>F04028</t>
  </si>
  <si>
    <t>10.1029/2010JF001721</t>
  </si>
  <si>
    <t>690QG</t>
  </si>
  <si>
    <t>WOS:000285018700001</t>
  </si>
  <si>
    <t>Clilverd, MA; Rodger, CJ; Gamble, RJ; Ulich, T; Raita, T; Seppälä, A; Green, JC; Thomson, NR; Sauvaud, JA; Parrot, M</t>
  </si>
  <si>
    <t>Clilverd, Mark A.; Rodger, Craig J.; Gamble, Rory J.; Ulich, Thomas; Raita, Tero; Seppala, Annika; Green, Janet C.; Thomson, Neil R.; Sauvaud, Jean-Andre; Parrot, Michel</t>
  </si>
  <si>
    <t>Ground-based estimates of outer radiation belt energetic electron precipitation fluxes into the atmosphere</t>
  </si>
  <si>
    <t>SPECTROMETER; AMPLITUDE; STORMS; WAVES; PHASE</t>
  </si>
  <si>
    <t>AARDDVARK data from a radio wave receiver in Sodankyla, Finland have been used to monitor transmissions across the auroral oval and just into the polar cap from the very low frequency communications transmitter, call sign NAA (24.0 kHz, 44 degrees N, 67 degrees W, L = 2.9), in Maine, USA, since 2004. The transmissions are influenced by outer radiation belt (L = 3-7) energetic electron precipitation. In this study, we have been able to show that the observed transmission amplitude variations can be used to determine routinely the flux of energetic electrons entering the upper atmosphere along the total path and between 30 and 90 km. Our analysis of the NAA observations shows that electron precipitation fluxes can vary by 3 orders of magnitude during geomagnetic storms. Typically when averaging over L = 3-7 we find that the &gt;100 keV POES trapped fluxes peak at about 10(6) el. cm(-2) s(-1) sr(-1) during geomagnetic storms, with the DEMETER &gt;100 keV drift loss cone showing peak fluxes of 105 el. cm(-2) s(-1) sr(-1), and both the POES &gt;100 keV loss fluxes and the NAA ground-based &gt;100 keV precipitation fluxes showing peaks of similar to 10(4) el. cm(-2) s(-1) sr(-1). During a geomagnetic storm in July 2005, there were systematic MLT variations in the fluxes observed: electron precipitation flux in the midnight sector (22-06 MLT) exceeded the fluxes from the morning side (0330-1130 MLT) and also from the afternoon sector (1130-1930 MLT). The analysis of NAA amplitude variability has the potential of providing a detailed, near real-time, picture of energetic electron precipitation fluxes from the outer radiation belts.</t>
  </si>
  <si>
    <t>[Clilverd, Mark A.; Seppala, Annika] British Antarctic Survey, NERC, Cambridge CB3 0ET, England; [Rodger, Craig J.; Gamble, Rory J.; Thomson, Neil R.] Univ Otago, Dept Phys, Dunedin, New Zealand; [Green, Janet C.] NOAA, Space Weather Predict Ctr, Boulder, CO 80305 USA; [Parrot, Michel] Lab Phys &amp; Chim Environm &amp; Espace, F-45071 Orleans 2, France; [Ulich, Thomas; Raita, Tero] Univ Oulu, Sodankyla Geophys Observ, Sodankyla, Finland; [Sauvaud, Jean-Andre] Ctr Etud Spatiale Rayonnements, F-31028 Toulouse 4, France; [Seppala, Annika] Finnish Meteorol Inst, FIN-00101 Helsinki, Finland</t>
  </si>
  <si>
    <t>UK Research &amp; Innovation (UKRI); Natural Environment Research Council (NERC); NERC British Antarctic Survey; University of Otago; National Oceanic Atmospheric Admin (NOAA) - USA; University of Oulu; Universite de Toulouse; Universite Toulouse III - Paul Sabatier; Finnish Meteorological Institute</t>
  </si>
  <si>
    <t>Clilverd, MA (corresponding author), British Antarctic Survey, NERC, Madingley Rd, Cambridge CB3 0ET, England.</t>
  </si>
  <si>
    <t>macl@bas.ac.uk; crodger@physics.otago.ac.nz; rgamble@physics.otago.ac.nz; thu@sgo.fi; tero.raita@sgo.fi; annika.seppala@bas.ac.uk; janet.green@noaa.gov; n_thomson@physics.otago.ac.nz; sauvaud@cesr.fr; mparrot@cnrs-orleans.fr</t>
  </si>
  <si>
    <t>Seppälä, Annika/C-8031-2014; Ulich, Thomas/G-3727-2018; Rodger, Craig/A-1501-2011</t>
  </si>
  <si>
    <t>Seppälä, Annika/0000-0002-5028-8220; Ulich, Thomas/0000-0001-8217-022X; Parrot, Michel/0000-0003-0905-5721; Raita, Tero/0000-0002-0455-5746; Rodger, Craig J./0000-0002-6770-2707</t>
  </si>
  <si>
    <t>Finnish Academy; LAPBIAT2 program [RITA-CT-2006-025969]; EPPIC [PIEF-GA-2009-237461]; Centre National d'Etudes Spatiales (CNES); NERC [bas0100023] Funding Source: UKRI; Natural Environment Research Council [bas0100023] Funding Source: researchfish</t>
  </si>
  <si>
    <t>Finnish Academy(Research Council of Finland); LAPBIAT2 program; EPPIC; Centre National d'Etudes Spatiales (CNES)(Centre National D'etudes Spatiales); NERC(UK Research &amp; Innovation (UKRI)Natural Environment Research Council (NERC)); Natural Environment Research Council(UK Research &amp; Innovation (UKRI)Natural Environment Research Council (NERC))</t>
  </si>
  <si>
    <t>The collection, analysis, and interpretation of AARDDVARK data have been supported by funding from the Finnish Academy. We would also like to acknowledge the funding of the LAPBIAT2 program (contract RITA-CT-2006-025969). The work of A. S. was supported by the EPPIC Marie Curie FP7 project (PIEF-GA-2009-237461). The work of J.A.S. and M. P. was supported by the Centre National d'Etudes Spatiales (CNES). C.J.R. is a Guest Investigator inside the DEMETER program.</t>
  </si>
  <si>
    <t>A12304</t>
  </si>
  <si>
    <t>10.1029/2010JA015638</t>
  </si>
  <si>
    <t>690QT</t>
  </si>
  <si>
    <t>WOS:000285020000010</t>
  </si>
  <si>
    <t>Rodger, CJ; Carson, BR; Cummer, SA; Gamble, RJ; Clilverd, MA; Green, JC; Sauvaud, JA; Parrot, M; Berthelier, JJ</t>
  </si>
  <si>
    <t>Rodger, Craig J.; Carson, Bonar R.; Cummer, Steven A.; Gamble, Rory J.; Clilverd, Mark A.; Green, Janet C.; Sauvaud, Jean-Andre; Parrot, Michel; Berthelier, Jean-Jacques</t>
  </si>
  <si>
    <t>Contrasting the efficiency of radiation belt losses caused by ducted and nonducted whistler-mode waves from ground-based transmitters</t>
  </si>
  <si>
    <t>INNER MAGNETOSPHERE; SIGNALS; PRECIPITATION; DEMETER</t>
  </si>
  <si>
    <t>It has long been recognized that whistler-mode waves can be trapped in plasmaspheric whistler ducts which guide the waves. For nonguided cases these waves are said to be nonducted, which is dominant for L &lt; 1.6. Wave-particle interactions are affected by the wave being ducted or nonducted. In the field-aligned ducted case, first-order cyclotron resonance is dominant, whereas nonducted interactions open up a much wider range of energies through equatorial and off-equatorial resonance. There is conflicting information as to whether the most significant particle loss processes are driven by ducted or nonducted waves. In this study we use loss cone observations from the DEMETER and POES low-altitude satellites to focus on electron losses driven by powerful VLF communications transmitters. Both satellites confirm that there are well-defined enhancements in the flux of electrons in the drift loss cone due to ducted transmissions from the powerful transmitter with call sign NWC. Typically, similar to 80% of DEMETER nighttime orbits to the east of NWC show electron flux enhancements in the drift loss cone, spanning a L range consistent with first-order cyclotron theory, and inconsistent with nonducted resonances. In contrast, similar to 1% or less of nonducted transmissions originate from NPM-generated electron flux enhancements. While the waves originating from these two transmitters have been predicted to lead to similar levels of pitch angle scattering, we find that the enhancements from NPM are at least 50 times smaller than those from NWC. This suggests that lower-latitude, nonducted VLF waves are much less effective in driving radiation belt pitch angle scattering.</t>
  </si>
  <si>
    <t>[Rodger, Craig J.; Carson, Bonar R.; Gamble, Rory J.] Univ Otago, Dept Phys, Dunedin 9016, New Zealand; [Berthelier, Jean-Jacques] Ctr Etudes Environm Terr &amp; Planetaires, F-94100 St Maur Des Fosses, France; [Clilverd, Mark A.] British Antarctic Survey, NERC, Cambridge CB3 0ET, England; [Cummer, Steven A.] Duke Univ, Dept Elect &amp; Comp Engn, Durham, NC 27708 USA; [Green, Janet C.] NOAA, Space Weather Predict Ctr, Boulder, CO 80305 USA; [Parrot, Michel] Lab Phys &amp; Chim Environm &amp; Espace, F-45071 Orleans 2, France; [Sauvaud, Jean-Andre] Ctr Etud Spatiale Rayonnements, F-31028 Toulouse 4, France</t>
  </si>
  <si>
    <t>University of Otago; UK Research &amp; Innovation (UKRI); Natural Environment Research Council (NERC); NERC British Antarctic Survey; Duke University; National Oceanic Atmospheric Admin (NOAA) - USA; Universite de Toulouse; Universite Toulouse III - Paul Sabatier</t>
  </si>
  <si>
    <t>Rodger, CJ (corresponding author), Univ Otago, Dept Phys, POB 56, Dunedin 9016, New Zealand.</t>
  </si>
  <si>
    <t>crodger@physics.otago.ac.nz; bonar@physics.otago.ac.nz; cummer@ee.duke.edu; rgamble@physics.otago.ac.nz; macl@bas.ac.uk; janet.green@noaa.gov; sauvaud@cesr.fr; mparrot@cnrs-orleans.fr; jean-jacques.berthelier@cetp.ipsl.fr</t>
  </si>
  <si>
    <t>Cummer, Steven/AAJ-6761-2020; Rodger, Craig/A-1501-2011; Cummer, Steven A/A-6118-2008</t>
  </si>
  <si>
    <t>Rodger, Craig J./0000-0002-6770-2707; Parrot, Michel/0000-0003-0905-5721</t>
  </si>
  <si>
    <t>Centre National d'Etudes Spatiales (CNES); NSF; NERC [bas0100023] Funding Source: UKRI; Natural Environment Research Council [bas0100023] Funding Source: researchfish</t>
  </si>
  <si>
    <t>Centre National d'Etudes Spatiales (CNES)(Centre National D'etudes Spatiales); NSF(National Science Foundation (NSF)); NERC(UK Research &amp; Innovation (UKRI)Natural Environment Research Council (NERC)); Natural Environment Research Council(UK Research &amp; Innovation (UKRI)Natural Environment Research Council (NERC))</t>
  </si>
  <si>
    <t>C.J.R. would like to thank Erin Darnton of Christchurch for her support. The work of J.A.S. and M. P. was supported by the Centre National d'Etudes Spatiales (CNES), while C.J.R. is a Guest Investigator inside the DEMETER program. S. A. C. was supported by a grant from the NSF Aeronomy program.</t>
  </si>
  <si>
    <t>A12208</t>
  </si>
  <si>
    <t>10.1029/2010JA015880</t>
  </si>
  <si>
    <t>WOS:000285020000016</t>
  </si>
  <si>
    <t>Tao, X; Thorne, RM; Horne, RB; Grimald, S; Arridge, CS; Hospodarsky, GB; Gurnett, DA; Coates, AJ; Crary, FJ</t>
  </si>
  <si>
    <t>Tao, X.; Thorne, R. M.; Horne, R. B.; Grimald, S.; Arridge, C. S.; Hospodarsky, G. B.; Gurnett, D. A.; Coates, A. J.; Crary, F. J.</t>
  </si>
  <si>
    <t>Excitation of electron cyclotron harmonic waves in the inner Saturn magnetosphere within local plasma injections</t>
  </si>
  <si>
    <t>IO TORUS; RADIO</t>
  </si>
  <si>
    <t>Strong electron cyclotron harmonic (ECH) waves have been observed by Cassini associated with local plasma injection regions in the Saturnian magnetosphere. Using measured electron distributions from the Cassini plasma spectrometer, we calculated local growth rates and path-integrated wave gain of ECH waves inside an injection event using the HOTRAY code. We showed that electrons with energy near a few eV have a collision frequency comparable to their bounce frequency; thus, they cannot have an empty loss cone. We then demonstrated that the growth of ECH waves inside the injection event can be driven by electron phase space density gradients associated with the loss cone distribution of injected electrons at energies between a few hundred eV and a few keV. This conclusion is contrary to previous results that the source of free energy for growth of ECH waves is provided by electrons near a few eV. Results in this work are helpful for understanding the generation of ECH waves and their roles in electron dynamics in the Saturnian magnetosphere.</t>
  </si>
  <si>
    <t>[Tao, X.; Thorne, R. M.] Univ Calif Los Angeles, Dept Atmospher &amp; Ocean Sci, Los Angeles, CA 90095 USA; [Arridge, C. S.; Coates, A. J.] Univ Coll London, Mullard Space Sci Lab, Dept Space &amp; Climate Phys, Holmbury RH5 6NT, England; [Crary, F. J.] SW Res Inst, San Antonio, TX 78288 USA; [Grimald, S.] Univ Toulouse 3, CNRS, Ctr Etud Spatiale Rayonnements, F-31028 Toulouse, France; [Hospodarsky, G. B.; Gurnett, D. A.] Univ Iowa, Dept Phys &amp; Astron, Iowa City, IA 52242 USA; [Horne, R. B.] British Antarctic Survey, Cambridge CB3 0ET, England; [Grimald, S.] Univ Toulouse, Ctr Etud Spatiale Rayonnements, Toulouse, France; [Arridge, C. S.; Coates, A. J.] UCL Birkbeck, Ctr Planetary Sci, London, England</t>
  </si>
  <si>
    <t>University of California System; University of California Los Angeles; University of London; University College London; University of Cambridge; Southwest Research Institute; Centre National de la Recherche Scientifique (CNRS); Universite de Toulouse; Universite Toulouse III - Paul Sabatier; University of Iowa; UK Research &amp; Innovation (UKRI); Natural Environment Research Council (NERC); NERC British Antarctic Survey; Universite de Toulouse; Universite Toulouse III - Paul Sabatier; University of London; Birkbeck University London; University College London</t>
  </si>
  <si>
    <t>Tao, X (corresponding author), Univ Calif Los Angeles, Dept Atmospher &amp; Ocean Sci, 405 Hilgard Ave,7115 Math Sci Bldg, Los Angeles, CA 90095 USA.</t>
  </si>
  <si>
    <t>Coates, Andrew/C-2396-2008; Horne, Richard B/U-3764-2019; Hospodarsky, George/A-7996-2015; Arridge, Christopher/A-2894-2009</t>
  </si>
  <si>
    <t>Coates, Andrew/0000-0002-6185-3125; Horne, Richard B/0000-0002-0412-6407; Hospodarsky, George/0000-0001-9200-9878; Arridge, Christopher/0000-0002-0431-6526</t>
  </si>
  <si>
    <t>CNES; CSA [ST/G007462/1]; STFC; STFC in UK; National Aeronautics and Space Administration [1356500]; Jet Propulsion Laboratory; NASA [NNX08AP80G]; NERC [bas0100023] Funding Source: UKRI; STFC [ST/G007462/1, ST/H00260X/1] Funding Source: UKRI; Natural Environment Research Council [bas0100023] Funding Source: researchfish; Science and Technology Facilities Council [ST/G007462/1, ST/H00260X/1] Funding Source: researchfish; UK Space Agency [PP/D00084X/1, ST/I002642/1] Funding Source: researchfish; NASA [96415, NNX08AP80G] Funding Source: Federal RePORTER</t>
  </si>
  <si>
    <t>CNES(Centre National D'etudes Spatiales); CSA; STFC(UK Research &amp; Innovation (UKRI)Science &amp; Technology Facilities Council (STFC)); STFC in UK; National Aeronautics and Space Administration(National Aeronautics &amp; Space Administration (NASA)); Jet Propulsion Laboratory; NASA(National Aeronautics &amp; Space Administration (NASA));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 UK Space Agency; NASA(National Aeronautics &amp; Space Administration (NASA))</t>
  </si>
  <si>
    <t>We would like to thank the Cassini team for making the data available through the PPI node of the Planetary Data System and Binbin Ni for helpful discussions. Sandrine Grimald acknowledges financial support from CNES. CSA was supported in this work by an STFC postdoctoral fellowship under grant ST/G007462/1. AJC and SG were supported by the STFC rolling grant to MSSL/UCL. Cassini data processing was supported in the UK by STFC. The research at The University of Iowa is supported by the National Aeronautics and Space Administration through contract 1356500 with the Jet Propulsion Laboratory. The work at University of California-Los Angeles was supported by NASA grant NNX08AP80G.</t>
  </si>
  <si>
    <t>A12204</t>
  </si>
  <si>
    <t>10.1029/2010JA015598</t>
  </si>
  <si>
    <t>WOS:000285020000009</t>
  </si>
  <si>
    <t>Makou, MC; Oppo, DW; Curry, WB</t>
  </si>
  <si>
    <t>Makou, Matthew C.; Oppo, Delia W.; Curry, William B.</t>
  </si>
  <si>
    <t>South Atlantic intermediate water mass geometry for the last glacial maximum from foraminiferal Cd/Ca</t>
  </si>
  <si>
    <t>PAST 25,000 YEARS; NORTH-ATLANTIC; DEEP-WATER; OCEAN CIRCULATION; THERMOHALINE CIRCULATION; INDIAN-OCEAN; SEA-ICE; DELTA-C-13; CARBON; ISOTOPE</t>
  </si>
  <si>
    <t>Paleoceanographic studies using benthic foraminiferal Cd as a nutrient tracer have provided a robust means of reconstructing glacial Atlantic Ocean water mass geometry, but a paucity of data from the South Atlantic above 1200 m has limited investigation of Antarctic Intermediate Water (AAIW) configuration and formation. A new Cd depth profile from Brazil margin sediments suggests that AAIW penetrated northward at 1100 m to at least 27 degrees S in the glacial Atlantic. It exhibited substantially reduced delta(13)C(as) values, confirming preliminary evidence that this AAIW was unique to the glacial Atlantic and that it formed differently than today, with less atmospheric contact.</t>
  </si>
  <si>
    <t>[Makou, Matthew C.; Oppo, Delia W.; Curry, William B.] Woods Hole Oceanog Inst, Dept Geol &amp; Geophys, Woods Hole, MA 02543 USA</t>
  </si>
  <si>
    <t>Woods Hole Oceanographic Institution</t>
  </si>
  <si>
    <t>Makou, MC (corresponding author), Ohio State Univ, Byrd Polar Res Ctr, 1090 Carmack Rd,Scott Hall 108, Columbus, OH 43210 USA.</t>
  </si>
  <si>
    <t>makou.1@osu.edu</t>
  </si>
  <si>
    <t>PA4101</t>
  </si>
  <si>
    <t>10.1029/2010PA001962</t>
  </si>
  <si>
    <t>690QV</t>
  </si>
  <si>
    <t>WOS:000285020200003</t>
  </si>
  <si>
    <t>Peck, VL; Yu, J; Kender, S; Riesselman, CR</t>
  </si>
  <si>
    <t>Peck, V. L.; Yu, J.; Kender, S.; Riesselman, C. R.</t>
  </si>
  <si>
    <t>Shifting ocean carbonate chemistry during the Eocene-Oligocene climate transition: Implications for deep-ocean Mg/Ca paleothermometry</t>
  </si>
  <si>
    <t>ANTARCTIC GLACIATION; CALCITE COMPENSATION; GLOBAL CLIMATE; CALIBRATION; ICE; FORAMINIFERA; FLUCTUATIONS; TEMPERATURES; SATURATION; DYNAMICS</t>
  </si>
  <si>
    <t>To date, no conclusive evidence has been identified for intermediate or deep water cooling associated with the &gt; 1 parts per thousand benthic delta O-18 increase at the Eocene-Oligocene transition (EOT) when large permanent ice sheets first appeared on Antarctica. Interpretation of this isotopic shift as purely ice volume change necessitates bipolar glaciation in the early Oligocene approaching that of the Last Glacial Maximum. To test this hypothesis, it is necessary to have knowledge about deep water temperature, which previous studies have attempted to reconstruct using benthic foraminiferal Mg/Ca ratios. However, it appears likely that contemporaneous changes in ocean carbonate chemistry compromised the Mg/Ca temperature sensitivity of benthic foraminifera at deep sites. New geochemical proxy records from a relatively shallow core, ODP Site 1263 (estimated paleodepth of 2100 m on the Walvis Ridge), reveal that carbonate chemistry change across the EOT was not limited to deep sites but extended well above the lysocline, critically limiting our ability to obtain reliable estimates of deep-ocean cooling during that time. Benthic Li/Ca measurements, used as a proxy for [CO32-], suggest that [CO32-] increased by similar to 29 mu mol/kg at Site 1263 across the EOT and likely impacted benthic foraminiferal Mg/Ca. A [CO32-]-benthic Mg/Ca relationship is most apparent during the early EOT when the overall increase in [CO32-] is interrupted by an apparent dissolution event. Planktonic d18O and Mg/Ca records suggest no change in thermocline temperature and a delta O-18(seawater) increase of up to 0.6 parts per thousand at this site across the EOT, consistent with previous estimates and supporting the absence of extensive bipolar glaciation in the early Oligocene.</t>
  </si>
  <si>
    <t>[Peck, V. L.] British Antarctic Survey, Cambridge CB3 0ET, England; [Kender, S.] British Geol Survey, Nottingham NG12 5GG, England; [Riesselman, C. R.] Stanford Univ, Dept Geol &amp; Environm Sci, Stanford, CA 94305 USA; [Yu, J.] Columbia Univ, Lamont Doherty Earth Observ, Palisades, NY 10964 USA</t>
  </si>
  <si>
    <t>UK Research &amp; Innovation (UKRI); Natural Environment Research Council (NERC); NERC British Antarctic Survey; UK Research &amp; Innovation (UKRI); Natural Environment Research Council (NERC); NERC British Geological Survey; Stanford University; Columbia University</t>
  </si>
  <si>
    <t>Peck, VL (corresponding author), British Antarctic Survey, Madingley Rd, Cambridge CB3 0ET, England.</t>
  </si>
  <si>
    <t>vlp@bas.ac.uk</t>
  </si>
  <si>
    <t>Riesselman, Christina R/H-5037-2012; Kender, Sev/B-9409-2016; Yu, Jimin/I-7770-2012</t>
  </si>
  <si>
    <t>Kender, Sev/0000-0003-4216-3214; Yu, Jimin/0000-0002-3896-1777; Riesselman, Christina/0000-0002-2436-4306</t>
  </si>
  <si>
    <t>Natural Environment Research Council [bgs05002, bas0100024] Funding Source: researchfish; NERC [bgs05002, bas0100024] Funding Source: UKRI</t>
  </si>
  <si>
    <t>PA4219</t>
  </si>
  <si>
    <t>10.1029/2009PA001906</t>
  </si>
  <si>
    <t>WOS:000285020200001</t>
  </si>
  <si>
    <t>Chen, MT; Lin, XP; Chang, YP; Chen, YC; Lo, L; Shen, CC; Yokoyama, Y; Oppo, DW; Thompson, WG; Zhang, R</t>
  </si>
  <si>
    <t>Chen, M. -T.; Lin, X. P.; Chang, Y. -P.; Chen, Y. -C.; Lo, L.; Shen, C. -C.; Yokoyama, Y.; Oppo, D. W.; Thompson, W. G.; Zhang, R.</t>
  </si>
  <si>
    <t>Dynamic millennial-scale climate changes in the northwestern Pacific over the past 40,000 years</t>
  </si>
  <si>
    <t>EAST-ASIAN MONSOON; NORTHERN-HEMISPHERE; LAST DEGLACIATION; SULU SEA; VARIABILITY; OCEAN; LINK; CIRCULATION; ANTARCTICA; GREENLAND</t>
  </si>
  <si>
    <t>Ice core records of polar temperatures and greenhouse gases document abrupt millennial-scale oscillations that suggest the reduction or shutdown of thermohaline Circulation (THC) in the North Atlantic Ocean may induce the abrupt cooling in the northern hemisphere. It remains unknown, however, whether the sea surface temperature (SST) is cooling or warming in the Kuroshio of the Northwestern Pacific during the cooling event. Here we present an AMS C-14-dated foraminiferal Mg/Ca SST record from the central Okinawa Trough and document that the SST variations exhibit two steps of warming since 21 ka - at 14.7 ka and 12.8 ka, and a cooling (similar to 1.5 degrees C) during the interval of the Younger Dryas. By contrast, we observed no SST change or oceanic warming (similar to 1.5-2 degrees C) during the episodes of Northern Hemisphere cooling between similar to 21-40 ka. We therefore suggest that the Antarctic-like timing and amplitude of millennial-scale SST variations in the subtropical Northwestern Pacific between 20-40 ka may have been determined by rapid ocean adjustment processes in response to abrupt wind stress and meridional temperature gradient changes in the North Pacific. Citation: Chen, M.-T., X. P. Lin, Y.-P. Chang, Y.-C. Chen, L. Lo, C.-C. Shen, Y. Yokoyama, D. W. Oppo, W. G. Thompson, and R. Zhang (2010), Dynamic millennial-scale climate changes in the northwestern Pacific over the past 40,000 years, Geophys. Res. Lett., 37, L23603, doi:10.1029/2010GL045202.</t>
  </si>
  <si>
    <t>[Chen, M. -T.; Chang, Y. -P.; Chen, Y. -C.] Natl Taiwan Ocean Univ, Inst Appl Geosci, Chilung 20224, Taiwan; [Lin, X. P.] Ocean Univ China, Phys Oceanog Lab, Qingdao 266003, Peoples R China; [Lo, L.; Shen, C. -C.] Natl Taiwan Univ, Dept Geosci, Taipei 10617, Taiwan; [Yokoyama, Y.] Univ Tokyo, Atmosphere &amp; Ocean Res Inst, Kashiwanoha, Chiba 2778564, Japan; [Yokoyama, Y.] Univ Tokyo, Dept Earth &amp; Planetary Sci, Kashiwanoha, Chiba 2778564, Japan; [Yokoyama, Y.] Japan Agcy Marine Earth Sci &amp; Technol, Inst Biogeosci, Yokosuka, Kanagawa 2370061, Japan; [Oppo, D. W.; Thompson, W. G.] Woods Hole Oceanog Inst, Dept Geol &amp; Geophys, Woods Hole, MA 02543 USA; [Zhang, R.] NOAA, Geophys Fluid Dynam Lab, Princeton, NJ 08540 USA</t>
  </si>
  <si>
    <t>National Taiwan Ocean University; Ocean University of China; National Taiwan University; University of Tokyo; University of Tokyo; Japan Agency for Marine-Earth Science &amp; Technology (JAMSTEC); Woods Hole Oceanographic Institution; National Oceanic Atmospheric Admin (NOAA) - USA</t>
  </si>
  <si>
    <t>Chen, MT (corresponding author), Natl Taiwan Ocean Univ, Inst Appl Geosci, Chilung 20224, Taiwan.</t>
  </si>
  <si>
    <t>mtchen@ntou.edu.tw</t>
  </si>
  <si>
    <t>Chen, Min-Te/ABF-2935-2020; lin, ke/GZM-8300-2022; Chang, Yuan-Pin/C-1656-2009; Shen, Chuan-Chou/H-9642-2013; Thompson, William G/H-2407-2011; Chen, Min-Te/AAD-5990-2021; Yokoyama, Yusuke/N-9623-2013; Shen, Chuan-Chou/JCE-1989-2023; Zhang, Rong/D-9767-2014</t>
  </si>
  <si>
    <t>Shen, Chuan-Chou/0000-0003-2833-2771; Chen, Min-Te/0000-0002-7552-1615; Shen, Chuan-Chou/0000-0003-2833-2771; Zhang, Rong/0000-0002-8493-6556</t>
  </si>
  <si>
    <t>National Science Council (NSC), Taiwan [NSC96-2611-M-019-008, NSC96-2611-M-019-009, NSC98-2611-M002-006]; Natural Science Foundation of China [40930844, 40706006]; China's National Basic Research Priorities Programmer [2005CB422303, 2007CB411804]; 111 Project [B07036]; Program for New Century Excellent Talents in University [NECT-07-0781]; Grants-in-Aid for Scientific Research [18101001] Funding Source: KAKEN</t>
  </si>
  <si>
    <t>National Science Council (NSC), Taiwan(Ministry of Science and Technology, Taiwan); Natural Science Foundation of China(National Natural Science Foundation of China (NSFC)); China's National Basic Research Priorities Programmer; 111 Project(Ministry of Education, China - 111 Project); Program for New Century Excellent Talents in University(Program for New Century Excellent Talents in University (NCET)); Grants-in-Aid for Scientific Research(Ministry of Education, Culture, Sports, Science and Technology, Japan (MEXT)Japan Society for the Promotion of ScienceGrants-in-Aid for Scientific Research (KAKENHI))</t>
  </si>
  <si>
    <t>This research was funded by the National Science Council (NSC), Taiwan to M.T.C. (NSC96-2611-M-019-008 and NSC96-2611-M-019-009) and C.C.S. (NSC98-2611-M002-006). X.P.L. was supported by the Natural Science Foundation of China (40930844 and 40706006), China's National Basic Research Priorities Programmer (2005CB422303 and 2007CB411804), 111 Project (B07036), and the Program for New Century Excellent Talents in University (NECT-07-0781). Special thanks to Lixin Wu for his comments and data support.</t>
  </si>
  <si>
    <t>1944-8007</t>
  </si>
  <si>
    <t>DEC 3</t>
  </si>
  <si>
    <t>L23603</t>
  </si>
  <si>
    <t>10.1029/2010GL045202</t>
  </si>
  <si>
    <t>690OW</t>
  </si>
  <si>
    <t>Green Published, Green Submitted, Bronze</t>
  </si>
  <si>
    <t>WOS:000285015100003</t>
  </si>
  <si>
    <t>Blight, LK; Ainley, DG; Ackley, SF; Ballard, G; Ballerini, T; Brownell, RL; Cheng, CHC; Chiantore, M; Costa, D; Coulter, MC; Dayton, P; Devries, AL; Dunbar, R; Earle, S; Eastman, JT; Emslie, SD; Evans, CW; Garrott, RA; Kim, S; Kooyman, G; Lescroël, A; Lizotte, M; Massaro, M; Olmastroni, S; Ponganis, PJ; Russell, J; Siniff, DB; Smith, WO; Stewart, BS; Stirling, I; Willis, J; Wilson, P; Woehler, EJ</t>
  </si>
  <si>
    <t>Blight, Louise K.; Ainley, David G.; Ackley, Stephen F.; Ballard, Grant; Ballerini, Tosca; Brownell, Robert L., Jr.; Cheng, C-H Christina; Chiantore, Mariachiara; Costa, Daniel; Coulter, Malcolm C.; Dayton, Paul; Devries, Arthur L.; Dunbar, Robert; Earle, Sylvia; Eastman, Joseph T.; Emslie, Steven D.; Evans, Clive W.; Garrott, Robert A.; Kim, Stacy; Kooyman, Gerald; Lescroel, Amelie; Lizotte, Michael; Massaro, Melanie; Olmastroni, Silvia; Ponganis, Paul J.; Russell, Joellen; Siniff, Donald B.; Smith, Walker O., Jr.; Stewart, Brent S.; Stirling, Ian; Willis, Jay; Wilson, Peter; Woehler, Eric J.</t>
  </si>
  <si>
    <t>Fishing for Data in the Ross Sea</t>
  </si>
  <si>
    <t>ANTARCTIC TOOTHFISH</t>
  </si>
  <si>
    <t>[Blight, Louise K.] Univ British Columbia, Ctr Appl Conservat Res, Vancouver, BC V6T 1Z4, Canada; [Ainley, David G.] HT Harvey &amp; Associates, Los Gatos, CA 95032 USA; [Ackley, Stephen F.] Univ Texas San Antonio, Dept Geol Sci, San Antonio, TX 78249 USA; [Ballard, Grant] PRBO Conservat Sci, Petaluma, CA 94954 USA; [Ballerini, Tosca] Old Dominion Univ, Ctr Coastal Phys Oceanog, Norfolk, VA 23529 USA; [Brownell, Robert L., Jr.] SW Fisheries Sci Ctr, NOAA Fisheries, Pacific Grove, CA 93950 USA; [Cheng, C-H Christina; Devries, Arthur L.] Univ Illinois, Dept Anim Biol, Urbana, IL 61801 USA; [Chiantore, Mariachiara] Univ Genoa, I-16132 Genoa, Italy; [Costa, Daniel] Univ Calif Santa Cruz, Dept Ecol &amp; Evolutionary Biol, Santa Cruz, CA 95060 USA; [Coulter, Malcolm C.] Specialist Grp Storks Ibises &amp; Spoonbills, Chocorua, NH 03817 USA; [Dayton, Paul; Kooyman, Gerald; Ponganis, Paul J.] Univ Calif, Scripps Inst Oceanog, La Jolla, CA 92093 USA; [Dunbar, Robert] Stanford Univ, Dept Environm Earth Syst Sci, Stanford, CA 94305 USA; [Earle, Sylvia] Natl Geog Soc, Washington, DC 20090 USA; [Eastman, Joseph T.] Ohio Univ, Dept Biomed Sci, Athens, OH 45701 USA; [Emslie, Steven D.] Univ N Carolina, Dept Biol &amp; Marine Biol, Wilmington, NC 28403 USA; [Evans, Clive W.] Univ Auckland, Sch Biol Sci, Auckland 1, New Zealand; [Garrott, Robert A.] Montana State Univ, Dept Ecol, Bozeman, MT 59717 USA; [Kim, Stacy] Moss Landing Marine Labs, Moss Landing, CA 95062 USA; [Lescroel, Amelie] Univ Rennes 1, UMR 7204, Museum Natl Hist Nat, F-35042 Rennes, France; [Lizotte, Michael] Univ Wisconsin, Sustainabil Off, Oshkosh, WI 54902 USA; [Massaro, Melanie] Univ Canterbury, Sch Biol Sci &amp; Gateway Antarctica, Christchurch 1, New Zealand; [Olmastroni, Silvia] Univ Siena, Dept Environm Sci, I-53100 Siena, Italy; [Russell, Joellen] Univ Arizona, Dept Geosci, Tucson, AZ 85721 USA; [Siniff, Donald B.] Univ Minnesota, Dept Ecol Evolut &amp; Behav Biol, St Paul, MN 55108 USA; [Smith, Walker O., Jr.] Virginia Inst Marine Sci, Coll William &amp; Mary, Gloucester Point, VA 23062 USA; [Stewart, Brent S.] Hubbs SeaWorld Res Inst, San Diego, CA 92109 USA; [Stirling, Ian] Univ Alberta, Dept Biol Sci, Edmonton, AB T6G 2E9, Canada; [Willis, Jay] HR Wallingford Ltd, Wallingford OX10 8BA, Oxon, England; [Woehler, Eric J.] Univ Tasmania, Sch Zool, Sandy Bay, Tas 7005, Australia</t>
  </si>
  <si>
    <t>University of British Columbia; University of Texas System; University of Texas at San Antonio (UTSA); Old Dominion University; National Oceanic Atmospheric Admin (NOAA) - USA; University of Illinois System; University of Illinois Urbana-Champaign; University of Genoa; University of California System; University of California Santa Cruz; University of California System; University of California San Diego; Scripps Institution of Oceanography; Stanford University; National Geographic Society; University System of Ohio; Ohio University; University of North Carolina; University of North Carolina Wilmington; University of Auckland; Montana State University System; Montana State University Bozeman; Moss Landing Marine Laboratories; Centre National de la Recherche Scientifique (CNRS); CNRS - Institute of Ecology &amp; Environment (INEE); Museum National d'Histoire Naturelle (MNHN); Universite de Rennes; Sorbonne Universite; University of Wisconsin System; University of Canterbury; University of Siena; University of Arizona; University of Minnesota System; University of Minnesota Twin Cities; William &amp; Mary; Virginia Institute of Marine Science; University of Alberta; HR Wallingford Limited; University of Tasmania</t>
  </si>
  <si>
    <t>Blight, LK (corresponding author), Univ British Columbia, Ctr Appl Conservat Res, Vancouver, BC V6T 1Z4, Canada.</t>
  </si>
  <si>
    <t>lkblight@interchange.ubc.ca</t>
  </si>
  <si>
    <t>Eastman, Joseph T./O-6150-2019; Ballerini, Tosca/ABE-1656-2020; Evans, Clive/AAZ-4699-2021; Carlos, Universidade Federal de São/W-8832-2019; Eastman, Joseph T/A-9786-2008; OLMASTRONI, Silvia/G-6267-2018; Chiantore, Mariachiara/C-7070-2017; Massaro, Melanie/P-4791-2017; Costa, Daniel Paul/E-2616-2013</t>
  </si>
  <si>
    <t>Eastman, Joseph T./0000-0003-3868-261X; Ballerini, Tosca/0000-0003-4007-4605; Carlos, Universidade Federal de São/0000-0002-0334-3899; , gerald/0000-0002-8872-2950; Willis, Jay/0000-0003-0701-7262; OLMASTRONI, Silvia/0000-0002-9319-9914; Chiantore, Mariachiara/0000-0002-5862-1470; Massaro, Melanie/0000-0001-9039-1268; Evans, Clive/0000-0003-2888-842X; Russell, Joellen/0000-0001-9937-6056; Costa, Daniel Paul/0000-0002-0233-5782; Woehler, Eric/0000-0002-1125-0748</t>
  </si>
  <si>
    <t>Office of Polar Programs (OPP); Directorate For Geosciences [0838937] Funding Source: National Science Foundation</t>
  </si>
  <si>
    <t>10.1126/science.330.6009.1316</t>
  </si>
  <si>
    <t>689BK</t>
  </si>
  <si>
    <t>WOS:000284902100008</t>
  </si>
  <si>
    <t>Kraus, S; Poblete, F; Arriagada, C</t>
  </si>
  <si>
    <t>Kraus, S.; Poblete, F.; Arriagada, C.</t>
  </si>
  <si>
    <t>Dike systems and their volcanic host rocks on King George Island, Antarctica: Implications on the geodynamic history based on a multidisciplinary approach</t>
  </si>
  <si>
    <t>TECTONOPHYSICS</t>
  </si>
  <si>
    <t>Antarctic Peninsula; Magmatic dikes; Structural geology; Igneous geochemistry; Paleomagnetism; 40Ar/39Ar dating</t>
  </si>
  <si>
    <t>SOUTH-SHETLAND-ISLANDS; K-AR AGES; BARTON PENINSULA; LIVINGSTON ISLAND; SUBDUCTION HISTORY; PACIFIC MARGIN; IGNEOUS ROCKS; EVOLUTION; GEOCHEMISTRY; ZONE</t>
  </si>
  <si>
    <t>A magmatic arc was active along the Antarctic Peninsula's western margin during the Mesozoic and most of the Cenozoic. We report new constraints on the geodynamic history of King George Island (South Shetland Islands, northern Antarctic Peninsula), based on a multidisciplinary approach combining structural, petrological, geochemical, geochronological and paleomagnetic data from magmatic dike swarms and their host rocks. The deformation of the dikes is expressed as jointing and faulting. Joint systems present in the host rocks occur also within the dikes, indicating that the stress field outlasted dike intrusion. No folding axis could be determined for the investigated areas, but the orientation of the folding axis evident on nearby Livingston Island shows that the corresponding tectonic stress field there was almost identical to the one on King George Island. This suggests a uniform tectonic pattern throughout the area during the time of dike intrusion. Dikes from King George Island yielded Thanetian to Lutetian 40Ar/39Ar ages. A pronounced peak of intrusive activity is evident at 47-45 Ma and coincides well with a dramatic change in subduction zone parameters that caused a change from a compressional to an extensional tectonic regime, as also reflected by the uplift of the Smith Island metamorphic rocks at the same time. The dikes comprise a subalkaline series of predominantly calc-alkaline affinity. Tholeiites occur also, apparently related to the initial stages of intrusive activity in the respective areas and thus a time of strongly increasing velocity of the subducting plate. Crustal contamination is not evident from the dikes on King George Island and the main intrusive phase during the Lutetian is characterized by increasing contribution of subducted sediments to arc magma genesis. Enrichment of the depleted mantle source by fluids derived from the subducted slab as reflected by elevated Ba/Th ratios is not uniform in the studied areas, indicating heterogeneities in the mantle wedge that are also confirmed by other HFSE systematics. Paleomagnetic studies undertaken in order to check for Cenozoic tectonic rotations indicate high between-site dispersion probably associated with strong secular variation during Paleocene/Eocene times. However, an interpretation in combination with previously published data suggests that no post-formational vertical-axis rotations and latitudinal displacement occurred. (C) 2010 Elsevier B.V. All rights reserved. A magmatic arc was active along the Antarctic Peninsula's western margin during the Mesozoic and most of the Cenozoic. We report new constraints on the geodynamic history of King George Island (South Shetland Islands, northern Antarctic Peninsula), based on a multidisciplinary approach combining structural, petrological, geochemical, geochronological and paleomagnetic data from magmatic dike swarms and their host rocks. The deformation of the dikes is expressed as jointing and faulting. Joint systems present in the host rocks occur also within the dikes, indicating that the stress field outlasted dike intrusion. No folding axis could be determined for the investigated areas, but the orientation of the folding axis evident on nearby Livingston Island shows that the corresponding tectonic stress field there was almost identical to the one on King George Island. This suggests a uniform tectonic pattern throughout the area during the time of dike intrusion. Dikes from King George Island yielded Thanetian to Lutetian 40Ar/39Ar ages. A pronounced peak of intrusive activity is evident at 47-45 Ma and coincides well with a dramatic change in subduction zone parameters that caused a change from a compressional to an extensional tectonic regime, as also reflected by the uplift of the Smith Island metamorphic rocks at the same time. The dikes comprise a subalkaline series of predominantly calc-alkaline affinity. Tholeiites occur also, apparently related to the initial stages of intrusive activity in the respective areas and thus a time of strongly increasing velocity of the subducting plate. Crustal contamination is not evident from the dikes on King George Island and the main intrusive phase during the Lutetian is characterized by increasing contribution of subducted sediments to arc magma genesis. Enrichment of the depleted mantle source by fluids derived from the subducted slab as reflected by elevated Ba/Th ratios is not uniform in the studied areas, indicating heterogeneities in the mantle wedge that are also confirmed by other HFSE systematics. Paleomagnetic studies undertaken in order to check for Cenozoic tectonic rotations indicate high between-site dispersion probably associated with strong secular variation during Paleocene/Eocene times. However, an interpretation in combination with previously published data suggests that no post-formational vertical-axis rotations and latitudinal displacement occurred. (C) 2010 Elsevier B.V. All rights reserved. A magmatic arc was active along the Antarctic Peninsula's western margin during the Mesozoic and most of the Cenozoic. We report new constraints on the geodynamic history of King George Island (South Shetland Islands, northern Antarctic Peninsula), based on a multidisciplinary approach combining structural, petrological, geochemical, geochronological and paleomagnetic data from magmatic dike swarms and their host rocks. The deformation of the dikes is expressed as jointing and faulting. Joint systems present in the host rocks occur also within the dikes, indicating that the stress field outlasted dike intrusion. No folding axis could be determined for the investigated areas, but the orientation of the folding axis evident on nearby Livingston Island shows that the corresponding tectonic stress field there was almost identical to the one on King George Island. This suggests a uniform tectonic pattern throughout the area during the time of dike intrusion. Dikes from King George Island yielded Thanetian to Lutetian 40Ar/39Ar ages. A pronounced peak of intrusive activity is evident at 47-45 Ma and coincides well with a dramatic change in subduction zone parameters that caused a change from a compressional to an extensional tectonic regime, as also reflected by the uplift of the Smith Island metamorphic rocks at the same time. The dikes comprise a subalkaline series of predominantly calc-alkaline affinity. Tholeiites occur also, apparently related to the initial stages of intrusive activity in the respective areas and thus a time of strongly increasing velocity of the subducting plate. Crustal contamination is not evident from the dikes on King George Island and the main intrusive phase during the Lutetian is characterized by increasing contribution of subducted sediments to arc magma genesis. Enrichment of the depleted mantle source by fluids derived from the subducted slab as reflected by elevated Ba/Th ratios is not uniform in the studied areas, indicating heterogeneities in the mantle wedge that are also confirmed by other HFSE systematics. Paleomagnetic studies undertaken in order to check for Cenozoic tectonic rotations indicate high between-site dispersion probably associated with strong secular variation during Paleocene/Eocene times. However, an interpretation in combination with previously published data suggests that no post-formational vertical-axis rotations and latitudinal displacement occurred. (C) 2010 Elsevier B.V. All rights reserved. A magmatic arc was active along the Antarctic Peninsula's western margin during the Mesozoic and most of the Cenozoic. We report new constraints on the geodynamic history of King George Island (South Shetland Islands, northern Antarctic Peninsula), based on a multidisciplinary approach combining structural, petrological, geochemical, geochronological and paleomagnetic data from magmatic dike swarms and their host rocks. The deformation of the dikes is expressed as jointing and faulting. Joint systems present in the host rocks occur also within the dikes, indicating that the stress field outlasted dike intrusion. No folding axis could be determined for the investigated areas, but the orientation of the folding axis evident on nearby Livingston Island shows that the corresponding tectonic stress field there was almost identical to the one on King George Island. This suggests a uniform tectonic pattern throughout the area during the time of dike intrusion. Dikes from King George Island yielded Thanetian to Lutetian 40Ar/39Ar ages. A pronounced peak of intrusive activity is evident at 47-45 Ma and coincides well with a dramatic change in subduction zone parameters that caused a change from a compressional to an extensional tectonic regime, as also reflected by the uplift of the Smith Island metamorphic rocks at the same time. The dikes comprise a subalkaline series of predominantly calc-alkaline affinity. Tholeiites occur also, apparently related to the initial stages of intrusive activity in the respective areas and thus a time of strongly increasing velocity of the subducting plate. Crustal contamination is not evident from the dikes on King George Island and the main intrusive phase during the Lutetian is characterized by increasing contribution of subducted sediments to arc magma genesis. Enrichment of the depleted mantle source by fluids derived from the subducted slab as reflected by elevated Ba/Th ratios is not uniform in the studied areas, indicating heterogeneities in the mantle wedge that are also confirmed by other HFSE systematics. Paleomagnetic studies undertaken in order to check for Cenozoic tectonic rotations indicate high between-site dispersion probably associated with strong secular variation during Paleocene/Eocene times. However, an interpretation in combination with previously published data suggests that no post-formational vertical-axis rotations and latitudinal displacement occurred. (C) 2010 Elsevier B.V. All rights reserved. A magmatic arc was active along the Antarctic Peninsula's western margin during the Mesozoic and most of the Cenozoic. We report new constraints on the geodynamic history of King George Island (South Shetland Islands, northern Antarctic Peninsula), based on a multidisciplinary approach combining structural, petrological, geochemical, geochronological and paleomagnetic data from magmatic dike swarms and their host rocks. The deformation of the dikes is expressed as jointing and faulting. Joint systems present in the host rocks occur also within the dikes, indicating that the stress field outlasted dike intrusion. No folding axis could be determined for the investigated areas, but the orientation of the folding axis evident on nearby Livingston Island shows that the corresponding tectonic stress field there was almost identical to the one on King George Island. This suggests a uniform tectonic pattern throughout the area during the time of dike intrusion. Dikes from King George Island yielded Thanetian to Lutetian 40Ar/39Ar ages. A pronounced peak of intrusive activity is evident at 47-45 Ma and coincides well with a dramatic change in subduction zone parameters that caused a change from a compressional to an extensional tectonic regime, as also reflected by the uplift of the Smith Island metamorphic rocks at the same time. The dikes comprise a subalkaline series of predominantly calc-alkaline affinity. Tholeiites occur also, apparently related to the initial stages of intrusive activity in the respective areas and thus a time of strongly increasing velocity of the subducting plate. Crustal contamination is not evident from the dikes on King George Island and the main intrusive phase during the Lutetian is characterized by increasing contribution of subducted sediments to arc magma genesis. Enrichment of the depleted mantle source by fluids derived from the subducted slab as reflected by elevated Ba/Th ratios is not uniform in the studied areas, indicating heterogeneities in the mantle wedge that are also confirmed by other HFSE systematics. Paleomagnetic studies undertaken in order to check for Cenozoic tectonic rotations indicate high between-site dispersion probably associated with strong secular variation during Paleocene/Eocene times. However, an interpretation in combination with previously published data suggests that no post-formational vertical-axis rotations and latitudinal displacement occurred. (C) 2010 Elsevier B.V. All rights reserved.</t>
  </si>
  <si>
    <t>[Kraus, S.] Inst Antartico Chileno, Punta Arenas, Chile; [Poblete, F.; Arriagada, C.] Univ Chile, Santiago, Chile</t>
  </si>
  <si>
    <t>Universidad de Chile</t>
  </si>
  <si>
    <t>Kraus, S (corresponding author), Inst Antartico Chileno, Plaza Munoz Gamero 1055, Punta Arenas, Chile.</t>
  </si>
  <si>
    <t>skraus@inach.cl; ferpoble2@gmail.com; cearriag@cec.uchile.cl</t>
  </si>
  <si>
    <t>Arriagada, Cesar/I-6336-2016</t>
  </si>
  <si>
    <t>Arriagada, Cesar/0000-0001-8235-2103; Poblete, Fernando/0000-0002-2140-5483; Kraus, Stefan/0000-0001-5017-9940</t>
  </si>
  <si>
    <t>German Research Foundation (DFG); Bundesministerium fur Bildung und Forschung (BMBF); PBCT Anillo Antartico [ARTG04]; CONICYT; World Bank; INACH; Programa Institucional Antartico Universidad de Chile (PIA); Armada de Chile</t>
  </si>
  <si>
    <t>German Research Foundation (DFG)(German Research Foundation (DFG)); Bundesministerium fur Bildung und Forschung (BMBF)(Federal Ministry of Education &amp; Research (BMBF)); PBCT Anillo Antartico(Comision Nacional de Investigacion Cientifica y Tecnologica (CONICYT)CONICYT PIA/PBCTCONICYT PIA/ANILLOS); CONICYT(Comision Nacional de Investigacion Cientifica y Tecnologica (CONICYT)); World Bank(The World Bank India); INACH; Programa Institucional Antartico Universidad de Chile (PIA); Armada de Chile</t>
  </si>
  <si>
    <t>We thank Prof. em. J. Winchester and an anonymous reviewer for greatly helping to improve the paper by carefully revising the manuscript and supplying constructive comments and suggestions. Furthermore, we thank the German Research Foundation (DFG) and the Bundesministerium fur Bildung und Forschung (BMBF) for financial support. Part of the funding was provided by the project PBCT Anillo Antartico ARTG04 Geological connections between West Antarctica and Patagonia, a cooperative research program between CONICYT, The World Bank, INACH, Programa Institucional Antartico Universidad de Chile (PIA), and Armada de Chile. Ship logistics were supplied by the Argentine, Brazilian, Chilean and German Antarctic Programs. The Antarctic stations of Argentina/Germany (Jubany/Dallmann), Chile, Poland, South Korea and Uruguay served as bases for fieldwork on King George Island. Finally, we would like to thank the Departamento de Postgrado y Postitulo de la Vicerrectoria de Asuntos Academicos de la Universidad de Chile and its program Becas de Estadias Cortas de investigacion.</t>
  </si>
  <si>
    <t>0040-1951</t>
  </si>
  <si>
    <t>1879-3266</t>
  </si>
  <si>
    <t>Tectonophysics</t>
  </si>
  <si>
    <t>10.1016/j.tecto.2010.09.035</t>
  </si>
  <si>
    <t>701ZY</t>
  </si>
  <si>
    <t>WOS:000285864900010</t>
  </si>
  <si>
    <t>Thompson, AF; Haynes, PH; Wilson, C; Richards, KJ</t>
  </si>
  <si>
    <t>Thompson, Andrew F.; Haynes, Peter H.; Wilson, Chris; Richards, Kelvin J.</t>
  </si>
  <si>
    <t>Rapid Southern Ocean front transitions in an eddy-resolving ocean GCM</t>
  </si>
  <si>
    <t>The formation of persistent multiple fronts is an established feature of the Antarctic Circumpolar Current (ACC). Front strength and location are closely linked to eddy properties and therefore have important implications for the eddy-driven closure of the Southern Ocean meridional overturning circulation. ACC front structure is analyzed here by calculating regional probability density functions (PDFs) of potential vorticity diagnosed in an eddy-resolving ocean general circulation model. Rapid spatial transitions in the number of fronts and in the density classes over which they occur are found. Front transitions are associated with the major topographic obstacles Kerguelen Island, Campbell Plateau and Drake Passage; multiple fronts are preferentially found downstream of these features. These findings highlight the significant departure from zonal symmetry of the ACC front structure and emphasize the importance of local dynamics on large-scale Southern Ocean properties. Citation: Thompson, A. F., P. H. Haynes, C. Wilson, and K. J. Richards (2010), Rapid Southern Ocean front transitions in an eddy-resolving ocean GCM, Geophys. Res. Lett., 37, L23602, doi:10.1029/2010GL045386.</t>
  </si>
  <si>
    <t>[Thompson, Andrew F.; Haynes, Peter H.] Univ Cambridge, Ctr Math Sci, Dept Appl Math &amp; Theoret Phys, Cambridge CB3 0WA, England; [Wilson, Chris] Natl Oceanog Ctr, Liverpool L3 5DA, Merseyside, England; [Richards, Kelvin J.] Univ Hawaii Manoa, Sch Ocean &amp; Earth Sci &amp; Technol, Honolulu, HI 96822 USA</t>
  </si>
  <si>
    <t>University of Cambridge; NERC National Oceanography Centre; University of Hawaii System; University of Hawaii Manoa</t>
  </si>
  <si>
    <t>Thompson, AF (corresponding author), Univ Cambridge, Ctr Math Sci, Dept Appl Math &amp; Theoret Phys, Wilberforce Rd, Cambridge CB3 0WA, England.</t>
  </si>
  <si>
    <t>a.f.thompson@damtp.cam.ac.uk</t>
  </si>
  <si>
    <t>Wilson, Chris/B-5742-2012</t>
  </si>
  <si>
    <t>Wilson, Chris/0000-0003-0891-2912; Haynes, Peter/0000-0002-7726-6988</t>
  </si>
  <si>
    <t>NERC [NE/E013171/1, NE/1001794/1]; NERC [NE/E013171/1, soc010007, NE/I001794/1, noc010005] Funding Source: UKRI; Natural Environment Research Council [noc010005, NE/E013171/1, NE/I001794/1, soc010007] Funding Source: researchfish</t>
  </si>
  <si>
    <t>The authors gratefully acknowledge the provision of OFES output by Hideharu Sasaki and James Potemra. We also thank Matt Mazloff for supplying SOSE output. AFT was supported by NERC, NE/E013171/1. CW was supported by NERC through Oceans 2025 and NE/1001794/1.</t>
  </si>
  <si>
    <t>DEC 2</t>
  </si>
  <si>
    <t>L23602</t>
  </si>
  <si>
    <t>10.1029/2010GL045386</t>
  </si>
  <si>
    <t>690OR</t>
  </si>
  <si>
    <t>WOS:000285014600001</t>
  </si>
  <si>
    <t>Swartz, W; Sala, E; Tracey, S; Watson, R; Pauly, D</t>
  </si>
  <si>
    <t>Swartz, Wilf; Sala, Enric; Tracey, Sean; Watson, Reg; Pauly, Daniel</t>
  </si>
  <si>
    <t>The Spatial Expansion and Ecological Footprint of Fisheries (1950 to Present)</t>
  </si>
  <si>
    <t>GLOBAL FISHERIES</t>
  </si>
  <si>
    <t>Using estimates of the primary production required (PPR) to support fisheries catches (a measure of the footprint of fishing), we analyzed the geographical expansion of the global marine fisheries from 1950 to 2005. We used multiple threshold levels of PPR as percentage of local primary production to define 'fisheries exploitation' and applied them to the global dataset of spatially-explicit marine fisheries catches. This approach enabled us to assign exploitation status across a 0.5 degrees latitude/longitude ocean grid system and trace the change in their status over the 56-year time period. This result highlights the global scale expansion in marine fisheries, from the coastal waters off North Atlantic and West Pacific to the waters in the Southern Hemisphere and into the high seas. The southward expansion of fisheries occurred at a rate of almost one degree latitude per year, with the greatest period of expansion occurring in the 1980s and early 1990s. By the mid 1990s, a third of the world's ocean, and two-thirds of continental shelves, were exploited at a level where PPR of fisheries exceed 10% of PP, leaving only unproductive waters of high seas, and relatively inaccessible waters in the Arctic and Antarctic as the last remaining 'frontiers.' The growth in marine fisheries catches for more than half a century was only made possible through exploitation of new fishing grounds. Their rapidly diminishing number indicates a global limit to growth and highlights the urgent need for a transition to sustainable fishing through reduction of PPR.</t>
  </si>
  <si>
    <t>[Swartz, Wilf; Watson, Reg; Pauly, Daniel] Univ British Columbia, Sea Us Project, Fisheries Ctr, Vancouver, BC V5Z 1M9, Canada; [Sala, Enric] Ctr Estudis Avancats Blanes CSIC, Blanes, Spain; [Sala, Enric] Natl Geog Soc, Washington, DC USA; [Tracey, Sean] Univ Tasmania, Marine Res Labs, Tasmanian Aquaculture &amp; Fisheries Inst, Hobart, Tas, Australia</t>
  </si>
  <si>
    <t>University of British Columbia; Consejo Superior de Investigaciones Cientificas (CSIC); CSIC - Centre d'Estudis Avancats de Blanes (CEAB); National Geographic Society; University of Tasmania</t>
  </si>
  <si>
    <t>Swartz, W (corresponding author), Univ British Columbia, Sea Us Project, Fisheries Ctr, Vancouver, BC V5Z 1M9, Canada.</t>
  </si>
  <si>
    <t>d.pauly@fisheries.ubc.ca</t>
  </si>
  <si>
    <t>Watson, Reg A/F-4850-2012; Pauly, Daniel Marc/AAY-2316-2021; Tracey, Sean/J-7446-2014</t>
  </si>
  <si>
    <t>Watson, Reg A/0000-0001-7201-8865; Pauly, Daniel/0000-0003-3756-4793; Tracey, Sean/0000-0002-6735-5899</t>
  </si>
  <si>
    <t>Pew Charitable Trusts; National Geographic Society; Waitt Foundation</t>
  </si>
  <si>
    <t>Pew Charitable Trusts; National Geographic Society(National Geographic Society); Waitt Foundation</t>
  </si>
  <si>
    <t>This research was funded by the Pew Charitable Trusts (via fundings to the Sea Around Us project), National Geographic Society and the Waitt Foundation. The funders had no role in study design, data collection and analysis, decision to publish, or preparation of the manuscript.</t>
  </si>
  <si>
    <t>e15143</t>
  </si>
  <si>
    <t>10.1371/journal.pone.0015143</t>
  </si>
  <si>
    <t>688QY</t>
  </si>
  <si>
    <t>WOS:000284868000026</t>
  </si>
  <si>
    <t>Ghigliotti, L; Near, TJ; Ferrando, S; Vacchi, M; Pisano, E</t>
  </si>
  <si>
    <t>Ghigliotti, Laura; Near, Thomas J.; Ferrando, Sara; Vacchi, Marino; Pisano, Eva</t>
  </si>
  <si>
    <t>Cytogenetic diversity in the Antarctic plunderfishes (Notothenioidei: Artedidraconidae)</t>
  </si>
  <si>
    <t>chromosomes; cytogenetic mapping; Victoria Land Transect</t>
  </si>
  <si>
    <t>DOLLOIDRACO-LONGEDORSALIS PERCIFORMES; RIBOSOMAL DNA; MENTAL BARBEL; ROSS SEA; MIRUS PERCIFORMES; PISCES; FISHES; MITOCHONDRIAL; CHROMOSOMES; MORPHOLOGY</t>
  </si>
  <si>
    <t>Antarctic plunderfishes (Notothenioidei, Artedidraconidae) are important components of the Southern Ocean fish fauna. As a contribution to the Victoria Land Transect Project, we performed a cytogenetic analysis of six species from three of the four artedidraconid genera, Artedidraco glareobarbatus, A. orianae, A. skottsbergi, A. shackletoni, Histiodraco velifer, and Pogonophryne sp. We investigated the species-specific cytogenetic features and highlighted patterns of chromosomal evolutionary change using a molecular phylogeny based on mitochondrial and nuclear genes. Despite a conserved diploid number, some important karyotypic traits account for major differences among artedidraconid species. Specific cytogenetic features, including the chromosomal organization of ribosomal genes and the occurrence of sex chromosomes, are characteristics of A. skottsbergi, making this species distinct among those studied. These chromosomal peculiarities are consistent with the phylogenetic hypothesis resolving A. skottsbergi as the sister lineage of all other Artedidraconidae. A karyological similarity was found between A. glareobarbatus and A. shackletoni consistent with their inferred sister species relationship in the phylogeny. The results indicate that artedidraconids are not conservative in their genomic organization at the chromosomal level and provide new evidence for the degree of biological diversity in this notothenioid group.</t>
  </si>
  <si>
    <t>[Ghigliotti, Laura; Ferrando, Sara; Pisano, Eva] Univ Genoa, Dept Biol, I-16132 Genoa, Italy; [Near, Thomas J.] Yale Univ, Peabody Museum Nat Hist, New Haven, CT 06520 USA; [Near, Thomas J.] Yale Univ, Dept Ecol &amp; Evolutionary Biol, New Haven, CT 06520 USA; [Vacchi, Marino] Univ Genoa, Natl Antarctic Museum, I-16132 Genoa, Italy; [Vacchi, Marino] Univ Genoa, ISPRA, I-16132 Genoa, Italy</t>
  </si>
  <si>
    <t>University of Genoa; Yale University; Yale University; University of Genoa; University of Genoa</t>
  </si>
  <si>
    <t>Ghigliotti, L (corresponding author), Univ Genoa, Dept Biol, Viale Benedetto 15 5, I-16132 Genoa, Italy.</t>
  </si>
  <si>
    <t>laura.ghigliotti@unige.it</t>
  </si>
  <si>
    <t>Ghigliotti, Laura/J-3076-2012; Ghigliotti, Laura/AAN-6843-2021; Near, Thomas J./K-1204-2012; Ferrando, Sara/AAC-9934-2022</t>
  </si>
  <si>
    <t>Ghigliotti, Laura/0000-0003-2139-1381; Near, Thomas J./0000-0002-7398-6670; Ferrando, Sara/0000-0002-5781-9709</t>
  </si>
  <si>
    <t>Italian National Program for Antarctic Research (PNRA); Victoria Land Transect Project</t>
  </si>
  <si>
    <t>Research was supported by the Italian National Program for Antarctic Research (PNRA), Victoria Land Transect Project (Scientific leader Riccardo Cattaneo-Vietti). We are grateful to the Captain and the crew of the RV Italica for assistance and collaboration during the 2004 VLT cruise. Nicole Ponta collaborated in the FISH analyses at the University of Genoa. The study contributes to the SCAR Research Program Evolution and Biodiversity in Antarctica (EBA)''.</t>
  </si>
  <si>
    <t>DEC</t>
  </si>
  <si>
    <t>10.1017/S0954102010000660</t>
  </si>
  <si>
    <t>696VU</t>
  </si>
  <si>
    <t>WOS:000285470300022</t>
  </si>
  <si>
    <t>Malinverno, E</t>
  </si>
  <si>
    <t>Malinverno, Elisa</t>
  </si>
  <si>
    <t>Extant morphotypes of Distephanus speculum (Silicoflagellata) from the Australian sector of the Southern Ocean: Morphology, morphometry and biogeography</t>
  </si>
  <si>
    <t>MARINE MICROPALEONTOLOGY</t>
  </si>
  <si>
    <t>Distephanus speculum var. monospicatus; Morphotypes; Morphometry; Biogeography; Southern Ocean; Polar Front</t>
  </si>
  <si>
    <t>SEA-DRILLING-PROJECT; GULF-OF-CALIFORNIA; GUAYMAS BASIN; DIATOMS; COCCOLITHOPHORES; BIOSTRATIGRAPHY; PACIFIC; CLIMATE</t>
  </si>
  <si>
    <t>Extant morphotypes of Distephanus speculum (Ehrenberg 1839) Heckel 1887, analysed from a latitudinal transect of surface water samples and one hydrological station in the Southern Ocean, display a distinct biogeographic distribution pattern. Morphometric analyses performed on a total of 250 specimens from 12 selected samples reveal that some morphotypes, separated through secondary morphological characters, can also be separated on a size basis. Small-sized specimens include D. speculum speculum, D. speculum var. monospicatus (var. nov.) and D. speculum bispicatus; medium-sized specimens are represented by D. speculum f. coronata and D. speculum minutus - coronatid and large-sized specimens correspond to D. speculum group B of Tsutsui et al. (2009). The ecological value of the morphological and morphometric characters is discussed here in relation with the latitudinal distribution of the morphotypes. A new taxon, D. speculum var. monospicatus (var. nov.), is described. (C) 2010 Elsevier B.V. All rights reserved.</t>
  </si>
  <si>
    <t>Univ Milano Bicocca, Dept Geol Sci &amp; Geotechnol, Piazza Sci 4, I-20126 Milan, Italy</t>
  </si>
  <si>
    <t>University of Milano-Bicocca</t>
  </si>
  <si>
    <t>Malinverno, E (corresponding author), Univ Milano Bicocca, Dept Geol Sci &amp; Geotechnol, Piazza Sci 4, I-20126 Milan, Italy.</t>
  </si>
  <si>
    <t>elisa.malinverno@unimib.it</t>
  </si>
  <si>
    <t>Malinverno, Elisa/0000-0002-9124-5155</t>
  </si>
  <si>
    <t>Italian PNRA (Piano Nazionale di Ricerca in Antartide)</t>
  </si>
  <si>
    <t>Data and samples for this study were obtained during the XX Italian Antarctic Expedition on board R/V Italica (Austral Summer 2004-2005). Phytoplankton samples were collected and studied within ABIOCLEAR Project, funded by the Italian PNRA (Piano Nazionale di Ricerca in Antartide).</t>
  </si>
  <si>
    <t>0377-8398</t>
  </si>
  <si>
    <t>1872-6186</t>
  </si>
  <si>
    <t>MAR MICROPALEONTOL</t>
  </si>
  <si>
    <t>Mar. Micropaleontol.</t>
  </si>
  <si>
    <t>10.1016/j.marmicro.2010.09.002</t>
  </si>
  <si>
    <t>693OJ</t>
  </si>
  <si>
    <t>WOS:000285233100007</t>
  </si>
  <si>
    <t>Schreve, D; Candy, I</t>
  </si>
  <si>
    <t>Schreve, Danielle; Candy, Ian</t>
  </si>
  <si>
    <t>Interglacial climates: Advances in our understanding of warm climate episodes</t>
  </si>
  <si>
    <t>PROGRESS IN PHYSICAL GEOGRAPHY-EARTH AND ENVIRONMENT</t>
  </si>
  <si>
    <t>Antarctica; climate; Holocene; interglacials; Quaternary; river terraces</t>
  </si>
  <si>
    <t>EPICA DOME C; PLEISTOCENE FLUVIAL SEQUENCES; MIDDLE-PLEISTOCENE; ENVIRONMENTAL-CHANGE; TERRACE DEPOSITS; SOUTHERN ENGLAND; GREAT OUSE; RECORD; UPLIFT; BIOSTRATIGRAPHY</t>
  </si>
  <si>
    <t>The Quaternary is characterized by the alternation of relatively brief periods of temperate climate (interglacials) with episodes of extreme cold, often with the build-up of extensive continental ice sheets. Over the last decade, new research has revealed far greater complexity and diversity in the interglacial record than previously recognized, with temperate-climate episodes of markedly different duration, stability and intensity. These findings not only shed light on the climatic parameters behind changing floras and faunas during the Pleistocene but also aid our understanding of climatic evolution during the Holocene (the current interglacial), in particular the search for the most appropriate past analogues. In this progress report, we review the basis for interglacial complexity, drawing upon the evidence from long continuous terrestrial records in the Mediterranean, Antarctic ice cores and river terrace sequences in western Europe, before using the details of the British Quaternary interglacial record as an example of how marine and terrestrial records can be linked.</t>
  </si>
  <si>
    <t>[Schreve, Danielle] Univ London, Dept Geog, Egham TW20 0EX, Surrey, England</t>
  </si>
  <si>
    <t>University of London; Royal Holloway University London</t>
  </si>
  <si>
    <t>Schreve, D (corresponding author), Univ London, Dept Geog, Egham TW20 0EX, Surrey, England.</t>
  </si>
  <si>
    <t>danielle.schreve@rhul.ac.uk</t>
  </si>
  <si>
    <t>Schreve, Danielle/0000-0001-8974-5882</t>
  </si>
  <si>
    <t>0309-1333</t>
  </si>
  <si>
    <t>1477-0296</t>
  </si>
  <si>
    <t>PROG PHYS GEOG</t>
  </si>
  <si>
    <t>Prog. Phys. Geogr.</t>
  </si>
  <si>
    <t>10.1177/0309133310386869</t>
  </si>
  <si>
    <t>693SI</t>
  </si>
  <si>
    <t>WOS:000285245300006</t>
  </si>
  <si>
    <t>Gautam, S; Singh, J; Pant, AB; Singh, S</t>
  </si>
  <si>
    <t>Gautam, Sanghdeep; Singh, Jaswant; Pant, A. B.; Singh, Sachchidanand</t>
  </si>
  <si>
    <t>Response and adaptive strategies of Antarctic flora to ultraviolet radiation stress (vol 11, pg 93, 2010)</t>
  </si>
  <si>
    <t>JOURNAL OF PHOTOCHEMISTRY AND PHOTOBIOLOGY C-PHOTOCHEMISTRY REVIEWS</t>
  </si>
  <si>
    <t>[Gautam, Sanghdeep; Singh, Jaswant] Dr RML Avadh Univ, Dept Environm Sci, Faizabad 224001, Uttar Pradesh, India; [Pant, A. B.] Indian Inst Toxicol Res, Lucknow, Uttar Pradesh, India; [Singh, Sachchidanand] Natl Phys Lab, Radio &amp; Atmospher Sci Div, New Delhi 110012, India</t>
  </si>
  <si>
    <t>Council of Scientific &amp; Industrial Research (CSIR) - India; CSIR - Indian Institute of Toxicology Research (IITR); Council of Scientific &amp; Industrial Research (CSIR) - India; CSIR - National Physical Laboratory (NPL)</t>
  </si>
  <si>
    <t>1389-5567</t>
  </si>
  <si>
    <t>J PHOTOCH PHOTOBIO C</t>
  </si>
  <si>
    <t>J. Photochem. Photobiol. C-Photochem. Rev.</t>
  </si>
  <si>
    <t>10.1016/j.jphotochemrev.2011.03.001</t>
  </si>
  <si>
    <t>Chemistry, Physical</t>
  </si>
  <si>
    <t>763KN</t>
  </si>
  <si>
    <t>WOS:000290555300006</t>
  </si>
  <si>
    <t>Nedashkovsky, AP; Shvetsova, MG</t>
  </si>
  <si>
    <t>Nedashkovsky, A. P.; Shvetsova, M. G.</t>
  </si>
  <si>
    <t>Total Inorganic Carbon in Sea Ice</t>
  </si>
  <si>
    <t>The method proposed for determining the total inorganic carbon (TC) concentrations in sea ice (Arctic region, North Pole-35 expedition) based on the measurement of the total alkalinity (TA) and the pH in the melt waters without the CO(2) exchange with the atmosphere is considered. It is shown that the TC/Sal and TA/TC values through the entire ice section remain similar to these parameters in the subice water. The surface snow and the uppermost ice layers are characterized by elevated TA/TC values, which indicate the reaction Ca(2+) + 2HCO(3)(-) = down arrow CaCO(3) + up arrow CO(2) + H(2)O. The release of CO(2) to the atmosphere due to the decomposition of calcium hydrocarbonate is as high as similar to 20 mmol/m(2). The meltwater of the examined ice is undersaturated with CO(2), which may result in a sink of atmospheric CO(2) (similar to 30 mmol/m(2)).</t>
  </si>
  <si>
    <t>[Nedashkovsky, A. P.] Arctic &amp; Antarctic Res Inst, St Petersburg 199397, Russia; [Shvetsova, M. G.] Russian Acad Sci, Pacific Oceanol Inst, Far E Div, Vladivostok 690041, Russia</t>
  </si>
  <si>
    <t>Arctic &amp; Antarctic Research Institute; Russian Academy of Sciences; Ilichev Pacific Oceanological Institute</t>
  </si>
  <si>
    <t>Nedashkovsky, AP (corresponding author), Arctic &amp; Antarctic Res Inst, Ul Beringa 38, St Petersburg 199397, Russia.</t>
  </si>
  <si>
    <t>nealpa@mail.ru</t>
  </si>
  <si>
    <t>10.1134/S0001437010060056</t>
  </si>
  <si>
    <t>735PY</t>
  </si>
  <si>
    <t>WOS:000288430600005</t>
  </si>
  <si>
    <t>Sasvári, L; Hegyi, Z</t>
  </si>
  <si>
    <t>Sasvari, Lajos; Hegyi, Zoltan</t>
  </si>
  <si>
    <t>Feeding effort of male Tawny Owls Strix aluco follows a fixed schedule: a field experiment in the early nestling period</t>
  </si>
  <si>
    <t>ACTA ORNITHOLOGICA</t>
  </si>
  <si>
    <t>brood manipulation; chick demands; parental condition; parental effort; Strix aluco; Tawny Owl</t>
  </si>
  <si>
    <t>LONG-LIVED SEABIRD; PARENTAL INVESTMENT; BODY CONDITION; CLUTCH-SIZE; REPRODUCTIVE SUCCESS; ANTARCTIC PETREL; COST; FOOD; POPULATION; CHICK</t>
  </si>
  <si>
    <t>The 'fixed schedule hypothesis' proposes that parental investment is independent of offspring needs in order to maximize adult survival or to prevent reduced future fecundity. We tested this hypothesis on Tawny Owls Strix aluco by experimental manipulation of brood size. We measured the call frequency of begging chicks, feeding frequency of males, overnight weight gain of nestlings and parental body condition in reduced or enlarged broods, and in control broods. In reduced or enlarged broods nestling begging calls reflected the respective decrease or increase in demand, but the frequency with which the males fed did not differ between the reduced and enlarged broods. Consequently, chicks gained body weight more rapidly in reduced broods, whereas those in enlarged broods grew more slowly. Male body weight did not change during the early nestling period when they delivered food to reduced or enlarged broods, but the condition of females worsened in the enlarged broods. As the males did not increase the feeding frequency in the enlarged broods, the females were under pressure to pass on more of the prey to nestlings begging in these broods. Male Tawny Owls regulated their feeding effort according to a fixed schedule, independently of the chicks' needs, to maintain their body condition. Nevertheless, the females whose condition deteriorated during the feeding of enlarged broods did not stop brooding earlier, nor did they suffer mortality in the breeding period.</t>
  </si>
  <si>
    <t>[Sasvari, Lajos] Eszterhazy Karoly Coll Educ, Dept Zool, H-3300 Eger, Hungary; [Hegyi, Zoltan] Management Duna Ipoly Natl Pk, H-1021 Budapest, Hungary</t>
  </si>
  <si>
    <t>Eszterhazy Karoly Catholic University</t>
  </si>
  <si>
    <t>Sasvári, L (corresponding author), Eszterhazy Karoly Coll Educ, Dept Zool, Leanyka U 6, H-3300 Eger, Hungary.</t>
  </si>
  <si>
    <t>lsasvari69@yahoo.com</t>
  </si>
  <si>
    <t>Hungarian National Foundation for Scientific Research [T 067669]; Dept. of Zoology, Eszterhazy Karoly College of Education; Frank M. Chapman Memorial Fund; American Museum of Natural History</t>
  </si>
  <si>
    <t>Hungarian National Foundation for Scientific Research(Orszagos Tudomanyos Kutatasi Alapprogramok (OTKA)); Dept. of Zoology, Eszterhazy Karoly College of Education; Frank M. Chapman Memorial Fund; American Museum of Natural History</t>
  </si>
  <si>
    <t>This work was supported by Hungarian National Foundation for Scientific Research (project T 067669) and the Dept. of Zoology, Eszterhazy Karoly College of Education. We are indebted to Patrik Karell and the anonymous referee for their constructive comments and suggestions. We thank Istvan Hahn, Dept. of Plant Ecology, Eotvos Lorand University, for his statistical analysis. We are grateful to Susan Totterdell, Dept. of Pharmacology, Oxford University for her linguistic corrections. We are also grateful to the Frank M. Chapman Memorial Fund, The American Museum of Natural History, for financial support. Field works and experiments were carried out with the cooperation of the Management of Duna-Ipoly National Park, the Nature Conservation authority in the study area. All examinations in this paper were carried out in accordance with the legal and ethical standards of Hungary.</t>
  </si>
  <si>
    <t>MUSEUM &amp; INST ZOOLOGY</t>
  </si>
  <si>
    <t>WILCZA 64, PL-00-679 WARSAW, POLAND</t>
  </si>
  <si>
    <t>0001-6454</t>
  </si>
  <si>
    <t>1734-8471</t>
  </si>
  <si>
    <t>ACTA ORNITHOL</t>
  </si>
  <si>
    <t>Acta Ornithol.</t>
  </si>
  <si>
    <t>WIN</t>
  </si>
  <si>
    <t>10.3161/000164510X551327</t>
  </si>
  <si>
    <t>712YM</t>
  </si>
  <si>
    <t>WOS:000286702200007</t>
  </si>
  <si>
    <t>Sabbah, I; Tokumaru, M; Duldig, ML; Schuch, NJ</t>
  </si>
  <si>
    <t>Sabbah, I.; Tokumaru, M.; Duldig, M. L.; Schuch, N. J.</t>
  </si>
  <si>
    <t>First observed coronal mass ejection from the Middle East using cosmic rays</t>
  </si>
  <si>
    <t>KUWAIT JOURNAL OF SCIENCE &amp; ENGINEERING</t>
  </si>
  <si>
    <t>muon; galactic cosmic rays; geomagnetic storms</t>
  </si>
  <si>
    <t>SOLAR-WIND; GEOMAGNETIC-ACTIVITY; SPACE WEATHER; SPEED; FIELD</t>
  </si>
  <si>
    <t>The Global Muon Detector Network (GMDN) was significantly enhanced by installing a multi-directional cosmic ray (CR) muon hodoscope at Kuwait University in March, 2006. The GMDN currently consists of four multi-directional muon detectors located at Nagoya (Japan), Hobart (Australia), S?o Martinho da Serra (Brazil) and Kuwait University (Kuwait). This Network continuously monitors the galactic CRs intensity in a total of 60 conventional directional channels covering almost the entire sky. It represents an important tool for forecasting the arrival of a storm sudden commencement (SSC) several hours in advance. We recorded a solar storm precursor on 14 December, 2006; this was the first time a Middle Eastern detector was involved in such an observation. It produced a severe geomagnetic storm that sparked Northern Lights as far south as Arizona, in the United States.</t>
  </si>
  <si>
    <t>[Sabbah, I.] Publ Author Appl Educ &amp; Training, Coll Hlth Sci, Dept Nat Sci, Kuwait, Kuwait; [Tokumaru, M.] Nagoya Univ, Solar Terr Environm Lab, Nagoya, Aichi 4648601, Japan; [Duldig, M. L.] Australian Antarctic Div, Kingston, Tas 7050, Australia; [Schuch, N. J.] So Reg Space Res Ctr CRS INPE, BR-97110970 Santa Maria, RS, Brazil</t>
  </si>
  <si>
    <t>Public Authority for Applied Education &amp; Training (PAAET) - Kuwait; Nagoya University; Australian Antarctic Division</t>
  </si>
  <si>
    <t>Sabbah, I (corresponding author), Publ Author Appl Educ &amp; Training, Coll Hlth Sci, Dept Nat Sci, Kuwait, Kuwait.</t>
  </si>
  <si>
    <t>Schuch, Nelson Jorge/K-9730-2015</t>
  </si>
  <si>
    <t>Kuwait University [SP03/03]</t>
  </si>
  <si>
    <t>Kuwait University</t>
  </si>
  <si>
    <t>The authors are grateful to Kazuoki Munakata, Shinshu University, Matsumoto, Japan, for his useful discussions and suggestions. This work was supported by Kuwait University, Research Grant No. [SP03/03].</t>
  </si>
  <si>
    <t>ACADEMIC PUBLICATION COUNCIL</t>
  </si>
  <si>
    <t>KHALDIYA</t>
  </si>
  <si>
    <t>PO BOX 17225, KHALDIYA 72453, KUWAIT</t>
  </si>
  <si>
    <t>1024-8684</t>
  </si>
  <si>
    <t>KUWAIT J SCI ENG</t>
  </si>
  <si>
    <t>Kuwait J. Sci. Eng.</t>
  </si>
  <si>
    <t>2A</t>
  </si>
  <si>
    <t>722LH</t>
  </si>
  <si>
    <t>WOS:000287433200004</t>
  </si>
  <si>
    <t>Núñez-Riboni, I; Fahrbach, E</t>
  </si>
  <si>
    <t>Nunez-Riboni, Ismael; Fahrbach, Eberhard</t>
  </si>
  <si>
    <t>An observation of the banded structure of the Antarctic Coastal Current at the prime meridian</t>
  </si>
  <si>
    <t>Antarctic Coastal Current; Antarctic Slope Front; countercurrent; current bands; sea ice; Southern Ocean</t>
  </si>
  <si>
    <t>BOTTOM WATER FORMATION; WEDDELL; TRANSPORT; SOUTH; JETS</t>
  </si>
  <si>
    <t>Observations of three bands of westward flow and two countercurrents, spanning roughly 50 km from the ice-shelf edge in front of the Fimbul Ice Shelf (prime meridian) in Antarctica, are presented. A comparison with a numerical model and the proximity of two of these current cores to the ice shelf suggest that they split from the Antarctic Coastal Current because of the influence of sea ice on the surface drag. A comparison with previous studies suggests that the other core is the current associated with the Antarctic Slope Front. Because the Fimbul ice shelf overhangs the continental shelf, the Antarctic Coastal Current displaces offshore, getting close to the Antarctic Slope Front. The obtained structure is derived from conductivity-temperature-depth geostrophic velocities from February 2005, referenced with detided acoustic Doppler current profiler velocities.</t>
  </si>
  <si>
    <t>[Nunez-Riboni, Ismael] Max Planck Inst Meteorol, DE-20146 Hamburg, Germany; [Fahrbach, Eberhard] Alfred Wegener Inst Polar &amp; Marine Res, DE-27570 Bremerhaven, Germany</t>
  </si>
  <si>
    <t>Max Planck Society; Helmholtz Association; Alfred Wegener Institute, Helmholtz Centre for Polar &amp; Marine Research</t>
  </si>
  <si>
    <t>Núñez-Riboni, I (corresponding author), Max Planck Inst Meteorol, Bussestr 53, DE-20146 Hamburg, Germany.</t>
  </si>
  <si>
    <t>ismael.nunez-riboni@zmaw.de</t>
  </si>
  <si>
    <t>Nunez-Riboni, Ismael/HGB-9167-2022</t>
  </si>
  <si>
    <t>German Research Foundation [Geschaftszeichen: FA 436/2-3]</t>
  </si>
  <si>
    <t>German Research Foundation(German Research Foundation (DFG))</t>
  </si>
  <si>
    <t>The kind cooperation of Gerd Rohardt, Boris Cisewski, Anna Akimova, Carmen Boning, Nikolay Koldunov and Svetlana Erofeeva is highly appreciated. Discussions with Laurence Padman and Wolfgang Fennel are especially acknowledged. The authors are also grateful to the German Research Foundation for a research grant (Geschaftszeichen: FA 436/2-3), to the officers, crew and members of the CTD group of the Polarstern ANT-XXII/3 expedition, and to four anonymous reviewers (two of whom examined an earlier version of this paper that was rejected) for their helpful suggestions. INR was at the Alfred Wegener Institute for Polar and Marine Research at the time the research reported here was carried out.</t>
  </si>
  <si>
    <t>10.1111/j.1751-8369.2010.00166.x</t>
  </si>
  <si>
    <t>699TF</t>
  </si>
  <si>
    <t>WOS:000285685000007</t>
  </si>
  <si>
    <t>Tyshko, KP</t>
  </si>
  <si>
    <t>Tyshko, K. P.</t>
  </si>
  <si>
    <t>Some formation peculiarities of physical and mechanical ice characteristics in hummocky formations</t>
  </si>
  <si>
    <t>Main differences are considered in the formation of physical and mechanical ice properties in hummocky formations as compared with level areas of the ice cover. The results of laboratory and field investigations demonstrate that these differences are caused both by dynamometamorphic transformations of crystal ice structure as a result of the compression of ice fields before the beginning of hummocky ice formation and in the process of consolidation of ice blocks within the ice hummocks formed during the winter-spring period.</t>
  </si>
  <si>
    <t>Tyshko, KP (corresponding author), Arctic &amp; Antarctic Res Inst, Ul Beringa 38, St Petersburg 199397, Russia.</t>
  </si>
  <si>
    <t>10.3103/S106837391012006X</t>
  </si>
  <si>
    <t>716OX</t>
  </si>
  <si>
    <t>WOS:000286984400006</t>
  </si>
  <si>
    <t>Lawrence, KT; Sosdian, S; White, HE; Rosenthal, Y</t>
  </si>
  <si>
    <t>Lawrence, K. T.; Sosdian, S.; White, H. E.; Rosenthal, Y.</t>
  </si>
  <si>
    <t>North Atlantic climate evolution through the Plio-Pleistocene climate transitions</t>
  </si>
  <si>
    <t>North Atlantic; Pliocene; Pleistocene; sea surface temperature; bottom water temperature; alkenones</t>
  </si>
  <si>
    <t>DEEP-OCEAN CIRCULATION; MIDDLE PLEISTOCENE TRANSITION; MAJOR GLACIATION CYCLES; HEMISPHERE ICE SHEETS; WATER CIRCULATION; THERMOHALINE CIRCULATION; RAFTING HISTORY; CARBON-DIOXIDE; WARM POOL; SURFACE</t>
  </si>
  <si>
    <t>During the Plio-Pleistocene, the Earth witnessed the growth of large northern hemisphere ice sheets and profound charges in both North Atlantic and global climate. Here, we present a similar to 3.2 Myr long, orbitally-resolved alkenone sea surface temperature (SST) record from Deep Sea Drilling Project (DSDP) Site 607 (41 degrees N, 33 degrees W, water depth 3427 m) in the North Atlantic Ocean. We employ a multi-proxy approach comparing these new observations with existing bottom water temperature (BWT) and stable isotope time series from the same site and SST time series from other sites, shedding new light on Plio-Pleistocene climate change. North Atlantic temperature records show a long-term cooling with two major steps occurring during the late Pliocene (3.1 to 2.4 Ma) and the mid-Pleistocene (1.5 to 0.8 Ma), closely timed with intervals of major change in northern hemisphere ice sheets. Existing evidence suggests that the late Pliocene cooling may have been caused by a thresholded response to secular changes in atmospheric carbon dioxide (CO2). While an explanation for the mid-Pleistocene cooling may involve glacial-interglacial changes in atmospheric CO2, it seems to also require a change in the behavior of the ice sheets themselves. North Atlantic climate responses were closely phased with benthic oxygen isotope (delta O-18) changes during the 41 kyr world, indicating a strong common northern hemisphere high latitude imprint on North Atlantic climate signals. After the mid-Pleistocene transition (MPT), North Atlantic SST records and the Site 607 benthic carbon isotope (delta C-13) record are more closely phased with delta O-18, whereas BWT significantly leads delta O-18 in the 100 kyr band, suggesting a shift from a northern to a southern hemisphere influence on North Atlantic BWT. We propose that the expansion of the West Antarctic ice sheet (WAIS) across the MPT increased the production and export of Antarctic Bottom Water from the Southern Ocean and subsequently controlled its incursion into the North Atlantic, especially during glacial intervals. It follows that the early 100 kyr response of BWT implies an early response of the WAIS relative to the northern hemisphere deglaciation. Thus, in the 100 kyr world, both northern hemisphere and southern hemisphere processes affect climate conditions in the North Atlantic Ocean. (C) 2010 Elsevier B.V. All rights reserved.</t>
  </si>
  <si>
    <t>[Lawrence, K. T.; White, H. E.] Lafayette Coll, Dept Geol &amp; Environm Geosci, Easton, PA 18042 USA; [Sosdian, S.] Cardiff Univ, Sch Earth &amp; Ocean Sci, Cardiff CF10 3YE, S Glam, Wales; [Sosdian, S.; Rosenthal, Y.] Rutgers State Univ, Inst Marine &amp; Coastal Sci, New Brunswick, NJ 08901 USA; [Sosdian, S.; Rosenthal, Y.] Rutgers State Univ, Dept Earth &amp; Planetary Sci, New Brunswick, NJ 08901 USA</t>
  </si>
  <si>
    <t>Lafayette College; Cardiff University; Rutgers University System; Rutgers University New Brunswick; Rutgers University System; Rutgers University New Brunswick</t>
  </si>
  <si>
    <t>Lawrence, KT (corresponding author), Lafayette Coll, Dept Geol &amp; Environm Geosci, 102 Wickle Hall, Easton, PA 18042 USA.</t>
  </si>
  <si>
    <t>lawrenck@lafayette.edu; sosdian@imcs.rutgers.edu; hwhite962@gmail.com; rosentha@marine.rutgers.edu</t>
  </si>
  <si>
    <t>NSF [OCE0623310]; ODP Schlanger Fellowship</t>
  </si>
  <si>
    <t>NSF(National Science Foundation (NSF)); ODP Schlanger Fellowship</t>
  </si>
  <si>
    <t>We thank the Ocean Drilling Program for providing the sediment samples used in this analysis. We are grateful for productive and insightful conversations about this work with T. Herbert, L.C. Peterson, R. Toggweiler, J. Wright, D. Sigman, C.A. Riihimaki, and L Lisiecki. We acknowledge support for this work from NSF grant # OCE0623310 to K.T.L. and an ODP Schlanger Fellowship to S.S.</t>
  </si>
  <si>
    <t>DEC 1</t>
  </si>
  <si>
    <t>10.1016/j.epsl.2010.10.013</t>
  </si>
  <si>
    <t>707KG</t>
  </si>
  <si>
    <t>WOS:000286284600015</t>
  </si>
  <si>
    <t>Ali, K; Sonbawane, S; Chate, DM; Siingh, D; Rao, PSP; Safai, PD; Budhavant, KB</t>
  </si>
  <si>
    <t>Ali, Kaushar; Sonbawane, Sunil; Chate, D. M.; Siingh, Devendraa; Rao, P. S. P.; Safai, P. D.; Budhavant, K. B.</t>
  </si>
  <si>
    <t>Chemistry of snow and lake water in Antarctic region</t>
  </si>
  <si>
    <t>JOURNAL OF EARTH SYSTEM SCIENCE</t>
  </si>
  <si>
    <t>Snow chemistry; aerosol; marine phytoplankton; sea salt</t>
  </si>
  <si>
    <t>DRONNING MAUD LAND; VARIABILITY; MARINE; VOSTOK; CORES</t>
  </si>
  <si>
    <t>Surface snow and lake water samples were collected at different locations around Indian station at Antarctica, Maitri, during December 2004-March 2005 and December 2006-March 2007. Samples were analyzed for major chemical ions. It is found that average pH value of snow is 6.1. Average pH value of lake water with low chemical content is 6.2 and of lake water with high chemical content is 6.5. The Na+ and Cl- are the most abundantly occurring ions at Antarctica. Considerable amount of SO42- is also found in the surface snow and the lake water which is attributed to the oxidation of DMS produced by marine phytoplankton. Neutralization of acidic components of snow is mainly done by NH4+ and Mg2+. The Mg2+, Ca2+ and K+ are nearly equally effective in neutralizing the acidic components in lake water. The NH4+ and SO42- occur over the Antarctica region mostly in the form of (NH4)(2)SO4.</t>
  </si>
  <si>
    <t>[Ali, Kaushar; Sonbawane, Sunil; Chate, D. M.; Siingh, Devendraa; Rao, P. S. P.; Safai, P. D.; Budhavant, K. B.] Indian Inst Trop Meteorol, Pune 411008, Maharashtra, India</t>
  </si>
  <si>
    <t>Ministry of Earth Sciences (MoES) - India; Indian Institute of Tropical Meteorology (IITM)</t>
  </si>
  <si>
    <t>Ali, K (corresponding author), Indian Inst Trop Meteorol, Dr Homi Bhabha Rd, Pune 411008, Maharashtra, India.</t>
  </si>
  <si>
    <t>kaushar@tropmet.res.in</t>
  </si>
  <si>
    <t>Siingh, Dr Devendraa/ABF-2491-2021; Safai, P.D./AAL-9301-2021; BUDHAVANT, KRISHNAKANT/I-6766-2015</t>
  </si>
  <si>
    <t>Siingh, Dr Devendraa/0000-0003-3044-596X; BUDHAVANT, KRISHNAKANT/0000-0003-2753-3192; Siingh, Devendraa Siingh/0000-0002-1716-3688</t>
  </si>
  <si>
    <t>National Centre for Antarctic and Ocean Research (NCAOR), Goa</t>
  </si>
  <si>
    <t>Authors express their gratitude to Prof. B N Goswami, Director, IITM, Pune for his encouragement and support. Thanks are also due to the National Centre for Antarctic and Ocean Research (NCAOR), Goa, for funding the experiment during 24th and 26th IAE.</t>
  </si>
  <si>
    <t>2347-4327</t>
  </si>
  <si>
    <t>0973-774X</t>
  </si>
  <si>
    <t>J EARTH SYST SCI</t>
  </si>
  <si>
    <t>J. Earth Syst. Sci.</t>
  </si>
  <si>
    <t>10.1007/s12040-010-0063-0</t>
  </si>
  <si>
    <t>Geosciences, Multidisciplinary; Multidisciplinary Sciences</t>
  </si>
  <si>
    <t>Geology; Science &amp; Technology - Other Topics</t>
  </si>
  <si>
    <t>705VA</t>
  </si>
  <si>
    <t>WOS:000286167600001</t>
  </si>
  <si>
    <t>Weihaupt, JG; Rice, A; Van der Hoeven, FG</t>
  </si>
  <si>
    <t>Weihaupt, John G.; Rice, Alan; Van der Hoeven, Frans G.</t>
  </si>
  <si>
    <t>Gravity anomalies of the Antarctic lithosphere</t>
  </si>
  <si>
    <t>LITHOSPHERE</t>
  </si>
  <si>
    <t>TRANS-HUDSON OROGEN; MANTLE HEAT-FLOW; CANADIAN SHIELD; PRECAMBRIAN BASEMENT; CONTINENTAL-CRUST; THERMAL STRUCTURE; SEISMIC TOMOGRAPHY; SASKATCHEWAN; EVOLUTION; REDISTRIBUTION</t>
  </si>
  <si>
    <t>Anomalous free-air gravity signals in and around the Antarctic continent have been reported for some decades. Recent definition of the Antarctic gravity field from field-based oversnow traverses and supporting data from Earth-orbiting satellites reveal discrete regions of both negative and positive free-air gravity anomalies. The data from these observations have enabled us to construct a free-air gravity anomaly map of Antarctica. Negative free-air gravity anomalies are found to occur mainly on the Antarctic continent, in particular, in the Wilkes Land, Ross Sea, central continental, and Weddell Sea sectors. Positive free-air gravity anomalies are found to occur mainly in the offshore circum-continental sectors. While each of these regions of anomalies provides excellent opportunities for further investigation, including identification of the causes of the negative and positive free-air gravity anomalies, special attention is given to the negative free-air gravity anomaly sites of the continent proper. Three potential sources of the negative free-air gravity anomalies are identified: the mantle, lithosphere, and crust. Examination of thermally induced density variations in the mantle based upon seismic tomography, and analysis of mantle-related gravity anomaly wavelengths favor a gravity anomaly source other than the mantle. Examination of the subcrustal lithosphere based on upper-mantle thermal structure, the origin of the lithosphere, and crustal influences on the underlying lithosphere, including radiogenic heat, implies that the source of the negative free-air gravity anomalies is less likely to be the subcrustal lithosphere and more likely to be located in the Antarctic crust. Examination of possible crustal features that might account for these anomalies leads to a consideration of subglacial topography and specific locales of anomalously low rock density.</t>
  </si>
  <si>
    <t>[Weihaupt, John G.] Univ Colorado, Dept Geol, Denver, CO 80217 USA; [Rice, Alan] Amer Museum Nat Hist, Dept Earth &amp; Planetary Sci, New York, NY 10024 USA; [Van der Hoeven, Frans G.] Delft Univ Technol, Dept Geophys, Delft, Netherlands</t>
  </si>
  <si>
    <t>University of Colorado System; University of Colorado Denver; American Museum of Natural History (AMNH); Delft University of Technology</t>
  </si>
  <si>
    <t>Weihaupt, JG (corresponding author), Univ Colorado, Dept Geol, Denver, CO 80217 USA.</t>
  </si>
  <si>
    <t>1941-8264</t>
  </si>
  <si>
    <t>1947-4253</t>
  </si>
  <si>
    <t>LITHOSPHERE-US</t>
  </si>
  <si>
    <t>Lithosphere</t>
  </si>
  <si>
    <t>10.1130/L116.1</t>
  </si>
  <si>
    <t>Geochemistry &amp; Geophysics; Geology</t>
  </si>
  <si>
    <t>672BV</t>
  </si>
  <si>
    <t>WOS:000283558900006</t>
  </si>
  <si>
    <t>Miao, BK; Lin, YT; Hu, S; Shen, WJ; Wang, BH; Feng, L; Liu, T</t>
  </si>
  <si>
    <t>Miao BingKui; Lin YangTing; Hu Sen; Shen WenJie; Wang BaoHua; Feng Lu; Liu Tao</t>
  </si>
  <si>
    <t>Grove Mountains (GRV) 052382, from East Antarctica: Likely a most heavily shocked ureilite</t>
  </si>
  <si>
    <t>ACTA PETROLOGICA SINICA</t>
  </si>
  <si>
    <t>Antarctic meteorite; Ureilite; Shock metamorphism; Grove Mountains</t>
  </si>
  <si>
    <t>METEORITICAL BULLETIN; ORDINARY CHONDRITES; ORIGIN; OXYGEN; CLASSIFICATION; ISOTOPES</t>
  </si>
  <si>
    <t>Grove Mountains (GRV) 052382 is a new highly shocked ureilite found in Grove Mountains, East Antarctica. It is composed mainly of olivine (75%), pigeonite (5%), carbonaceous interstitial (20%) and a little of metal. Olivine is subidiomorphic equigranular texture with the size of 10 similar to 20 mu m, and there is pyroxene melt among them. Based on the distribution of carbonaceous interstitial and grain boundary, the original outlines of olivine grains can be distinguished, and the size of original olivine grains ranges from 0.5 to 1.5 mm. The original grains of olivine have reduction zones, which the fine olivine grains in the rim are rich in MgO, while ones in the core are rich in FeO. Due to strong reduction, the core of the original olivine grains varies greatly in composition (Fa(12.2-21.8)), so the original olivine should be more than 21.8% in Fa. Pigeonite is round-shaped with size of 0.4 similar to 0.9mm, and is almost identical in compostion between intergrains (En(76.4-82.6)Wo(4.6-9.8) Fs(10.9.13.8)). But it has wave-varied composition caused by strong shock effect in a single grain. The carbonaceous interstitial between the original olivine grain and pigeonite, is composed mainly of carbon and MgO-rich silicate. The main polymorph of carbon is graphite which occurs as amoiboid-shape and/or net, the size is about 0.2 similar to 0.4 mm. And the other minor polymorph is diamond which embedded in graphite as small grains (1 similar to 3 mu m). Thus, these petrological characteristics suggest that GRV 052382 has a typical ureilitic texture and is a monomict ureilite. On the basis of the composition of olivine, GRV 052382 is futhurly classed into the FeO subtype ( type I). Furthermore, the heavily shocked effects, including (1) shocked fine-grained granulitic texture of olivine; (2) the round outline of fine olivine grains and melt. interstitial among the fine grains; (3) the wavy variation of composition in pigeonite; (4) a great deal of irregular shaped vesicles in pigeonite; (5) some kamacite filling in fracture and vesicles, (6) transformation of diamond from graphite, indicate that GRV 052382 has the heavily shock stage of S6. Therefore, GRV 052382 is likely a heavily shocked ureilite, which will probably provide some direct evidence of shock history of ureilites and further to get insight on the history of shock events experienced by the ureilite parent body by the later detail study.</t>
  </si>
  <si>
    <t>[Miao BingKui; Wang BaoHua] Guilin Univ Technol, Geol Engn Ctr Guangxi Prov, Key Lab, Guilin 541004, Peoples R China; [Miao BingKui; Wang BaoHua] Guilin Univ Technol, Coll Earth Sci, Guilin 541004, Peoples R China; [Lin YangTing; Hu Sen; Shen WenJie; Feng Lu; Liu Tao] Chinese Acad Sci, Inst Geol &amp; Geophys, Key Lab Earths Deep Interior, Beijing 100029, Peoples R China</t>
  </si>
  <si>
    <t>Guilin University of Technology; Guilin University of Technology; Chinese Academy of Sciences; Institute of Geology &amp; Geophysics, CAS</t>
  </si>
  <si>
    <t>Miao, BK (corresponding author), Guilin Univ Technol, Geol Engn Ctr Guangxi Prov, Key Lab, Guilin 541004, Peoples R China.</t>
  </si>
  <si>
    <t>miaobk@glite.edu.cn</t>
  </si>
  <si>
    <t>lin, yt/IQT-6771-2023; Shen, Wenjie/H-5343-2011; Lin, Yangting/A-8845-2015</t>
  </si>
  <si>
    <t>1000-0569</t>
  </si>
  <si>
    <t>2095-8927</t>
  </si>
  <si>
    <t>ACTA PETROL SIN</t>
  </si>
  <si>
    <t>Acta Petrol. Sin.</t>
  </si>
  <si>
    <t>709PG</t>
  </si>
  <si>
    <t>WOS:000286452000010</t>
  </si>
  <si>
    <t>Aramaki, T; Boggs, SE; Craig, WW; Fuke, H; Gahbauer, F; Hailey, CJ; Koglin, JE; Madden, N; Mori, K; Ong, RA; Yoshida, T</t>
  </si>
  <si>
    <t>Aramaki, T.; Boggs, S. E.; Craig, W. W.; Fuke, H.; Gahbauer, F.; Hailey, C. J.; Koglin, J. E.; Madden, N.; Mori, K.; Ong, R. A.; Yoshida, T.</t>
  </si>
  <si>
    <t>Antideuterons as an indirect dark matter signature: Si(Li) detector development and a GAPS balloon mission</t>
  </si>
  <si>
    <t>Dark matter; Antiparticle; Antiproton; Antideuteron; Exotic atom; GAPS</t>
  </si>
  <si>
    <t>The General AntiParticle Spectrometer (GAPS) is a novel approach for indirect dark matter searches that exploits cosmic antideuterons. GAPS complements existing and planned direct dark matter searches as well as other indirect techniques, probing a different and unique region of parameter space in a variety of proposed dark matter models. The GAPS method involves capturing antiparticles into a target material with the subsequent formation of an excited exotic atom. The exotic atom decays with the emission of atomic X-rays and pions from the nuclear annihilation, which uniquely identifies the captured antiparticle. This technique has been verified through the accelerator testing at KEK in 2004 and 2005. The prototype flight is scheduled from Hokkaido, Japan in 2011, preparatory for a long duration balloon flight from the Antarctic in 2014. Published by Elsevier Ltd. on behalf of COSPAR.</t>
  </si>
  <si>
    <t>[Aramaki, T.; Hailey, C. J.; Koglin, J. E.; Madden, N.; Mori, K.] Columbia Univ, Columbia Astrophys Lab, New York, NY 10027 USA; [Boggs, S. E.; Craig, W. W.] Univ Calif Berkeley, Space Sci Lab, Berkeley, CA 94720 USA; [Ong, R. A.] Univ Calif Los Angeles, Dept Phys &amp; Astron, Los Angeles, CA 90095 USA; [Fuke, H.; Yoshida, T.] Japan Aerosp Explorat Agcy ISAS JAXA, Inst Space &amp; Astronaut Sci, Sagamihara, Kanagawa 2298510, Japan; [Gahbauer, F.] Univ Latvia, Dept Phys, LV-1586 Riga, Latvia</t>
  </si>
  <si>
    <t>Columbia University; University of California System; University of California Berkeley; University of California System; University of California Los Angeles; Japan Aerospace Exploration Agency (JAXA); Institute of Space &amp; Astronautical Science (ISAS); University of Latvia</t>
  </si>
  <si>
    <t>Aramaki, T (corresponding author), Columbia Univ, Columbia Astrophys Lab, 538 W 120th St, New York, NY 10027 USA.</t>
  </si>
  <si>
    <t>tsuguo@phys.columbia.edu</t>
  </si>
  <si>
    <t>Gahbauer, Florian/M-8734-2019; Boggs, Steven E/E-4170-2015; Gahbauer, Florian H/J-9542-2014</t>
  </si>
  <si>
    <t>Gahbauer, Florian/0000-0002-7126-2513; Gahbauer, Florian H/0000-0002-7126-2513; Yoshida, Tetsuya/0000-0003-0553-0150; Ong, Rene/0000-0002-4837-5253; Aramaki, Tsuguo/0000-0002-5104-4682</t>
  </si>
  <si>
    <t>NASA APRA [NAG5-5393, NNG06WC06G]; Grants-in-Aid for Scientific Research [22340073] Funding Source: KAKEN</t>
  </si>
  <si>
    <t>NASA APRA(National Aeronautics &amp; Space Administration (NASA)); Grants-in-Aid for Scientific Research(Ministry of Education, Culture, Sports, Science and Technology, Japan (MEXT)Japan Society for the Promotion of ScienceGrants-in-Aid for Scientific Research (KAKENHI))</t>
  </si>
  <si>
    <t>This work was supported in part by a NASA APRA grants NAG5-5393 and NNG06WC06G.</t>
  </si>
  <si>
    <t>10.1016/j.asr.2010.06.036</t>
  </si>
  <si>
    <t>676LW</t>
  </si>
  <si>
    <t>WOS:000283914100002</t>
  </si>
  <si>
    <t>Dye, TD; Lane, H; Stam, D</t>
  </si>
  <si>
    <t>Dye, Timothy De Ver; Lane, Heather; Stam, David</t>
  </si>
  <si>
    <t>Dreadful to Behold: Frostbite on the 1910-1913 British Antarctic Expedition</t>
  </si>
  <si>
    <t>AMERICAN JOURNAL OF PUBLIC HEALTH</t>
  </si>
  <si>
    <t>[Dye, Timothy De Ver] SUNY Upstate Med Univ, Inst Human Performance, Dept Publ Hlth &amp; Prevent Med, Ctr Res &amp; Evaluat, Syracuse, NY 13210 USA; [Lane, Heather] Univ Cambridge, Scott Polar Res Inst, Cambridge CB2 1ER, England; [Stam, David] Syracuse Univ, Dept Hist, Maxwell Sch, Syracuse, NY USA</t>
  </si>
  <si>
    <t>State University of New York (SUNY) System; State University of New York (SUNY) Upstate Medical Center; University of Cambridge; Syracuse University</t>
  </si>
  <si>
    <t>Dye, TD (corresponding author), SUNY Upstate Med Univ, Inst Human Performance, Dept Publ Hlth &amp; Prevent Med, Ctr Res &amp; Evaluat, 505 Irving Ave,Room 4004, Syracuse, NY 13210 USA.</t>
  </si>
  <si>
    <t>Dye, Timothy/HHY-9965-2022</t>
  </si>
  <si>
    <t>Dye, Timothy/0000-0002-9801-4712</t>
  </si>
  <si>
    <t>AMER PUBLIC HEALTH ASSOC INC</t>
  </si>
  <si>
    <t>800 I STREET, NW, WASHINGTON, DC 20001-3710 USA</t>
  </si>
  <si>
    <t>0090-0036</t>
  </si>
  <si>
    <t>AM J PUBLIC HEALTH</t>
  </si>
  <si>
    <t>Am. J. Public Health</t>
  </si>
  <si>
    <t>10.2105/AJPH.2010.193474</t>
  </si>
  <si>
    <t>Public, Environmental &amp; Occupational Health</t>
  </si>
  <si>
    <t>684QB</t>
  </si>
  <si>
    <t>WOS:000284563300013</t>
  </si>
  <si>
    <t>Jadhav, VV; Jamle, MM; Pawar, PD; Devare, MN; Bhadekar, RK</t>
  </si>
  <si>
    <t>Jadhav, Vipra Vijay; Jamle, Manoj Mahadev; Pawar, Pravin Dnyaneshwar; Devare, Mayur Nimbadas; Bhadekar, Rama Kaustubh</t>
  </si>
  <si>
    <t>Fatty acid profiles of PUFA producing Antarctic bacteria: correlation with RAPD analysis</t>
  </si>
  <si>
    <t>ANNALS OF MICROBIOLOGY</t>
  </si>
  <si>
    <t>Biotechnology; Chemotaxonomy; DHA and EPA; Halotolerant and psychrotolerant; Marine; Monomorphism and polymorphism</t>
  </si>
  <si>
    <t>DIFFERENTIATION; IDENTIFICATION; SHEWANELLA; DIVERSITY; FISH; LAKE</t>
  </si>
  <si>
    <t>The significance of polyunsaturated fatty acids (PUFA) to humans lies in their biological activity, as precursors for groups of nutritionally important compounds and as essential cellular components. They are also crucial in animals for the proper development of retinal and nervous tissue. In this work, Antarctic sea samples were used to isolate bacterial cultures producing PUFA. Three bacterial strains were isolated from three different samples and they were named as BRI 1, BRI 7 and BRI 28. Percentage of eicosapentaenoic acid (EPA) was 42.7 and 42.6 of total fatty acids in BRI 7 and 28 respectively. Whereas, docosahexaenoic acid (DHA) (1.4%) was detected only in BRI 28. BRI 7 and 28 showed considerable similarities in their fatty acid profiles, hence these three isolates were further used for random amplification of polymorphic DNA (RAPD) analysis using nine random primers to confirm their genetic relatedness. In contrast to fatty acid profiles, maximum polymorphism (58%) was obtained between BRI 7 and 28, while maximum monomorphism (83.63%) was observed between BRI 1 and 7. Our results indicate that, although the conservation of PUFA genes may point to their potential utilization as phylogenetic markers in culture-independent ecological studies, the biosynthetic diversity of bacterial PUFA production has yet to be fully described.</t>
  </si>
  <si>
    <t>[Jadhav, Vipra Vijay; Jamle, Manoj Mahadev; Pawar, Pravin Dnyaneshwar; Devare, Mayur Nimbadas; Bhadekar, Rama Kaustubh] Bharati Vidyapeeth Deemed Univ, Dept Microbial Biotechnol, Rajiv Gandhi Inst IT &amp; Biotechnol, Pune 411046, Maharashtra, India</t>
  </si>
  <si>
    <t>Bharati Vidyapeeth Deemed University</t>
  </si>
  <si>
    <t>Bhadekar, RK (corresponding author), Bharati Vidyapeeth Deemed Univ, Dept Microbial Biotechnol, Rajiv Gandhi Inst IT &amp; Biotechnol, Pune 411046, Maharashtra, India.</t>
  </si>
  <si>
    <t>Devare, Mayur/AAX-1941-2021</t>
  </si>
  <si>
    <t>Devare, Mayur/0000-0002-2697-4781</t>
  </si>
  <si>
    <t>Department of Biotechnology, New Delhi, Govt. of India</t>
  </si>
  <si>
    <t>This work is supported by Department of Biotechnology, New Delhi, Govt. of India. We are thankful to Director, National Centre for Antarctic and Ocean Research. Shri Bhupesh Sharma and Shri Narendra Pal of Shriram Institute of Industrial Research are acknowledged for their help in collecting sea water samples during the Expedition. We are grateful to Hon. Dr. Shivajirao Kadam, V.C., Bharati Vidyapeeth Deemed University and Dr. R.M. Kothari, Principal, Rajiv Gandhi Institute of I.T and Biotechnology, for providing facilities to undertake this work. We are thankful to Dr. D.P. Nerkar and Ms. Dipti Salunkhe for their timely help in this work.</t>
  </si>
  <si>
    <t>1590-4261</t>
  </si>
  <si>
    <t>1869-2044</t>
  </si>
  <si>
    <t>ANN MICROBIOL</t>
  </si>
  <si>
    <t>Ann. Microbiol.</t>
  </si>
  <si>
    <t>10.1007/s13213-010-0114-4</t>
  </si>
  <si>
    <t>Biotechnology &amp; Applied Microbiology; Microbiology</t>
  </si>
  <si>
    <t>690YX</t>
  </si>
  <si>
    <t>WOS:000285047700014</t>
  </si>
  <si>
    <t>Balks, MR; Butler, E; Gordon, S; Howard-Williams, C</t>
  </si>
  <si>
    <t>Balks, Megan R.; Butler, Ed; Gordon, Shulamit; Howard-Williams, Clive</t>
  </si>
  <si>
    <t>Promoting effective, collaborative, interdisciplinary research</t>
  </si>
  <si>
    <t>Howard-Williams, Clive/0000-0002-8323-6806</t>
  </si>
  <si>
    <t>10.1017/S0954102010000854</t>
  </si>
  <si>
    <t>WOS:000285470300001</t>
  </si>
  <si>
    <t>Howard-Williams, C; Hawes, I; Gordon, S</t>
  </si>
  <si>
    <t>Howard-Williams, Clive; Hawes, Ian; Gordon, Shulamit</t>
  </si>
  <si>
    <t>The environmental basis of ecosystem variability in Antarctica: research in the Latitudinal Gradient Project</t>
  </si>
  <si>
    <t>biogeography; climate; marine ecosystems; terrestrial ecosystems; Victoria Land; water availability</t>
  </si>
  <si>
    <t>VICTORIA LAND COAST; MCMURDO DRY VALLEYS; ROSS SEA; CAPE HALLETT; BENTHIC COMMUNITIES; BIODIVERSITY; NORTHERN; ICE; STRATIFICATION; ASSEMBLAGES</t>
  </si>
  <si>
    <t>After a decade of research, New Zealand's Latitudinal Gradient Project (LGP) now includes primary sites from Cape Hallett (72 degrees S) to the Darwin Glacier (80 degrees S), while additional observations extend the latitudinal transect from 84 degrees S to sub-Antarctic regions. The LGP has been structured around a hypothesis that, in a frigid continent, ice dynamics is the key ecosystem variable. For terrestrial environments, two aspects of ice dynamics appear to underlie much of the observed variability. Firstly, the aridity of the region makes the transition from ice to water a key ecological factor, and secondly, the legacy of ice dynamics dating as far back as the Pliocene is imprinted on biogeography. These factors operate at difference temporal and spatial scales and neither is monotonically related to latitude. Both are also complicated by meso-scale cross gradients of altitude and distance from the sea and micro-scale local variability. Whilst climate does vary on a broad-scale, differences within the northern and central parts of Victoria Land that the LGP has so far examined are insufficient to impose any overarching effect that can overwhelm these more local effects. The result is a multiple-scale patchwork of habitats and communities, more or less replicated across the transect, in which variability at any given latitude generally exceeds variability between latitudes. A lesser quantum of research has been directed at marine ecosystems, but here there is a similar picture of local variability dominating within the Ross Sea, with significant latitude-scale effects only emerging when transects are extended into maritime-and sub-Antarctic regions. It is implicit, but not specifically recognized in the LGP context, that a further confounding effect on the interpretation of 'transect' information is the multiple stressor concept that requires a simultaneous analysis of interacting (synergistic or antagonistic) factors and environmental responses. As the LGP continues to extend further south, climate is expected to become more extreme, and water availability may change sufficiently for loss of habitat and species diversity to occur. Here we discuss options for refining the LGP approach to optimize its potential for understanding variability, and the factors underpinning this, in the Ross Sea Sector.</t>
  </si>
  <si>
    <t>[Howard-Williams, Clive] NIWA, Christchurch, New Zealand; [Hawes, Ian] Aquat Res Solut Ltd, Cambridge, New Zealand; [Gordon, Shulamit] Antarctica New Zealand, Christchurch, New Zealand</t>
  </si>
  <si>
    <t>Howard-Williams, C (corresponding author), NIWA, POB 8602, Christchurch, New Zealand.</t>
  </si>
  <si>
    <t>c.howard-williams@niwa.co.nz</t>
  </si>
  <si>
    <t>Howard-Williams, Clive/0000-0002-8323-6806; Hawes, Ian/0000-0003-2471-6903</t>
  </si>
  <si>
    <t>New Zealand Foundation for Research Science and Technology; New Zealand Ministry of Fisheries; University of Waikato; University of Wellington; University of Canterbury; US National Science Foundation; UK Natural Environment Research Council; Antarctica New Zealand; Ministry of Foreign Affairs and Trade</t>
  </si>
  <si>
    <t>New Zealand Foundation for Research Science and Technology(New Zealand Foundation for Research, Science and Technology); New Zealand Ministry of Fisheries; University of Waikato; University of Wellington; University of Canterbury; US National Science Foundation(National Science Foundation (NSF)); UK Natural Environment Research Council(UK Research &amp; Innovation (UKRI)Natural Environment Research Council (NERC)); Antarctica New Zealand; Ministry of Foreign Affairs and Trade</t>
  </si>
  <si>
    <t>The LGP Scientific Steering Committee currently Drs Megan Balks (Chair), Clive Howard-Williams, Mark Stevens, Ian Hogg, Jenny Webster-Brown, Vonda Cummings, Ed Butler and Shulamit Gordon, together with former members of that team, has provided the science strategy that underpins the LGP activities and directions and their contribution is acknowledged. The LGP research is funded through the New Zealand Foundation for Research Science and Technology, the New Zealand Ministry of Fisheries, the Universities of Waikato, Wellington and Canterbury, the US National Science Foundation and the UK Natural Environment Research Council. Funding for the field logistics and transport has been through Antarctica New Zealand with an additional grant from the Ministry of Foreign Affairs and Trade. We thank The SCAR Biology Programme Evolution and Biodiversity in the Antarctic (EBA) and The New Zealand Trans-Antarctic Association for making the publication of this Special Issue possible. We acknowledge our international colleagues for the numerous insights and inspirations that they have given over the years, particularly the US McMurdo Dry Valleys Long Term Ecological Research programme, notably Professors Diana Wall, Dianne McKnight, Berry Lyons, John Priscu, Peter Doran and Andrew Fountain, who provide an example of long-term dedication to focussed research. We thank Cathy Seybold for assistance with retrieval of AWS data from University of Wisconsin archives and the anonymous reviewers.</t>
  </si>
  <si>
    <t>10.1017/S0954102010000829</t>
  </si>
  <si>
    <t>WOS:000285470300002</t>
  </si>
  <si>
    <t>Storey, BC; Fink, D; Hood, D; Joy, K; Shulmeister, J; Riger-Kusk, M; Stevens, MI</t>
  </si>
  <si>
    <t>Storey, B. C.; Fink, D.; Hood, D.; Joy, K.; Shulmeister, J.; Riger-Kusk, M.; Stevens, M. I.</t>
  </si>
  <si>
    <t>Cosmogenic nuclide exposure age constraints on the glacial history of the Lake Wellman area, Darwin Mountains, Antarctica</t>
  </si>
  <si>
    <t>cosmogenic exposure dating; Last Glacial Maximum; Latitudinal Gradient Project</t>
  </si>
  <si>
    <t>MARIE-BYRD-LAND; ICE-SHEET; EAST ANTARCTICA; VICTORIA LAND; DEGLACIATION; MAXIMUM; BE-10; SPRINGTAILS; DYNAMICS; EROSION</t>
  </si>
  <si>
    <t>We present direct terrestrial evidence of ice volume change of the Darwin and Hatherton glaciers which channel ice from the Transantarctic Mountains into the Ross Ice Shelf. Combining glacial geomorphology with cosmogenic exposure ages from 25 erratics indicates a pre-LGM ice volume at least 600m thicker than current Hatherton ice elevation was established at least 2.2 million years ago. In particular, five erratics spread across a drift deposit at intermediate elevations located below a prominent moraine feature mapped previously as demarcating the LGM ice advance limits, give a well-constrained single population with mean 10 Be age of 37.0 +/- 5.5 ka (1 sigma). At lower elevations of 50-100m above the surface of Lake Wellman, a further five samples from within a younger drift deposit range in exposure age from 1 to 19 ka. Our preferred age model interpretation, which is partly dependent on the selection of a minimum or maximum age-elevation model, suggests that LGM ice volume was not as large as previously estimated and constrains LGM ice elevation to be within +/-50 m of the modern Hatherton Glacier ice surface, effectively little different from what is observed today.</t>
  </si>
  <si>
    <t>[Storey, B. C.; Hood, D.; Joy, K.; Riger-Kusk, M.] Univ Canterbury, Gateway Antarctica, Christchurch 1, New Zealand; [Fink, D.] ANSTO, Inst Environm Res, PMB1, Menai, NSW 2234, Australia; [Shulmeister, J.] Univ Queensland, St Lucia, Qld 4072, Australia; [Stevens, M. I.] Univ Adelaide, Sch Earth &amp; Environm Sci, Adelaide, SA 5000, Australia; [Stevens, M. I.] S Australian Museum, Adelaide, SA 5000, Australia</t>
  </si>
  <si>
    <t>University of Canterbury; Australian Nuclear Science &amp; Technology Organisation; University of Queensland; University of Adelaide</t>
  </si>
  <si>
    <t>Storey, BC (corresponding author), Univ Canterbury, Gateway Antarctica, Private Bag 4800, Christchurch 1, New Zealand.</t>
  </si>
  <si>
    <t>Bryan.storey@canterbury.ac.nz</t>
  </si>
  <si>
    <t>fink, David/A-9518-2012; shulmeister, james/J-2859-2015</t>
  </si>
  <si>
    <t>fink, David/0000-0001-7156-4602; shulmeister, james/0000-0001-5863-9462</t>
  </si>
  <si>
    <t>AINSE; ANSTO [0203v]</t>
  </si>
  <si>
    <t>AINSE; ANSTO</t>
  </si>
  <si>
    <t>We are very grateful to the excellent field support from Antarctica New Zealand as part of the Latitudinal Gradient Project (LGP). In particular, we thank S. Gordon, I. Millar, R. Turk and M. Knox for logistics and/or field planning and assistance. We also thank Paul Brody for identification of algae. We are very grateful to the reviewers who provided very useful suggestions to improve the manuscript. We acknowledge financial support for this work from AINSE and from ANSTO's CcASH project 0203v (Cosmogenic Climate Archives of the Southern Hemisphere).</t>
  </si>
  <si>
    <t>10.1017/S0954102010000799</t>
  </si>
  <si>
    <t>WOS:000285470300003</t>
  </si>
  <si>
    <t>Zawar-Reza, P; George, S; Storey, B; Lawson, W</t>
  </si>
  <si>
    <t>Zawar-Reza, Peyman; George, Steve; Storey, Bryan; Lawson, Wendy</t>
  </si>
  <si>
    <t>Summertime boundary layer winds over the Darwin-Hatherton glacial system, Antarctica: observed features and numerical analysis</t>
  </si>
  <si>
    <t>anabatic; blue ice; katabatic; Latitudinal Gradient Project; Polar-WRF</t>
  </si>
  <si>
    <t>SURFACE-ENERGY BALANCE; FORECASTING WRF MODEL; BLUE-ICE AREAS; KATABATIC FLOW; ADELIE LAND; WEATHER RESEARCH; COATS LAND; MAUD-LAND; REGIME; SHEETS</t>
  </si>
  <si>
    <t>Three temporary Automatic Weather Stations measured summertime surface layer climate over the Darwin-Hatherton Glacial system. These data were used to test a Polar optimized Weather Research and Forecasting model (Polar-WRF) simulation for December as a case study. Observations show differences in hourly averaged solar and net all-wave radiation between white ice and blue ice areas (BIAs). Although the down-welling solar radiation is higher over the white ice region, the net all-wave energy is higher over the BIA. Derived albedo for each surface type confirms that the blue ice areas have lower albedo. Also, the hourly averaged temperatures are higher at lower elevation stations, creating a gradient towards the Ross Ice Shelf. Analysis shows that there is a diurnal oscillation in strength and intensity of the katabatic wind. The two lower stations register a distinct reversal of wind direction in the early afternoon due to intrusion of an anabatic circulation. Anabatic winds are not prevalent further up the Darwin Glacier. A high-resolution Polar-WRF simulation as a case study shows good agreement with observations. The December 2008 case study is characterized by a strong south-westerly katabatic wind over Hatherton, whereas the flow over Lower Darwin was diurnally reversing. Polar-WRF shows that the katabatic front advanced and retreated periodically between Hatherton and Lower Darwin.</t>
  </si>
  <si>
    <t>[Zawar-Reza, Peyman; George, Steve] Univ Canterbury, Ctr Atmospher Res, Christchurch 1, New Zealand; [Storey, Bryan; Lawson, Wendy] Univ Canterbury, Gateway Antarctica, Christchurch 1, New Zealand</t>
  </si>
  <si>
    <t>University of Canterbury; University of Canterbury</t>
  </si>
  <si>
    <t>Zawar-Reza, P (corresponding author), Univ Canterbury, Ctr Atmospher Res, Christchurch 1, New Zealand.</t>
  </si>
  <si>
    <t>peyman.zawar-reza@canterbury.ac.nz</t>
  </si>
  <si>
    <t>George, Steve/0000-0002-0396-0299</t>
  </si>
  <si>
    <t>Antarctic New Zealand</t>
  </si>
  <si>
    <t>This research was supported by Antarctic New Zealand. We would like to thank Justin Harrison, and Nick Key from the Department of Geography for designing and testing the Automatic Weather Stations. The work of Nita Smith and the support staff at Scott Base is greatly appreciated. We thank the referees for their comments. We would like to thank the Polar Meteorology Group at Byrd Polar Research Centre for supplying the Polar-WRF source code.</t>
  </si>
  <si>
    <t>10.1017/S0954102010000817</t>
  </si>
  <si>
    <t>WOS:000285470300004</t>
  </si>
  <si>
    <t>Seybold, CA; Balks, MR; Harms, DS</t>
  </si>
  <si>
    <t>Seybold, C. A.; Balks, M. R.; Harms, D. S.</t>
  </si>
  <si>
    <t>Characterization of active layer water contents in the McMurdo Sound region, Antarctica</t>
  </si>
  <si>
    <t>active layer; Antarctic soil; Cryosol; Dry Valleys; Gelisols; soil moisture</t>
  </si>
  <si>
    <t>ROSS SEA REGION; DRY VALLEYS; VICTORIA LAND; SOILS; CALIBRATION</t>
  </si>
  <si>
    <t>The liquid soil water contents in the seasonally thawed layer (active layer) were characterized from seven soil climate monitoring sites - four coastal sites from south to north (Minna Bluff, Scott Base, Marble Point and Granite Harbour), and inland sites from low to high altitude (Wright Valley, Victoria Valley and Mount Fleming). Mean water contents ranged from 0.013 m(3) m(-3) near the surface at Victoria Valley to 0.33 m(3) m(-3) near the ice-cemented layer at Granite Harbour. The coastal sites have greater soil water contents than the McMurdo Dry Valley and Mount Fleming sites, and moisture contents increase with depth in the active layer. The Wright Valley site receives very little infiltration from snowmelt, with none in most years. All other sites, except Mount Fleming, received between one and four wetting events per summer, and infiltrated water moved to greater depths (approximate to 10-25 cm). The Scott Base and Granite Harbour sites are on sloping ground and receive a subsurface flow of water along the ice-cemented permafrost. Our findings indicate that water contents are low with very little recharge, are greatly influenced by the local microclimate and topography, and show no significant increasing or decreasing trend over 10 years of monitoring.</t>
  </si>
  <si>
    <t>[Seybold, C. A.; Harms, D. S.] USDA NRCS, Natl Soil Survey Ctr, Lincoln, NE 68508 USA; [Balks, M. R.] Univ Waikato, Hamilton, New Zealand</t>
  </si>
  <si>
    <t>United States Department of Agriculture (USDA); University of Waikato</t>
  </si>
  <si>
    <t>Seybold, CA (corresponding author), USDA NRCS, Natl Soil Survey Ctr, 100 Centennial Mall N,Fed Bldg,Rm 152, Lincoln, NE 68508 USA.</t>
  </si>
  <si>
    <t>cathy.seybold@lin.usda.gov</t>
  </si>
  <si>
    <t>Seybold, Cathy/0000-0001-7968-3366</t>
  </si>
  <si>
    <t>New Zealand Foundation for Research Science and Technology (FRST) [CO930307]</t>
  </si>
  <si>
    <t>New Zealand Foundation for Research Science and Technology (FRST)(New Zealand Foundation for Research, Science and Technology)</t>
  </si>
  <si>
    <t>This research was partially funded by The New Zealand Foundation for Research Science and Technology (FRST grant CO930307). Logistics support for this project was provided by Antarctica New Zealand. We acknowledge the contribution of John Kimble (retired from USDA-NRCS), Ron Paetzold (retired from USDA-NRCS), Don Huffman (retired from USDA-NRCS), and Iain Campbell (Land and Soil Consultancy Services) who all assisted in the initial installation of the climate stations and with maintenance in the following years. The Victoria Valley soil climate station was installed by Ron Sletten (University of Washington) who is a collaborator on this site.</t>
  </si>
  <si>
    <t>10.1017/S0954102010000696</t>
  </si>
  <si>
    <t>WOS:000285470300005</t>
  </si>
  <si>
    <t>Webster-Brown, J; Gall, M; Gibson, J; Wood, S; Hawes, I</t>
  </si>
  <si>
    <t>Webster-Brown, J.; Gall, M.; Gibson, J.; Wood, S.; Hawes, I.</t>
  </si>
  <si>
    <t>The biogeochemistry of meltwater habitats in the Darwin Glacier region (80°S), Victoria Land, Antarctica</t>
  </si>
  <si>
    <t>cryoconite; cyanobacteria; metazoa; nitrate; supraglacial</t>
  </si>
  <si>
    <t>MCMURDO ICE SHELF; DRY VALLEYS; EAST ANTARCTICA; MAT COMMUNITIES; PONDS; DIVERSITY; CHEMISTRY; LAKES; STRATIFICATION; ENVIRONMENT</t>
  </si>
  <si>
    <t>Meltwater habitats in the Darwin Glacier region, Victoria Land (80 degrees S), were sampled in December 2007 and January 2009 to characterize their microbial and metazoan ecology, nutrient status and geochemistry. Targeted areas included terrestrial ponds of the Grant Valley, Lake Wellman, Tentacle Ridge and Diamond Hill, and supraglacial ponds and cryoconite holes of the lower Darwin Glacier. Geochemistry ranged from Na-Cl dominated terrestrial ponds to Na-HCO3 dominated, dilute supraglacial ponds and cryoconites. All showed the nitrate enrichment typical of inland ponds of Victoria Land (up to 13 g.l(-1) NO3-N), with some precipitating nitratine (NaNO3) salt. Elevated pH indicated ongoing photosynthetic processes. Benthic microbial mats were thin and poorly developed, dominated by oscillatoriacean cyanobacteria. Nitrogen-fixing genera were generally absent and diatoms were rare. A large (20 mu m long) Cyanothece species was the most abundant cyanobacterium in the water and in sediments of the cryoconites. DNA finger-printing identified distinct differences in cyanobacterial and bacterial community structure between the cryoconites, terrestrial ponds and ponds on glacial margins. Eleven metazoan species were identified, with rotifers being the most abundant. Pond substrate (terrestrial rock, ice-cored moraine or supraglacial ice) proved to be a more significant influence on biogeochemistry than other aspects of geography or climatic conditions.</t>
  </si>
  <si>
    <t>[Webster-Brown, J.] Univ Canterbury, Waterways Ctr Freshwater Management, Christchurch 8140, New Zealand; [Gall, M.] NIWA, Christchurch, New Zealand; [Gibson, J.] Univ Tasmania, Tasmanian Aquaculture &amp; Fisheries Inst, Hobart, Tas, Australia; [Wood, S.] Cawthron Inst, Nelson, New Zealand; [Hawes, I.] Aquat Res Solut Ltd, Cambridge, New Zealand</t>
  </si>
  <si>
    <t>University of Canterbury; National Institute of Water &amp; Atmospheric Research (NIWA) - New Zealand; University of Tasmania; Cawthron Institute</t>
  </si>
  <si>
    <t>Webster-Brown, J (corresponding author), Univ Canterbury, Waterways Ctr Freshwater Management, Private Bag 4800, Christchurch 8140, New Zealand.</t>
  </si>
  <si>
    <t>Jenny.webster-brown@canterbury.ac.nz</t>
  </si>
  <si>
    <t>Webster-Brown, Jenny/0000-0001-9665-871X; Hawes, Ian/0000-0003-2471-6903</t>
  </si>
  <si>
    <t>Foundation for Research Science and Technology of New Zealand [CO1X0306]</t>
  </si>
  <si>
    <t>Foundation for Research Science and Technology of New Zealand(New Zealand Foundation for Research, Science and Technology)</t>
  </si>
  <si>
    <t>This research is funded by the Foundation for Research Science and Technology of New Zealand, under contract CO1X0306. The authors would like to acknowledge the logistic support of Antarctica New Zealand and to thank another regular participants of the K081 event; Drs Clive Howard-Williams and Brian Sorrell for their support. We would also like to acknowledge field events; KO64, KO56 and KO72 for contributing to our water sample collection, Rachel Skews for major ion analysis, Dr Charlie Lee (University of Waikato) for assistance with ARISA data analysis, Daniel List and Janet Adamson (Cawthron Institute) for technical help, and Chris Cunningham and Mike Crump from Christchurch and Hamilton NIWA laboratories respectively for nutrient and pigment analysis.</t>
  </si>
  <si>
    <t>10.1017/S0954102010000787</t>
  </si>
  <si>
    <t>WOS:000285470300006</t>
  </si>
  <si>
    <t>Welch, KA; Lyons, WB; Whisner, C; Gardner, CB; Gooseff, MN; McKnight, DM; Priscu, JC</t>
  </si>
  <si>
    <t>Welch, Kathleen A.; Lyons, W. Berry; Whisner, Carla; Gardner, Christopher B.; Gooseff, Michael N.; McKnight, Diane M.; Priscu, John C.</t>
  </si>
  <si>
    <t>Spatial variations in the geochemistry of glacial meltwater streams in the Taylor Valley, Antarctica</t>
  </si>
  <si>
    <t>geochemistry; nutrients; spatial variabilty; streams; weathering</t>
  </si>
  <si>
    <t>MCMURDO DRY VALLEYS; SOUTHERN VICTORIA LAND; MAJOR ION CHEMISTRY; LAKES; ECOSYSTEMS; ENVIRONMENT; EVOLUTION; ORIGIN; LANDSCAPE</t>
  </si>
  <si>
    <t>Streams in the McMurdo Dry Valleys, Antarctica, flow during the summer melt season (4-12 weeks) when air temperatures are close to the freezing point of water. Because of the low precipitation rates, streams originate from glacial meltwater and flow to closed-basin lakes on the valley floor. Water samples have been collected from the streams in the Dry Valleys since the start of the McMurdo Dry Valleys Long-Term Ecological Research project in 1993 and these have been analysed for ions and nutrient chemistry. Controls such as landscape position, morphology of the channels, and biotic and abiotic processes are thought to influence the stream chemistry. Sea-salt derived ions tend to be higher in streams that are closer to the ocean and those streams that drain the Taylor Glacier in western Taylor Valley. Chemical weathering is an important process influencing stream chemistry throughout the Dry Valleys. Nutrient availability is dependent on landscape age and varies with distance from the coast. The streams in Taylor Valley span a wide range in composition and total dissolved solids and are surprisingly similar to a wide range of much larger temperate and tropical river systems.</t>
  </si>
  <si>
    <t>[Welch, Kathleen A.; Lyons, W. Berry; Whisner, Carla; Gardner, Christopher B.] Ohio State Univ, Byrd Polar Res Ctr, Columbus, OH 43210 USA; [Gooseff, Michael N.] Penn State Univ, Dept Civil &amp; Environm Engn, University Pk, PA 16802 USA; [McKnight, Diane M.] Univ Colorado, INSTAAR, Boulder, CO 80309 USA; [Priscu, John C.] Montana State Univ, Dept LRES, Bozeman, MT 59717 USA</t>
  </si>
  <si>
    <t>University System of Ohio; Ohio State University; Pennsylvania Commonwealth System of Higher Education (PCSHE); Pennsylvania State University; Pennsylvania State University - University Park; University of Colorado System; University of Colorado Boulder; Montana State University System; Montana State University Bozeman</t>
  </si>
  <si>
    <t>Welch, KA (corresponding author), Ohio State Univ, Byrd Polar Res Ctr, 1090 Carmack Rd,108 Scott Hall, Columbus, OH 43210 USA.</t>
  </si>
  <si>
    <t>welch.189@osu.edu</t>
  </si>
  <si>
    <t>Gooseff, Michael/B-9273-2008; Gooseff, Michael N/N-6087-2015</t>
  </si>
  <si>
    <t>Gooseff, Michael N/0000-0003-4322-8315; MCKNIGHT, DIANE/0000-0002-4171-1533; Welch, Kathleen/0000-0003-1028-3086; Gardner, Christopher/0000-0003-0400-3754</t>
  </si>
  <si>
    <t>National Science Foundation [OPP-9211773, OPP-9813061, OPP ANT-0423595]; Directorate For Geosciences; Office of Polar Programs (OPP) [1041742] Funding Source: National Science Foundation</t>
  </si>
  <si>
    <t>We thank all of the members of the stream team spanning the past 16 years. We would like to thank the two anonymous reviewers whose careful review and comments greatly improved this manuscript. This manuscript is Byrd Polar Research Center contribution number C-1399. This work was supported by National Science Foundation grants, OPP-9211773, OPP-9813061 and OPP ANT-0423595.</t>
  </si>
  <si>
    <t>10.1017/S0954102010000702</t>
  </si>
  <si>
    <t>WOS:000285470300007</t>
  </si>
  <si>
    <t>Smith, JL; Barrett, JE; Tusnády, G; Rejtö, L; Cary, SC</t>
  </si>
  <si>
    <t>Smith, Julie L.; Barrett, John E.; Tusnady, Gabor; Rejtoe, Lidia; Cary, S. Craig</t>
  </si>
  <si>
    <t>Resolving environmental drivers of microbial community structure in Antarctic soils</t>
  </si>
  <si>
    <t>abiotic controls; ARISA; McMurdo Dry Valleys; ornithogenic</t>
  </si>
  <si>
    <t>INTERGENIC SPACER ANALYSIS; DRY VALLEY SOILS; ROSS SEA REGION; BACTERIAL COMMUNITIES; VICTORIA LAND; CHANGING ENVIRONMENT; DIVERSITY; BIODIVERSITY; PROKARYOTES; ECOSYSTEMS</t>
  </si>
  <si>
    <t>Antarctic soils are extremely cold, dry, and oligotrophic, yet harbour surprisingly high bacterial diversity. The severity of environmental conditions has constrained the development of multi-trophic communities, and species richness and distribution is thought to be driven primarily by abiotic factors. Sites in northern and southern Victoria Land were sampled for bacterial community structure and soil physicochemical properties in conjunction with the US and New Zealand Latitudinal Gradient Project. Bacterial community structure was determined using a high-resolution molecular fingerprinting method for 80 soil samples from Taylor Valley and Cape Hallett sites which are separated by five degrees of latitude and have distinct soil chemistry. Taylor Valley is part of the McMurdo Dry Valleys, while Cape Hallett is the site of a penguin rookery and contains ornithogenic soils. The influence of soil moisture, pH, conductivity, ammonia, nitrate, total nitrogen and organic carbon on community structure was revealed using Spearman rank correlation, Mantel test, and principal components analysis. High spatial variability was detected in bacterial communities and community structure was correlated with soil moisture and pH. Both unique and shared bacterial community members were detected at Taylor Valley and Cape Hallett despite the considerable distance between the sites.</t>
  </si>
  <si>
    <t>[Smith, Julie L.; Cary, S. Craig] Univ Delaware, Coll Marine &amp; Earth Studies, Lewes, DE 19958 USA; [Cary, S. Craig] Univ Waikato, Dept Biol Sci, Hamilton, New Zealand; [Rejtoe, Lidia] Univ Delaware, Dept Food &amp; Resource Econ, Newark, DE 19716 USA; [Tusnady, Gabor] Hungarian Acad Sci, Math Inst, Budapest, Hungary; [Barrett, John E.] Virginia Polytech Inst &amp; State Univ, Dept Biol Sci, Blacksburg, VA 24061 USA</t>
  </si>
  <si>
    <t>University of Delaware; University of Waikato; University of Delaware; Hungarian Academy of Sciences; Hungarian Research Network; HUN-REN Alfred Renyi Institute of Mathematics; Virginia Polytechnic Institute &amp; State University</t>
  </si>
  <si>
    <t>Cary, SC (corresponding author), Univ Delaware, Coll Marine &amp; Earth Studies, Lewes, DE 19958 USA.</t>
  </si>
  <si>
    <t>caryc@udel.edu</t>
  </si>
  <si>
    <t>Meyer, Julie L./D-1021-2010; Barrett, John/D-5851-2016</t>
  </si>
  <si>
    <t>Meyer, Julie L./0000-0003-3382-3321; Cary, Stephen/0000-0002-2876-2387; Barrett, John/0000-0002-7610-0505</t>
  </si>
  <si>
    <t>National Science Foundation [02-29836, 0739648, 0632250]; McMurdo Long Term Ecological Research Project [98-10219]</t>
  </si>
  <si>
    <t>National Science Foundation(National Science Foundation (NSF)); McMurdo Long Term Ecological Research Project</t>
  </si>
  <si>
    <t>This work was supported by the National Science Foundation (OPP #02-29836 to JEB and SCC and OPP # 0739648 and 0632250 to SCC) and the McMurdo Long Term Ecological Research Project (OPP #98-10219). Logistical support was provided by Antarctica New Zealand as part of the Latitudinal Gradient Project, Raytheon Polar Services and Petroleum Helicopters Inc. Special thanks to Shulamit Gordon, Gus McAllister and Rachel Brown of Antarctica New Zealand for field and logistical support. The authors wish to thank B. Kingham, University of Delaware Sequencing and Genotyping Center for technical support. We thank the referees for their comments.</t>
  </si>
  <si>
    <t>10.1017/S0954102010000763</t>
  </si>
  <si>
    <t>WOS:000285470300008</t>
  </si>
  <si>
    <t>Fourteen degrees of latitude and a continent apart: comparison of lichen activity over two years at continental and maritime Antarctic sites</t>
  </si>
  <si>
    <t>biodiversity; light; productivity; stress; temperature</t>
  </si>
  <si>
    <t>PHOTOSYNTHETIC ACTIVITY; CO2 EXCHANGE; PHYSIOLOGICAL INTERPRETATION; LIVINGSTON ISLAND; LECANORA-MURALIS; PRODUCTIVITY; FLUORESCENCE; GROWTH; DIEL</t>
  </si>
  <si>
    <t>There are marked declines in precipitation, mean temperatures and the number of lichen species with increasing latitude in Antarctica. However, it is not known which factors are the predominant controllers of biodiversity changes. Results are presented from over two years of almost continuous monitoring of both microclimate and activity in lichens at Livingston Island, South Shetland Islands, 62 degrees S, and Botany Bay, Ross Sea region, 77 degrees S. Lichen activity was evident over a much longer period at Livingston Island, (3694 versus 897 hours) and could occur in any month whereas it was almost completely confined to the period November-February at Botany Bay. Mean air temperatures were much lower at Botany Bay (-18 degrees compared to -1.5 degrees C at Livingston Island), but the temperatures at which the lichens were active were almost identical at around 2 degrees C at both sites. When the lichens were active incident light at Botany Bay was very much higher. The differences are related to the availability of meltwater which only occurs at times of high light and warm temperatures at Botany Bay. Temperature as a direct effect does not seem to explain the differences in biodiversity between the sites, but an indirect effect through active hours is much more probable. In addition there are negative effects of stresses such as high light and extreme winter cold at Botany Bay.</t>
  </si>
  <si>
    <t>[Schroeter, Burkhard; Pannewitz, Stefan; Schlensog, Mark] Univ Kiel, Inst Bot, D-24098 Kiel, Germany; [Green, T. G. Allan] Univ Waikato, Hamilton, New Zealand; [Green, T. G. Allan; Sancho, Leopoldo G.] Univ Complutense, Fac Farm, Madrid 28040, Spain</t>
  </si>
  <si>
    <t>Schroeter, B (corresponding author), Univ Kiel, Inst Bot, D-24098 Kiel, Germany.</t>
  </si>
  <si>
    <t>greentga@waikato.ac.nz</t>
  </si>
  <si>
    <t>Deutsche Forschungsgemeinschaft [DFG SCHR 473/4-3]; Spanish MCI [CTM2009-12838-C01]; Waikato University; Vegetal II, Farmacia, Universidad Complutense, Madrid, Spain; FRST</t>
  </si>
  <si>
    <t>Deutsche Forschungsgemeinschaft(German Research Foundation (DFG)); Spanish MCI(Spanish Government); Waikato University; Vegetal II, Farmacia, Universidad Complutense, Madrid, Spain; FRST(New Zealand Foundation for Research, Science and Technology)</t>
  </si>
  <si>
    <t>B.S., S.P., L.G.S and M.S. gratefully acknowledge financial support by Deutsche Forschungsgemeinschaft (DFG SCHR 473/4-3) and by Spanish MCI (CTM2009-12838-C01). TGAG thanks Professor Bryan Gould, Vice-Chancellor of Waikato University for continual funding of the Antarctic research programme. Antarctica New Zealand is thanked for providing logistics both for the research in Antarctica and movements to Antarctica and their staff for assisting with reading and removal of the monitoring equipment. TGAG was supported by a Ramon y Cajal Fellowship at Vegetal II, Farmacia, Universidad Complutense, Madrid, Spain, and by FRST grant: Understanding, valuing and protecting Antarctica's unique terrestrial ecosystems: Predicting biocomplexity in Dry Valley ecosystems, during the writing of this paper. M. Lucken, Kiel, is thanked for help with Fig. 1. A special thanks goes to Professor Ute Harms, IPN, Kiel, Germany, for support to BS. Permits: sampling, entry into protected areas and equipment deployment were approved by the New Zealand authorities; the monitoring equipment has since been removed.</t>
  </si>
  <si>
    <t>10.1017/S0954102010000647</t>
  </si>
  <si>
    <t>WOS:000285470300009</t>
  </si>
  <si>
    <t>Seppelt, RD; Türk, R; Green, TGA; Moser, G; Pannewitz, S; Sancho, LG; Schroeter, B</t>
  </si>
  <si>
    <t>Seppelt, Rodney D.; Tuerk, Roman; Green, T. G. Allan; Moser, Gerald; Pannewitz, Stefan; Sancho, Leo G.; Schroeter, Burkhard</t>
  </si>
  <si>
    <t>Lichen and moss communities of Botany Bay, Granite Harbour, Ross Sea, Antarctica</t>
  </si>
  <si>
    <t>biodiversity; climate change; cryptogams; vegetation associations; Victoria Land</t>
  </si>
  <si>
    <t>SOUTHERN VICTORIA LAND; WILKES-LAND; TERRESTRIAL VEGETATION; MICROBIAL BIOMASS; WINDMILL ISLANDS; VASCULAR PLANTS; CLIMATE-CHANGE; KAR PLATEAU; CLASSIFICATION; ECOLOGY</t>
  </si>
  <si>
    <t>Botany Bay is one of the richest sites for lichen and bryophyte biodiversity in continental Antarctica. A total of 29 lichen, nine moss and one liverwort species have been identified. The most extensive vegetation occurs on a sheltered raised beach terrace. Vegetation associations are described and compared to other continental Antarctic localities that also possess a rich vegetation cover. Ordination analysis clearly indicates the importance of the type of water supply, its regularity, the substrate type, and particularly in Botany Bay, the influence of nutrients derived from the local bird population in governing plant distribution and associations. A vegetation map has been produced and can be used as a baseline to assess vegetation changes over time.</t>
  </si>
  <si>
    <t>[Seppelt, Rodney D.; Moser, Gerald] Australian Antarctic Div, Kingston, Tas 7050, Australia; [Tuerk, Roman] Salzburg Univ, Fachbereich Organism Biol, A-5020 Salzburg, Austria; [Green, T. G. Allan] Univ Waikato, Hamilton, New Zealand; [Sancho, Leo G.] Univ Complutense, Fac Farm, Dpto Biol Vegetal 2, E-28040 Madrid, Spain; [Pannewitz, Stefan; Schroeter, Burkhard] Univ Kiel, Inst Bot, D-24098 Kiel, Germany; [Pannewitz, Stefan; Schroeter, Burkhard] Univ Kiel, Leibniz Inst Sci &amp; Math Educ, D-24098 Kiel, Germany</t>
  </si>
  <si>
    <t>Australian Antarctic Division; Salzburg University; University of Waikato; Complutense University of Madrid; University of Kiel; University of Kiel; Leibniz Institut fur die Padagogik der Naturwissenschaften und Mathematik an der Universitat Kiel (IPN)</t>
  </si>
  <si>
    <t>Seppelt, RD (corresponding author), Australian Antarctic Div, Channel Highway, Kingston, Tas 7050, Australia.</t>
  </si>
  <si>
    <t>rod.seppelt@aad.gov.au</t>
  </si>
  <si>
    <t>Moser, Gerald/F-8085-2011; Sancho, leopoldo G./H-2974-2013; SANCHO, LEOPOLDO/G-9120-2015</t>
  </si>
  <si>
    <t>Moser, Gerald/0000-0002-0030-2370; SANCHO, LEOPOLDO/0000-0002-4751-7475</t>
  </si>
  <si>
    <t>Deutsche Forschungsgemeinschaft [SCHR 473/4-3]; Vegetal II, Farmacia, Universidad Complutense, Madrid, Spain; FRST</t>
  </si>
  <si>
    <t>Deutsche Forschungsgemeinschaft(German Research Foundation (DFG)); Vegetal II, Farmacia, Universidad Complutense, Madrid, Spain; FRST(New Zealand Foundation for Research, Science and Technology)</t>
  </si>
  <si>
    <t>We thank Antarctica New Zealand for provision of logistic support and the University of Waikato, through their Antarctic Research Program, for their continuing support for Antarctic research over many years. BS and SP gratefully acknowledge financial support from the Deutsche Forschungsgemeinschaft (SCHR 473/4-3). TGAG was supported by a Ramon y Cajal Fellowship at Vegetal II, Farmacia, Universidad Complutense, Madrid, Spain, and by FRST grant: Understanding, valuing and protecting Antarctica's unique terrestrial ecosystems: Predicting biocomplexity in Dry Valley ecosystems, during the writing of this paper.</t>
  </si>
  <si>
    <t>10.1017/S0954102010000568</t>
  </si>
  <si>
    <t>WOS:000285470300010</t>
  </si>
  <si>
    <t>Cannone, N; Guglielmin, M</t>
  </si>
  <si>
    <t>Cannone, N.; Guglielmin, M.</t>
  </si>
  <si>
    <t>Relationships between periglacial features and vegetation development in Victoria Land, continental Antarctica</t>
  </si>
  <si>
    <t>biodiversity; ecological niches; patterned ground</t>
  </si>
  <si>
    <t>TERRA-NOVA BAY; ACTIVE-LAYER; LATITUDINAL GRADIENT; NONSORTED CIRCLES; SOIL DEVELOPMENT; THERMAL REGIME; POLAR DESERT; SOUTHERN; CLIMATE; ICE</t>
  </si>
  <si>
    <t>The relationships between vegetation patterns and periglacial features and their underlying ecology are still poorly understood and lack specific investigations in Antarctica. Here we present the results of vegetation colonization of different types of sorted patterned ground and gelifluction features (lobes and terracettes) at four sites in northern Victoria Land. This paper aims to understand the relationships between vegetation and the most widespread periglacial features in Victoria Land, discuss the role of periglacial features and vegetation in determining the ground surface temperature, and assess whether periglacial features provide ecological niches for vegetation colonization and development. Vegetation patterns are influenced by the feature type, mainly relating to patterned ground and debris island versus gelifluction features. The relations between vegetation and the periglacial features investigated in continental Antarctic are similar to those described for the Arctic, although in this part of the Antarctic vegetation is exclusively composed of cryptogams. Frost heave, ground texture and relief associated with different types of periglacial features provide a range of ecological niches sustaining vegetation biodiversity. Our data confirm the importance of periglacial features in shaping flora and vegetation biodiversity, as previously assessed only for the soil fauna in continental Antarctic.</t>
  </si>
  <si>
    <t>[Cannone, N.] Univ Ferrara, Dept Biol &amp; Evolut, I-44100 Ferrara, Italy; [Guglielmin, M.] Insubria Univ, DBSF, I-21100 Varese, Italy</t>
  </si>
  <si>
    <t>University of Ferrara; University of Insubria</t>
  </si>
  <si>
    <t>Cannone, N (corresponding author), Insubria Univ, Dept Chem &amp; Environm Sci, Via Lucini 3, I-22100 Como, Italy.</t>
  </si>
  <si>
    <t>nicoletta.cannone@uninsubria.it</t>
  </si>
  <si>
    <t>Cannone, Nicoletta/0000-0002-3390-3965</t>
  </si>
  <si>
    <t>10.1017/S0954102010000751</t>
  </si>
  <si>
    <t>WOS:000285470300011</t>
  </si>
  <si>
    <t>Cowan, DA; Khan, N; Pointing, SB; Cary, SC</t>
  </si>
  <si>
    <t>Cowan, Don A.; Khan, Nuraan; Pointing, Stephen B.; Cary, S. Craig</t>
  </si>
  <si>
    <t>Diverse hypolithic refuge communities in the McMurdo Dry Valleys</t>
  </si>
  <si>
    <t>Antarctic; cryptic; cyanobacteria; hypoliths; microbial diversity</t>
  </si>
  <si>
    <t>ENVIRONMENTAL GRADIENTS; MINERAL SOILS; CHINA HOT; DESERT; ANTARCTICA; ECOLOGY; ALGAE; AMPLIFICATION; COLONIZATION; BACTERIA</t>
  </si>
  <si>
    <t>Hyper-arid deserts present extreme challenges to life. The environmental buffering provided by quartz and other translucent rocks allows hypolithic microbial communities to develop on sub-soil surfaces of such rocks. These refuge communities have been reported, for many locations worldwide, to be predominantly cyanobacterial in nature. Here we report the discovery in Antarctica's hyper-arid McMurdo Dry Valleys of three clearly distinguishable types of hypolithic community. Based on gross colonization morphology and identification of dominant taxa, we have classified hypolithic communities as Type I (cyanobacterial dominated), Type II (fungal dominated) and Type III (moss dominated). This discovery supports a growing awareness of the high biocomplexity in Antarctic deserts, emphasizes the possible importance of cryptic microbial communities in nutrient cycling and provides evidence for possible successional community processes within a cold arid landscape.</t>
  </si>
  <si>
    <t>[Cowan, Don A.; Khan, Nuraan] Univ Western Cape, Inst Microbial Biotechnol &amp; Metagenom, ZA-7535 Cape Town, South Africa; [Pointing, Stephen B.] Univ Hong Kong, Sch Biol Sci, Hong Kong, Hong Kong, Peoples R China; [Cary, S. Craig] Univ Waikato, Dept Biol Sci, Hamilton, New Zealand</t>
  </si>
  <si>
    <t>University of the Western Cape; University of Hong Kong; University of Waikato</t>
  </si>
  <si>
    <t>Cowan, Donald A/E-3991-2012</t>
  </si>
  <si>
    <t>Cowan, Donald A/0000-0001-8059-861X; Cary, Stephen/0000-0002-2876-2387</t>
  </si>
  <si>
    <t>South African National Antarctic Programme; Antarctica New Zealand; Waikato University; National Research Foundation (SA); Hong Kong Research Grants Council [7733/08M]; NZ Foundation for Research Science Technology</t>
  </si>
  <si>
    <t>South African National Antarctic Programme; Antarctica New Zealand; Waikato University; National Research Foundation (SA); Hong Kong Research Grants Council(Hong Kong Research Grants Council); NZ Foundation for Research Science Technology(New Zealand Foundation for Research, Science and Technology)</t>
  </si>
  <si>
    <t>This research was undertaken under the auspices of the South African National Antarctic Programme; the New Zealand Antarctic Research Programme under Antarctica New Zealand and the Waikato University Antarctic Terrestrial Biology Research Program. The authors gratefully acknowledge funding from the National Research Foundation (SA), the Hong Kong Research Grants Council (7733/08M) and the NZ Foundation for Research Science &amp; Technology (Terrestrial Antarctic Biocomplexity Survey, nzTABS). We gratefully acknowledge Susie Woods (Cawthron Institute, Nelson, NZ) for provision of the electron micrographs.</t>
  </si>
  <si>
    <t>10.1017/S0954102010000507</t>
  </si>
  <si>
    <t>WOS:000285470300012</t>
  </si>
  <si>
    <t>Hills, SFK; Stevens, MI; Gemmill, CEC</t>
  </si>
  <si>
    <t>Hills, Simon F. K.; Stevens, Mark I.; Gemmill, Chrissen E. C.</t>
  </si>
  <si>
    <t>Molecular support for Pleistocene persistence of the continental Antarctic moss Bryum argenteum</t>
  </si>
  <si>
    <t>bryophytes; genetic variation; ITS; phy2; Victoria Land</t>
  </si>
  <si>
    <t>SOUTHERN-HEMISPHERE; VICTORIA LAND; GENETIC DIVERSITY; DISPERSAL; PLANT; DNA</t>
  </si>
  <si>
    <t>We examined sequence variation of ITS and phy2 for Bryum argenteum from Antarctica, sub-Antarctic, New Zealand and Australia to understand better taxonomic delimitations and resolve relationships between these geographic regions. Bryum argenteum has been recorded as two species, B. argenteum and B. subrotundifolium, in all four regions with the latter now referred to as B. argenteum var. muticum. We found disagreement between taxon delimitations (based on morphology) and molecular markers. All continental Antarctic specimens consistently formed a monophyletic sister group that consisted of both morphologically identified B. argenteum varieties, separate to all non-Antarctic specimens (also consisting of both varieties). We suggest, contrary to previous records, that all continental Antarctic (Victoria Land) populations are referable to B. argenteum var. muticum, while sub-Antarctic, Australian and New Zealand populations included here are B. argenteum var. argenteum. Additionally, since there was less genetic diversity within Victoria Land, Antarctica, than observed between non-Antarctic samples, we suggest that this is, in part, due to a potentially lower rate of DNA substitution and isolation in northern and southern refugia within Victoria Land since the Pleistocene.</t>
  </si>
  <si>
    <t>[Stevens, Mark I.] Univ Adelaide, S Australian Museum, Adelaide, SA 5000, Australia; [Stevens, Mark I.] Univ Adelaide, Sch Earth &amp; Environm Sci, Adelaide, SA 5000, Australia; [Hills, Simon F. K.] Massey Univ, Allan Wilson Ctr Mol Ecol &amp; Evolut, Palmerston North, New Zealand; [Gemmill, Chrissen E. C.] Univ Waikato, Ctr Biodivers &amp; Ecol Res, Hamilton, New Zealand</t>
  </si>
  <si>
    <t>University of Adelaide; University of Adelaide; Massey University; University of Waikato</t>
  </si>
  <si>
    <t>Stevens, MI (corresponding author), Univ Adelaide, S Australian Museum, Adelaide, SA 5000, Australia.</t>
  </si>
  <si>
    <t>mark.stevens@samuseum.sa.gov.au</t>
  </si>
  <si>
    <t>Hills, Simon F K/L-3244-2016; Gemmill, Chrissen/E-5305-2013</t>
  </si>
  <si>
    <t>Hills, Simon F K/0000-0002-9115-0375; Gemmill, Chrissen/0000-0002-1704-9893</t>
  </si>
  <si>
    <t>Waikato University; Australian Antarctic Division project [2355]; Antarctica New Zealand [K024]; National Institutes of Health Research (NIHR) [K024] Funding Source: National Institutes of Health Research (NIHR)</t>
  </si>
  <si>
    <t>Waikato University; Australian Antarctic Division project; Antarctica New Zealand; National Institutes of Health Research (NIHR)(National Institutes of Health Research (NIHR))</t>
  </si>
  <si>
    <t>The authors thank the editors and two anonymous reviewers for comments on this manuscript. We are particularly grateful to Allan Green and Rod Seppelt for providing samples, assistance in the field, numerous enlightening discussions, and most of all for providing the inspiration and tireless support of this project. We were also assisted by Rhodri Harfoot, Sarah Hunger, Katrin Walbert, Louise Hathaway, and Catherine Beard either in the field, lab, or providing samples. For financial and/or logistical support we are grateful to David Penny and to Bryan Gould for his generous support of the Waikato University Antarctic Programme; Australian Antarctic Division project 2355 (MS), and Antarctica New Zealand (K024). This paper forms a contribution to the Latitudinal Gradient Project (LGP, Question 2 - role of large-scale ice structures) and to the SCAR EBA research programme.</t>
  </si>
  <si>
    <t>10.1017/S0954102010000453</t>
  </si>
  <si>
    <t>WOS:000285470300013</t>
  </si>
  <si>
    <t>Ruprecht, U; Lumbsch, HT; Brunauer, G; Green, TGA; Türk, R</t>
  </si>
  <si>
    <t>Ruprecht, Ulrike; Lumbsch, H. Thorsten; Brunauer, Georg; Green, T. G. Allan; Tuerk, Roman</t>
  </si>
  <si>
    <t>Diversity of Lecidea (Lecideaceae, Ascomycota) species revealed by molecular data and morphological characters</t>
  </si>
  <si>
    <t>chemical races; lichens; phylogenetic analysis; secondary metabolites</t>
  </si>
  <si>
    <t>SOUTHERN VICTORIA LAND; KING-GEORGE-ISLAND; CONTINENTAL ANTARCTICA; EPILITHIC LICHENS; RDNA SEQUENCES; VESTFOLD HILLS; RIBOSOMAL DNA; WILKES-LAND; FUNGI; NEUROPOGON</t>
  </si>
  <si>
    <t>The diversity of lichens, especially crustose species, in continental Antarctica is still poorly known. To overcome difficulties with the morphology based species delimitations in these groups, we employed molecular data (nuclear ITS and mitochondrial SSU rDNA sequences) to test species boundaries within the genus Lecidea. Sampling was done along a north-south transect at five different areas in the Ross Sea region (Cape Hallett, Botany Bay to Mount Suess, Taylor Valley, Darwin Area and Mount Kyffin). A total of 153 specimens were collected from 13 localities. Phylogenetic analyses also include specimens from other regions in Antarctica and non-Antarctic areas. Maximum parsimony, maximum likelihood and Bayesian analyses agreed in placing the samples from continental Antarctica into four major groups. Based on this phylogenetic estimate, we restudied the micromorphology and secondary chemistry of these four clades to evaluate the use of these characters as phylogenetic discriminators. These clades are identified as the following species Lecidea cancriformis, L. andersonii as well as the new species L. polypycnidophora Ruprecht &amp; Turk sp. nov. and another previously unnamed clade of uncertain status, referred to as Lecidea sp. (L. UCR1).</t>
  </si>
  <si>
    <t>[Ruprecht, Ulrike; Brunauer, Georg; Tuerk, Roman] Salzburg Univ, Dept Organism Biol, A-5020 Salzburg, Austria; [Lumbsch, H. Thorsten] Field Museum Nat Hist, Dept Bot, Chicago, IL 60605 USA; [Green, T. G. Allan] Univ Waikato, Hamilton, New Zealand; [Green, T. G. Allan] Univ Complutense, Fac Farm, E-28040 Madrid, Spain</t>
  </si>
  <si>
    <t>Salzburg University; Field Museum of Natural History (Chicago); University of Waikato; Complutense University of Madrid</t>
  </si>
  <si>
    <t>Ruprecht, U (corresponding author), Salzburg Univ, Dept Organism Biol, Hellbrunnerstr 34, A-5020 Salzburg, Austria.</t>
  </si>
  <si>
    <t>ulrike.ruprecht@sbg.ac.at</t>
  </si>
  <si>
    <t>Lumbsch, Thorsten/K-3573-2012</t>
  </si>
  <si>
    <t>Lumbsch, Thorsten/0000-0003-1512-835X; Ruprecht, Ulrike/0000-0002-0898-7677</t>
  </si>
  <si>
    <t>Waikato University; Universidad Complutense, Madrid; FRST located at Biological Sciences, Waikato University</t>
  </si>
  <si>
    <t>The first author is thankful to Armin Hager (Salzburg) for the introduction into the HPLC analytical method. Jack Elix (Canberra) and Elfie Stocker-Worgotter (Salzburg) were helpful with the interpretation of HPLC-data. Valuable comments to our manuscript were given by Hans-Peter Comes (Salzburg) and Hannes Hertel (Munich). Finally, we would like to thank the collectors and curators of herbaria for sending us specimens for comparative investigations. Antarctica New Zealand is thanked for logistics support. Waikato University is thanked for financial support and, in particular Vice Chancellor Bryan Gould for encouraging and financing the programme and Vice Chancellor Roy Crawford for continuing this. TGA Green held a Ramon y Cajal award at Universidad Complutense, Madrid, for part of this work.; This paper is an output of the FRST-funded IPY Research Programme Understanding, valuing and protecting Antarctica's unique terrestrial ecosystems: Predicting biocomplexity in Dry Valley ecosystems located at Biological Sciences, Waikato University.</t>
  </si>
  <si>
    <t>10.1017/S0954102010000477</t>
  </si>
  <si>
    <t>WOS:000285470300014</t>
  </si>
  <si>
    <t>Caruso, T; Hogg, ID; Bargagli, R</t>
  </si>
  <si>
    <t>Caruso, Tancredi; Hogg, Ian D.; Bargagli, Roberto</t>
  </si>
  <si>
    <t>Identifying appropriate sampling and modelling approaches for analysing distributional patterns of Antarctic terrestrial arthropods along the Victoria Land latitudinal gradient</t>
  </si>
  <si>
    <t>Antarctica; mites; modelling designs; phylogeography; sampling; spatial distribution; springtails</t>
  </si>
  <si>
    <t>SPRINGTAIL GOMPHIOCEPHALUS-HODGSONI; SPATIAL AUTOCORRELATION; COMMUNITY COMPOSITION; GLACIAL REFUGIA; COLLEMBOLA; DIVERSITY; SOIL; MICROARTHROPODS; DETERMINANTS; VARIABILITY</t>
  </si>
  <si>
    <t>Biotic communities in Antarctic terrestrial ecosystems are relatively simple and often lack higher trophic levels (e. g. predators); thus, it is often assumed that species' distributions are mainly affected by abiotic factors such as climatic conditions, which change with increasing latitude, altitude and/or distance from the coast. However, it is becoming increasingly apparent that factors other than geographical gradients affect the distribution of organisms with low dispersal capability such as the terrestrial arthropods. In Victoria Land (East Antarctica) the distribution of springtail (Collembola) and mite (Acari) species vary at scales that range from a few square centimetres to regional and continental. Different species show different scales of variation that relate to factors such as local geological and glaciological history, and biotic interactions, but only weakly with latitudinal/altitudinal gradients. Here, we review the relevant literature and outline more appropriate sampling designs as well as suitable modelling techniques (e. g. linear mixed models and eigenvector mapping), that will more adequately address and identify the range of factors responsible for the distribution of terrestrial arthropods in Antarctica.</t>
  </si>
  <si>
    <t>[Caruso, Tancredi] Free Univ Berlin, Dahlem Ctr Plant Sci, Inst Biol, D-14195 Berlin, Germany; [Hogg, Ian D.] Univ Waikato, Dept Biol Sci, Hamilton 3240, New Zealand; [Bargagli, Roberto] Univ Siena, Dept Environm Sci G Sarfatti, I-53100 Siena, Italy</t>
  </si>
  <si>
    <t>Free University of Berlin; University of Waikato; University of Siena</t>
  </si>
  <si>
    <t>Caruso, T (corresponding author), Free Univ Berlin, Dahlem Ctr Plant Sci, Inst Biol, Altensteinstr 6, D-14195 Berlin, Germany.</t>
  </si>
  <si>
    <t>tancredi.caruso@fu-berlin.de</t>
  </si>
  <si>
    <t>Hogg, Ian D./HNS-7393-2023; Caruso, Tancredi/H-1103-2012</t>
  </si>
  <si>
    <t>Hogg, Ian D./0000-0002-6685-0089; Caruso, Tancredi/0000-0002-3607-9609</t>
  </si>
  <si>
    <t>Italian PNRA (Programma Nazionale di Ricerche in Antartide); New Zealand Foundation for Research Science and Technology [UOWX0710]; Antarctica New Zealand [K020/24/28]; EBESA IPY project [452]</t>
  </si>
  <si>
    <t>Italian PNRA (Programma Nazionale di Ricerche in Antartide)(Ministry of Education, Universities and Research (MIUR)); New Zealand Foundation for Research Science and Technology(New Zealand Foundation for Research, Science and Technology); Antarctica New Zealand; EBESA IPY project</t>
  </si>
  <si>
    <t>This study was supported by the Italian PNRA (Programma Nazionale di Ricerche in Antartide), the New Zealand Foundation for Research Science and Technology (UOWX0710) and Antarctica New Zealand (events K020/24/28). It contributes to the EBESA IPY project no. 452, the Latitudinal Gradient Project (LGP), and the SCAR-EBA (Evolution and Biodiversity in the Antarctic) Programme. We are grateful to Mark Stevens and two anonymous reviewers for their constructive comments which substantially improved the manuscript.</t>
  </si>
  <si>
    <t>10.1017/S095410201000043X</t>
  </si>
  <si>
    <t>WOS:000285470300015</t>
  </si>
  <si>
    <t>Demetras, NJ; Hogg, ID; Banks, JC; Adams, BJ</t>
  </si>
  <si>
    <t>Demetras, Nicholas J.; Hogg, Ian D.; Banks, Jonathan C.; Adams, Byron J.</t>
  </si>
  <si>
    <t>Latitudinal distribution and mitochondrial DNA (COI) variability of Stereotydeus spp. (Acari: Prostigmata) in Victoria Land and the central Transantarctic Mountains</t>
  </si>
  <si>
    <t>Antarctica; Arthropoda; dispersal; environmental gradients; mites; Ross Dependency</t>
  </si>
  <si>
    <t>PENTHALODIDAE; SPRINGTAILS; PHYLOGENIES; ANTARCTICA; PATTERNS; MITES</t>
  </si>
  <si>
    <t>We examined mitochondrial DNA (COI) variability and distribution of Stereotydeus spp. in Victoria Land and the Transantarctic Mountains, and constructed Neighbour Joining (NJ) and Maximum Likelihood (ML) phylogenetic trees using all publicly available COI sequences for the three Stereotydeus species present (S. belli, S. mollis and S. shoupi). We also included new COI sequences from Miers, Marshall and Garwood valleys in southern Victoria Land (78 degrees S), as well as from the Darwin (79 degrees S) and Beardmore Glacier (83 degrees S) regions. Both NJ and ML methods produced trees which were similar in topology differing only in the placement of the single available S. belli sequence from Cape Hallett (72 degrees S) and a S. mollis haplotype from Miers Valley. Pairwise sequence divergences among species ranged from 9.5-18.1%. NJ and ML grouped S. shoupi from the Beardmore Glacier region as sister to those from the Darwin with pairwise divergences of 8%. These individuals formed a monophyletic clade with high bootstrap support basal to S. mollis and S. belli. Based on these new data, we suggest that the distributional range of S. shoupi extends northward to Darwin Glacier and that a barrier to dispersal for Stereotydeus, and possibly other arthropods, exists immediately to the north of this area.</t>
  </si>
  <si>
    <t>[Demetras, Nicholas J.; Hogg, Ian D.; Banks, Jonathan C.] Univ Waikato, Dept Biol Sci, Hamilton, New Zealand; [Adams, Byron J.] Brigham Young Univ, Evolutionary Ecol Labs, Dept Mol Biol &amp; Microbiol, Provo, UT 84602 USA</t>
  </si>
  <si>
    <t>University of Waikato; Brigham Young University</t>
  </si>
  <si>
    <t>Demetras, NJ (corresponding author), Univ Waikato, Dept Biol Sci, Private Bag 3105, Hamilton, New Zealand.</t>
  </si>
  <si>
    <t>nd31@waikato.ac.nz</t>
  </si>
  <si>
    <t>Hogg, Ian D./HNS-7393-2023; Banks, Jonathan C/B-9767-2008; Adams, Byron/C-3808-2009</t>
  </si>
  <si>
    <t>Hogg, Ian D./0000-0002-6685-0089; Banks, Jonathan/0000-0001-9174-2779; Adams, Byron/0000-0002-7815-3352</t>
  </si>
  <si>
    <t>New Zealand Foundation for Research, Science and Technology (FRST); National Science Foundation (NSF); University of Waikato; Department of Biological Sciences, University of Waikato; SCAR; Directorate For Geosciences; Office of Polar Programs (OPP) [1041742] Funding Source: National Science Foundation; Directorate For Geosciences; Office of Polar Programs (OPP) [0840705] Funding Source: National Science Foundation</t>
  </si>
  <si>
    <t>New Zealand Foundation for Research, Science and Technology (FRST)(New Zealand Foundation for Research, Science and Technology); National Science Foundation (NSF)(National Science Foundation (NSF)); University of Waikato; Department of Biological Sciences, University of Waikato; SCAR; Directorate For Geosciences; Office of Polar Programs (OPP)(National Science Foundation (NSF)NSF - Directorate for Geosciences (GEO)); Directorate For Geosciences; Office of Polar Programs (OPP)(National Science Foundation (NSF)NSF - Directorate for Geosciences (GEO))</t>
  </si>
  <si>
    <t>We thank Antarctica New Zealand (AntNZ), and the United States Antarctic Program (USAP) for logistical support enabling sample collection. The New Zealand Foundation for Research, Science and Technology (FRST), the National Science Foundation (NSF), the University of Waikato Vice Chancellor's Fund, and the Department of Biological Sciences, University of Waikato provided financial support. N. Demetras was supported by a New Zealand Terrestrial Antarctic Biocomplexity Survey (NZTABS) graduate scholarship from the University of Waikato as well as a SCAR International Fellowship award. Thanks to D. Wall and U. Nielson for their help collecting near the Beardmore Glacier and to the Sierra Nevada Brewing Co. for their generous donation of field apparel. This paper contributes to the SCAR Evolution and Biodiversity in the Antarctic (EBA) programme and Antarctica New Zealand's Latitudinal Gradient Project (LGP), Key Question 2 (The role of large-scale ice structures).</t>
  </si>
  <si>
    <t>10.1017/S0954102010000659</t>
  </si>
  <si>
    <t>WOS:000285470300016</t>
  </si>
  <si>
    <t>Torricelli, G; Frati, F; Convey, P; Telford, M; Carapelli, A</t>
  </si>
  <si>
    <t>Torricelli, Giulia; Frati, Francesco; Convey, Peter; Telford, Marco; Carapelli, Antonio</t>
  </si>
  <si>
    <t>Population structure of Friesea grisea (Collembola, Neanuridae) in the Antarctic Peninsula and Victoria Land: evidence for local genetic differentiation of pre-Pleistocene origin</t>
  </si>
  <si>
    <t>genetic variability; glacial refugia; Latitudinal Gradient Project; mitochondrial haplotypes; springtails</t>
  </si>
  <si>
    <t>SPRINGTAIL GOMPHIOCEPHALUS-HODGSONI; TERRESTRIAL ECOSYSTEMS; GLACIAL REFUGIA; VARIABILITY; INVERTEBRATES; BIOGEOGRAPHY; DIVERSITY; PATTERNS; HEXAPODA; HISTORY</t>
  </si>
  <si>
    <t>Friesea grisea is the only springtail species currently described from both East (Victoria Land) and West Antarctica (Antarctic Peninsula), although levels of genetic divergence between the two regions suggest the possibility of cryptic species. Determining the genetic structure of populations in the two regions is necessary in order to compare the effects of the different environmental conditions in the two regions, the different evolutionary histories of their inhabitants, and for assessing any influence of latitude in each region on genetic diversity. We analysed sequences of the mitochondrial COX1 and ATP6 genes from a total of 111 individuals for 17 sites (nine on the Antarctic Peninsula and eight in Victoria Land), to assess levels of genetic diversity. Both regions have their own unique sets of haplotypes, differing by about 20% of their nucleotide sequences. A similar number of haplotypes was found in the two regions, and within each we found two groups of populations sharing no haplotypes. In the Antarctic Peninsula, two, presumably ancestral, haplotypes are dominant in frequency. In Victoria Land, the Cape Hallett population showed a distinct set of haplotypes, genetically different from the southernmost populations, suggesting differentiation on pre-Pleistocene timescales.</t>
  </si>
  <si>
    <t>[Torricelli, Giulia; Frati, Francesco; Telford, Marco; Carapelli, Antonio] Univ Siena, Dept Evolutionary Biol, I-53100 Siena, Italy; [Convey, Peter] British Antarctic Survey, NERC, Cambridge CB3 0ET, England</t>
  </si>
  <si>
    <t>University of Siena; UK Research &amp; Innovation (UKRI); Natural Environment Research Council (NERC); NERC British Antarctic Survey</t>
  </si>
  <si>
    <t>Frati, F (corresponding author), Univ Siena, Dept Evolutionary Biol, Via A Moro 2, I-53100 Siena, Italy.</t>
  </si>
  <si>
    <t>frati@unisi.it</t>
  </si>
  <si>
    <t>Convey, Peter/AAV-5728-2020; Carapelli, Antonio/H-9216-2019</t>
  </si>
  <si>
    <t>Convey, Peter/0000-0001-8497-9903; Carapelli, Antonio/0000-0002-3165-9620</t>
  </si>
  <si>
    <t>Italian Program of Research in Antarctica (PNRA); British Antarctic Survey (BAS); University of Siena; Natural Environment Research Council [bas0100026] Funding Source: researchfish; NERC [bas0100026] Funding Source: UKRI</t>
  </si>
  <si>
    <t>Italian Program of Research in Antarctica (PNRA); British Antarctic Survey (BAS); University of Siena; Natural Environment Research Council(UK Research &amp; Innovation (UKRI)Natural Environment Research Council (NERC)); NERC(UK Research &amp; Innovation (UKRI)Natural Environment Research Council (NERC))</t>
  </si>
  <si>
    <t>We wish to thank two anonymous reviewers for their constructive comments on an earlier version of the manuscript. This work was funded by the Italian Program of Research in Antarctica (PNRA) and the British Antarctic Survey (BAS). The logistic support of PNRA and BAS during the collection of the material is acknowledged. Partial support was also provided by the University of Siena. This paper also contributes to the BAS Ecosystems, Antarctica New Zealand's Latitudinal Gradient Project (LGP, Key Question 2 - role of large-scale ice structures) and SCAR Evolution and Biodiversity in the Antarctic (EBA) research programmes.</t>
  </si>
  <si>
    <t>10.1017/S0954102010000775</t>
  </si>
  <si>
    <t>WOS:000285470300017</t>
  </si>
  <si>
    <t>Hawes, TC; Torricelli, G; Stevens, MI</t>
  </si>
  <si>
    <t>Hawes, T. C.; Torricelli, G.; Stevens, M. I.</t>
  </si>
  <si>
    <t>Haplotype diversity in the Antarctic springtail Gressittacantha terranova at fine spatial scales - a Holocene twist to a Pliocene tale</t>
  </si>
  <si>
    <t>Collembola; dispersal; isolation; latitudinal gradient project; mitochondrial DNA; Victoria Land</t>
  </si>
  <si>
    <t>NORTHERN VICTORIA LAND; GOMPHIOCEPHALUS-HODGSONI; LOCAL-DISTRIBUTION; GLACIAL REFUGIA; BODY-SIZE; COLLEMBOLA; PATTERNS; HISTORY; VARIABILITY; EVOLUTION</t>
  </si>
  <si>
    <t>The mitochondrial COI gene of the Antarctic springtail, Gressittacantha terranova, was sequenced across a polar coastal landscape at Terra Nova Bay, northern Victoria Land. Samples from two altitudinal transects in the foothills directly south of Campbell Glacier were compared with samples from Springtail Valley (northern foothills) as an external reference population. We found that mtDNA haplotypes clustered into two lineages (clades) with a mean sequence divergence of 10% (uncorrected distance). However, there was no phylogeographic structure found at this spatial (landscape) scale with haplotypes from both divergent clades found sympatric across most populations. At the landscape scale, the considerable genetic divergence revealed within G. terranova is around five times greater than any other continental Antarctic springtail examined to date. These data indicate a Pliocene divergence event in G. terranova around 4-5 million years ago. The unusual distributional profile of haplotypes - occurrence of multiple haplotypes at single sites and genetic contiguity between sites that are not physically contiguous - suggests a subsequent 'reshuffling' of haplotypes in the Holocene that has an ecological basis.</t>
  </si>
  <si>
    <t>[Hawes, T. C.] Univ Otago, Dept Zool, Dunedin, New Zealand; [Torricelli, G.] Univ Siena, Dept Evolutionary Biol, I-53100 Siena, Italy; [Stevens, M. I.] Univ Adelaide, Sch Earth &amp; Environm Sci, Adelaide, SA 5000, Australia; [Stevens, M. I.] Univ Adelaide, S Australian Museum, Adelaide, SA 5000, Australia</t>
  </si>
  <si>
    <t>University of Otago; University of Siena; University of Adelaide; University of Adelaide</t>
  </si>
  <si>
    <t>Hawes, TC (corresponding author), Univ Otago, Dept Zool, POB 56, Dunedin, New Zealand.</t>
  </si>
  <si>
    <t>tinstone12@hotmail.com</t>
  </si>
  <si>
    <t>TCH was funded by the Leverhulme Trust and thanks David Wharton and Craig Marshall for supporting this work. We are grateful to the Italian Antarctic Programme and Antarctica New Zealand for logistical support. This paper forms a contribution to Antarctica New Zealand Latitudinal Gradient Project (LGP, Key Question 2 - role of large scale ice structures), Australian Antarctic Division project 2355 (MS), and to the SCAR EBA research programme. We thank two anonymous reviewers for their constructive comments.</t>
  </si>
  <si>
    <t>10.1017/S0954102010000490</t>
  </si>
  <si>
    <t>WOS:000285470300018</t>
  </si>
  <si>
    <t>Morley, SA; Griffiths, HJ; Barnes, DKA; Peck, LS</t>
  </si>
  <si>
    <t>Morley, S. A.; Griffiths, H. J.; Barnes, D. K. A.; Peck, L. S.</t>
  </si>
  <si>
    <t>South Georgia: a key location for linking physiological capacity to distributional changes in response to climate change</t>
  </si>
  <si>
    <t>depth distribution; latitudinal comparisons; physiological tolerance; range limit; Southern Ocean; temperature; sub-Antarctic</t>
  </si>
  <si>
    <t>THERMAL TOLERANCE; SCOTIA SEA; OCEAN; TEMPERATURE; IMPACTS; VULNERABILITY; ACCLIMATION; VARIABILITY; ECTOTHERMS; PATTERNS</t>
  </si>
  <si>
    <t>Antarctic marine invertebrates from the Western Antarctic Peninsula (WAP) are generally stenothermal, with three-month survival and activity limits above the average maximum summer seawater temperature (1.0 degrees C) of 1-6 degrees C and 1-3 degrees C respectively. For many of these species to survive the warmer maximum temperature at the sub-Antarctic island of South Georgia (5 degrees C), they require either greater thermal flexibility, or must avoid the warmest water-masses. The mean depths and depth range of WAP gastropod and bivalve molluscs were compared with the mean depths of these same species at South Georgia; separated into water masses delimited by the 1 degrees C isotherm at South Georgia, surface Antarctic water (SAW, 90 m), winter water (WW 90-150 m) and circumpolar deep water (CDW &gt; 150m). Bivalves in the SAW and CDW categories at the WAP were centred around the cooler WW (&lt; 1.2 degrees C) at South Georgia, with a narrower mean depth range for CDW bivalves. There was no difference in the average depth of gastropods, but a reduced depth range in the CDW. The apparent temperature limit to bivalve mean depths and not gastropods at South Georgia, suggests that further latitudinal comparisons could yield information on the underlying physiological mechanisms determining the range limits of Southern Ocean fauna.</t>
  </si>
  <si>
    <t>[Morley, S. A.; Griffiths, H. J.; Barnes, D. K. A.; Peck, L. S.] British Antarctic Survey, NERC, Cambridge CB3 0ET, England</t>
  </si>
  <si>
    <t>Morley, SA (corresponding author), British Antarctic Survey, NERC, Madingley Rd, Cambridge CB3 0ET, England.</t>
  </si>
  <si>
    <t>smor@bas.ac.uk</t>
  </si>
  <si>
    <t>Griffiths, Huw J/D-4234-2009</t>
  </si>
  <si>
    <t>Griffiths, Huw J/0000-0003-1764-223X</t>
  </si>
  <si>
    <t>This perspective forms part of the British Antarctic Survey Polar Science for Planet Earth Programme. It was funded by the Natural Environment Research Council and is a contribution to Antarctica New Zealand's Latitudinal Gradient Program. Thanks go to Hugh Venables, Mark Belchier and Sophie Fielding for supplying the CTD data and HV, Katrin Linse and Chester Sands for useful discussions during the preparation of this manuscript. Thanks go to Dave Bowden and an anonymous reviewer who provided comments that improved the manuscript.</t>
  </si>
  <si>
    <t>10.1017/S0954102010000465</t>
  </si>
  <si>
    <t>WOS:000285470300019</t>
  </si>
  <si>
    <t>Clark, MR; Dunn, MR; McMillan, PJ; Pinkerton, MH; Stewart, A; Hanchet, SM</t>
  </si>
  <si>
    <t>Clark, Malcolm R.; Dunn, Matthew R.; McMillan, Peter J.; Pinkerton, Matthew H.; Stewart, Andrew; Hanchet, Stuart M.</t>
  </si>
  <si>
    <t>Latitudinal variation of demersal fish assemblages in the western Ross Sea</t>
  </si>
  <si>
    <t>Antarctica; environmental factors; fish communities; seamounts</t>
  </si>
  <si>
    <t>VICTORIA LAND; NEW-ZEALAND; ANTARCTICA; PISCES; ARTEDIDRACONIDAE; NOTOTHENIOIDEI; PERCIFORMES</t>
  </si>
  <si>
    <t>Demersal fishes were sampled using a large fish trawl during two surveys carried out in February and March 2004 and 2008 in the Ross Sea, and around seamounts and islands just to the north at 66 degrees S. The distribution and abundance of 65 species collected in these surveys were examined to determine if demersal fish communities varied throughout the area, and what environmental factors might influence this. Species accumulation with sample frequency did not reach an asymptote, but the rate of new species was low suggesting data were adequate for describing the main components of the communities. Three broad assemblages were identified, in the southern Ross Sea (south of 74 degrees S), central-northern Ross Sea (between latitudes 71 degrees-74 degrees S), and the seamounts further north (65 degrees-68 degrees S) where some species more typical of sub-Antarctic latitudes were observed. Multivariate analyses indicated that environmental factors of seafloor rugosity (roughness), temperature, depth, and current speed were the main variables determining patterns in demersal fish communities.</t>
  </si>
  <si>
    <t>[Clark, Malcolm R.; Dunn, Matthew R.; McMillan, Peter J.; Pinkerton, Matthew H.] Natl Inst Water &amp; Atmospher Res NIWA, Wellington 6021, New Zealand; [Stewart, Andrew] Museum New Zealand Te Papa Tongarewa, Wellington 6011, New Zealand; [Hanchet, Stuart M.] Natl Inst Water &amp; Atmospher Res NIWA, Nelson, New Zealand</t>
  </si>
  <si>
    <t>Clark, MR (corresponding author), Natl Inst Water &amp; Atmospher Res NIWA, Wellington 6021, New Zealand.</t>
  </si>
  <si>
    <t>m.clark@niwa.co.nz</t>
  </si>
  <si>
    <t>Dunn, Matthew R/J-3750-2014; Stewart, Andrew/HGC-0709-2022</t>
  </si>
  <si>
    <t>Stewart, Andrew/0000-0001-8354-3032</t>
  </si>
  <si>
    <t>New Zealand Government; Ministry of Fisheries and Land Information New Zealand [ZBD200303]; New Zealand International Polar Year-Census of Antarctic Marine Life Project [IPY2007-01]</t>
  </si>
  <si>
    <t>New Zealand Government; Ministry of Fisheries and Land Information New Zealand; New Zealand International Polar Year-Census of Antarctic Marine Life Project</t>
  </si>
  <si>
    <t>This research was funded by the New Zealand Government. In 2004 the Ministry of Fisheries and Land Information New Zealand (Project ZBD200303). In 2006 under the New Zealand International Polar Year-Census of Antarctic Marine Life Project (Phase 2: IPY2007-01). We acknowledge project governance provided by the Ministry of Fisheries Science Team and the Ocean Survey 20/20 CAML Advisory Group (Land Information New Zealand, Ministry of Fisheries, Antarctica New Zealand, Ministry of Foreign Affairs and Trade, and National Institute of Water and Atmosphere Ltd).</t>
  </si>
  <si>
    <t>10.1017/S0954102010000441</t>
  </si>
  <si>
    <t>WOS:000285470300020</t>
  </si>
  <si>
    <t>Cummings, VJ; Thrush, SF; Chiantore, M; Hewitt, JE; Cattaneo-Vietti, R</t>
  </si>
  <si>
    <t>Cummings, V. J.; Thrush, S. F.; Chiantore, M.; Hewitt, J. E.; Cattaneo-Vietti, R.</t>
  </si>
  <si>
    <t>Macrobenthic communities of the north-western Ross Sea shelf: links to depth, sediment characteristics and latitude</t>
  </si>
  <si>
    <t>bioregionalization; community structure; macrobenthos; Victoria Land coast</t>
  </si>
  <si>
    <t>VICTORIA-LAND COAST; MARINE BENTHIC COMMUNITIES; ORGANIC-MATTER; SCALE; ICE; BIODIVERSITY; ASSEMBLAGES; DISTURBANCE; ABUNDANCE; TRANSECT</t>
  </si>
  <si>
    <t>In early 2004 the Victoria Land Transect project sampled coastal north-western Ross Sea shelf benthos at Cape Adare, Cape Hallett, Cape Russell and Coulman Island from 100-500m deep. We describe the benthic macrofaunal assemblages at these locations and, to assess the use of seafloor sediment characteristics and/or depth measures in bioregionalizations, determine the extent to which assemblage compositions are related to measured differences in these factors. Percentages of fine sand and silt, the ratio of sediment chlorophyll a to phaeophytin, and depth were identified as important explanatory variables, but in combination they explained only 17.3% of between-location differences in assemblages. Consequently, these variables are clearly not strong determinants of macrofaunal assemblage structure. Latitude per se was not a useful measure of community variability and change. A significant correlation between both number of individuals and number of taxa and sediment phaeophytin concentration across locations suggests that the distribution of the benthos reflects their response to seafloor productivity. A number of factors not measured in this study have probably influenced the structure and function of assemblages and habitats. We discuss the implications of the results to marine classifications, and stress the need to incorporate biogenic habitat complexity into protection strategies.</t>
  </si>
  <si>
    <t>[Cummings, V. J.] Natl Inst Water &amp; Atmospher Res, Wellington, New Zealand; [Thrush, S. F.; Hewitt, J. E.] Natl Inst Water &amp; Atmospher Res, Hamilton, New Zealand; [Thrush, S. F.; Chiantore, M.; Cattaneo-Vietti, R.] Univ Genoa, DipTeRis, I-16132 Genoa, Italy</t>
  </si>
  <si>
    <t>National Institute of Water &amp; Atmospheric Research (NIWA) - New Zealand; National Institute of Water &amp; Atmospheric Research (NIWA) - New Zealand; University of Genoa</t>
  </si>
  <si>
    <t>Cummings, VJ (corresponding author), Natl Inst Water &amp; Atmospher Res, Private Bag 14-901, Wellington, New Zealand.</t>
  </si>
  <si>
    <t>; Chiantore, Mariachiara/C-7070-2017</t>
  </si>
  <si>
    <t>Thrush, Simon/0000-0002-4005-3882; Cummings, Vonda/0000-0003-1076-3995; Chiantore, Mariachiara/0000-0002-5862-1470</t>
  </si>
  <si>
    <t>Ministry of Fisheries BioRoss; NIWA</t>
  </si>
  <si>
    <t>We thank the expedition leader Roberto Meloni, Programma Nazionale Di Recherche in Antartide (PNRA) staff on board RV Italica (especially Nicola la Notte), and the crew for being always helpful and cheerful, and for midnight pasta. We also thank our colleagues on the cruise for stimulating discussions and company. Greig Funnell, Jane Halliday and Ron Ovenden helped with sample processing. Geoff Read is thanked for polychaete identifications, Arne Pallentin for Fig. 1, and two anonymous reviewers for comments on the manuscript. Finally, thanks to Antarctica New Zealand and PNRA for their excellent logistical support, and the Ministry of Fisheries BioRoss and NIWA for funding.</t>
  </si>
  <si>
    <t>10.1017/S0954102010000489</t>
  </si>
  <si>
    <t>WOS:000285470300021</t>
  </si>
  <si>
    <t>Jennings, N; Hulme, M</t>
  </si>
  <si>
    <t>Jennings, Neil; Hulme, Mike</t>
  </si>
  <si>
    <t>UK newspaper (mis)representations of the potential for a collapse of the Thermohaline Circulation</t>
  </si>
  <si>
    <t>AREA</t>
  </si>
  <si>
    <t>UK; media representations; content analysis; interviews; abrupt climate change; Thermohaline Circulation</t>
  </si>
  <si>
    <t>ABRUPT CLIMATE-CHANGE; MERIDIONAL OVERTURNING CIRCULATION; OCEAN-ATMOSPHERE MODEL; NORTH-ATLANTIC OCEAN; CO2; HOT; SENSITIVITY; STABILITY; RISK; WILL</t>
  </si>
  <si>
    <t>This article investigates the representation in UK national newspaper articles between August 1987 and April 2006 of the possibility of abrupt climate change. It focuses primarily on representations of the possibility of a collapse in the Thermohaline Circulation (THC) and uses coverage of the possibility of a collapse of the West Antarctic Ice Sheet (WAIS) as a counterpoint. The article draws on a content analysis of newspaper articles and interviews with journalists, scientists and politicians. The THC issue was found to have received over three times more coverage than the WAIS issue despite both 'collapses' being deemed as equally unlikely by the IPCC. It is shown that the representation of the THC issue as the 'Gulf Stream' has been central to its media popularisation, but also that this representation has caused adverse reactions from some within the scientific community. Over 80 per cent of newspaper articles covering the THC issue put forward no indication of the probability of collapse or contained contradictory probabilities. It is suggested that the relatively large amount of coverage given to the THC issue, the absence of accompanying probabilistic statements, and the use of sensationalist headlines have had a significant influence on public perceptions of the climate future for the UK.</t>
  </si>
  <si>
    <t>[Jennings, Neil] Univ E Anglia, Tyndall Ctr Climate Change Res, Norwich NR4 7TJ, Norfolk, England; Univ E Anglia, Sch Environm Sci, Norwich NR4 7TJ, Norfolk, England</t>
  </si>
  <si>
    <t>University of East Anglia; University of East Anglia</t>
  </si>
  <si>
    <t>Jennings, N (corresponding author), Univ E Anglia, Tyndall Ctr Climate Change Res, Norwich NR4 7TJ, Norfolk, England.</t>
  </si>
  <si>
    <t>neil@studentswitchoff.org</t>
  </si>
  <si>
    <t>; Hulme, Mike/F-9012-2010</t>
  </si>
  <si>
    <t>Jennings, Neil/0000-0002-8039-6839; Hulme, Mike/0000-0002-1273-7662</t>
  </si>
  <si>
    <t>0004-0894</t>
  </si>
  <si>
    <t>1475-4762</t>
  </si>
  <si>
    <t>Area</t>
  </si>
  <si>
    <t>10.1111/j.1475-4762.2009.00936.x</t>
  </si>
  <si>
    <t>Geography</t>
  </si>
  <si>
    <t>674IL</t>
  </si>
  <si>
    <t>WOS:000283733100007</t>
  </si>
  <si>
    <t>Zou, H; Zhou, X; Jiang, ZJ; Ashley, MCB; Cui, XQ; Feng, LL; Gong, XF; Hu, JY; Kulesa, CA; Lawrence, JS; Liu, GR; Luong-Van, DM; Ma, J; Moore, AM; Pennypacker, CR; Qin, WJ; Shang, ZH; Storey, JWV; Sun, B; Travouillon, T; Walker, CK; Wang, JL; Wang, LF; Wu, JH; Wu, ZY; Xia, LR; Yan, J; Yang, J; Yang, HG; Yao, YQ; Yuan, XY; York, DG; Zhang, ZH; Zhu, ZX</t>
  </si>
  <si>
    <t>Zou, Hu; Zhou, Xu; Jiang, Zhaoji; Ashley, M. C. B.; Cui, Xiangqun; Feng, Longlong; Gong, Xuefei; Hu, Jingyao; Kulesa, C. A.; Lawrence, J. S.; Liu, Genrong; Luong-Van, D. M.; Ma, Jun; Moore, A. M.; Pennypacker, C. R.; Qin, Weijia; Shang, Zhaohui; Storey, J. W. V.; Sun, Bo; Travouillon, T.; Walker, C. K.; Wang, Jiali; Wang, Lifan; Wu, Jianghua; Wu, Zhenyu; Xia, Lirong; Yan, Jun; Yang, Ji; Yang, Huigen; Yao, Yongqiang; Yuan, Xiangyan; York, D. G.; Zhang, Zhanhai; Zhu, Zhenxi</t>
  </si>
  <si>
    <t>THE SKY BRIGHTNESS AND TRANSPARENCY IN i-BAND AT DOME A, ANTARCTICA (vol 140, pg 602, 2010)</t>
  </si>
  <si>
    <t>ASTRONOMICAL JOURNAL</t>
  </si>
  <si>
    <t>[Zou, Hu; Zhou, Xu; Jiang, Zhaoji; Hu, Jingyao; Ma, Jun; Wu, Jianghua; Wu, Zhenyu; Yan, Jun; Yao, Yongqiang] Chinese Acad Sci, Natl Astron Observ, Beijing 100012, Peoples R China; [Zou, Hu] Chinese Acad Sci, Grad Univ, Beijing 100049, Peoples R China; [Zou, Hu; Zhou, Xu; Jiang, Zhaoji; Cui, Xiangqun; Feng, Longlong; Gong, Xuefei; Hu, Jingyao; Shang, Zhaohui; Wang, Lifan; Yan, Jun; Yuan, Xiangyan; Zhu, Zhenxi] Chinese Ctr Antarctic Astron, Nanjing 210008, Peoples R China; [Ashley, M. C. B.; Luong-Van, D. M.; Storey, J. W. V.] Univ New S Wales, Sch Phys, Sydney, NSW 2052, Australia; [Cui, Xiangqun; Gong, Xuefei; Liu, Genrong; Xia, Lirong; Yuan, Xiangyan] Nanjing Inst Astron Opt &amp; Technol, Nanjing 210042, Peoples R China; [Feng, Longlong; Wang, Lifan; Yang, Ji; Zhu, Zhenxi] Chinese Acad Sci, Purple Mt Observ, Nanjing 210008, Peoples R China; [Kulesa, C. A.; Walker, C. K.] Univ Arizona, Steward Observ, Tucson, AZ 85721 USA; [Lawrence, J. S.] Macquarie Univ, Dept Phys, N Ryde, NSW 2109, Australia; [Lawrence, J. S.] Anglo Australian Observ, Sydney, NSW 1710, Australia; [Moore, A. M.] CALTECH, Dept Astron, Pasadena, CA 91125 USA; [Pennypacker, C. R.; Travouillon, T.] Univ Calif Berkeley, Lawrence Berkeley Lab, Berkeley, CA 94720 USA; [Qin, Weijia; Sun, Bo; Yang, Huigen; Zhang, Zhanhai] Polar Res Inst China, Shanghai 200136, Peoples R China; [Shang, Zhaohui] Tianjin Normal Univ, Tianjin 300387, Peoples R China; [Wang, Lifan] Texas A&amp;M Univ, Dept Phys, College Stn, TX 77843 USA; [York, D. G.] Univ Chicago, Dept Astron &amp; Astrophys, Chicago, IL 60637 USA; [York, D. G.] Univ Chicago, Enrico Fermi Inst, Chicago, IL 60637 USA</t>
  </si>
  <si>
    <t>Chinese Academy of Sciences; National Astronomical Observatory, CAS; Chinese Academy of Sciences; University of Chinese Academy of Sciences, CAS; University of New South Wales Sydney; Chinese Academy of Sciences; Nanjing Institute of Astronomical Optics &amp; Technology, NAOC, CAS; Purple Mountain Observatory, CAS; Chinese Academy of Sciences; Nanjing Institute of Astronomical Optics &amp; Technology, NAOC, CAS; University of Arizona; Macquarie University; California Institute of Technology; University of California System; University of California Berkeley; United States Department of Energy (DOE); Lawrence Berkeley National Laboratory; Polar Research Institute of China; Tianjin Normal University; Texas A&amp;M University System; Texas A&amp;M University College Station; University of Chicago; University of Chicago</t>
  </si>
  <si>
    <t>Zou, H (corresponding author), Chinese Acad Sci, Natl Astron Observ, Beijing 100012, Peoples R China.</t>
  </si>
  <si>
    <t>zhouxu@bao.ac.cn</t>
  </si>
  <si>
    <t>Zou, Hu/HGD-9992-2022; sun, bo/JFA-9978-2023; Wang, Jiali/IQU-4490-2023; Wu, Jianghua/AGG-7589-2022</t>
  </si>
  <si>
    <t>Lawrence, Jon/0000-0002-6998-6993; Ashley, Michael/0000-0003-1412-2028; Moore, Anna/0000-0002-2894-6936</t>
  </si>
  <si>
    <t>0004-6256</t>
  </si>
  <si>
    <t>ASTRON J</t>
  </si>
  <si>
    <t>Astron. J.</t>
  </si>
  <si>
    <t>10.1088/0004-6256/140/6/2146</t>
  </si>
  <si>
    <t>679EK</t>
  </si>
  <si>
    <t>WOS:000284143500048</t>
  </si>
  <si>
    <t>Jaeger, TR; Mutel, RL; Gayley, KG</t>
  </si>
  <si>
    <t>Jaeger, T. R.; Mutel, R. L.; Gayley, K. G.</t>
  </si>
  <si>
    <t>Project RESUN, a Radio EVLA Search for UHE Neutrinos</t>
  </si>
  <si>
    <t>ASTROPARTICLE PHYSICS</t>
  </si>
  <si>
    <t>Neutrinos - ISM; Cosmology; Observations - galaxies; Active - moon - instrumentation; Detectors</t>
  </si>
  <si>
    <t>ENERGY COSMIC-RAYS; UPPER LIMIT; FLUX; EMISSION</t>
  </si>
  <si>
    <t>In the past decade there have been several attempts to detect Ultra High Energy (UHE) neutrinos via radio Cerenkov bursts in terrestrial ice or the lunar regolith. So far these searches have yielded no detections, but the inferred flux upper limits have started to constrain physical models for UHE neutrino generation. We report results from the Radio EVLA Search for UHE Neutrinos (RESUN) experiment, aimed at further limiting isotropic and point-source production models. RESUN uses the Expanded Very Large Array (EVLA) configured in multiple sub-arrays of four antennas observing at 1.4 GHz and pointed along the lunar limb to detect cm-wavelength Cerenkov bursts. No pulses of lunar origin exceeding a threshold of 0.017 mu V m(-1) MHz(-1) were detected during a observing campaign totaling 200 h. The RESUN null detection implies an upper limit to the differential isotropic neutrino flux EdN/dE &lt; 1 km(-2) yr(-1) sr(-1) at 90% confidence level for sources with energy (E) exceeding 10(21.2) eV and EdN/dE &lt; 0.1 km(-2) yr(-1) sr(-1) for E &gt; 10(22.5) eV. The isotropic flux upper limit is the lowest published for lunar searches in the range 10(20.7) eV &lt; E &lt; 10(22.3) eV and is inconsistent with extragalactic and halo Z-burst models for neutrino generation, in agreement with the ANITA Antarctic ice observations and WMAP neutrino mass estimates. Further, we establish 90% confidence differential flux limits for selected AGN sources located along the lunar celestial path. (C) 2010 Elsevier B.V. All rights reserved.</t>
  </si>
  <si>
    <t>[Jaeger, T. R.; Mutel, R. L.; Gayley, K. G.] Univ Iowa, Dept Phys &amp; Astron, Iowa City, IA 52242 USA</t>
  </si>
  <si>
    <t>University of Iowa</t>
  </si>
  <si>
    <t>Jaeger, TR (corresponding author), Univ Iowa, Dept Phys &amp; Astron, Iowa City, IA 52242 USA.</t>
  </si>
  <si>
    <t>theodore-jaeger@uiowa.edu</t>
  </si>
  <si>
    <t>0927-6505</t>
  </si>
  <si>
    <t>1873-2852</t>
  </si>
  <si>
    <t>ASTROPART PHYS</t>
  </si>
  <si>
    <t>Astropart Phys.</t>
  </si>
  <si>
    <t>10.1016/j.astropartphys.2010.08.008</t>
  </si>
  <si>
    <t>686AL</t>
  </si>
  <si>
    <t>WOS:000284669100005</t>
  </si>
  <si>
    <t>Yu, FQ; Luo, G</t>
  </si>
  <si>
    <t>Yu, Fangqun; Luo, Gan</t>
  </si>
  <si>
    <t>Oceanic Dimethyl Sulfide Emission and New Particle Formation around the Coast of Antarctica: A Modeling Study of Seasonal Variations and Comparison with Measurements</t>
  </si>
  <si>
    <t>ATMOSPHERE</t>
  </si>
  <si>
    <t>DMS emission; nucleation; southern ocean; seasonal variations; CCN</t>
  </si>
  <si>
    <t>NUMBER SIZE DISTRIBUTIONS; CLOUD CONDENSATION NUCLEI; GLOBAL-MODEL; AEROSOL; NUCLEATION; SENSITIVITY; CCN; PHYTOPLANKTON; SULFUR; IMPACT</t>
  </si>
  <si>
    <t>A clear understanding of new particle formation processes in remote oceans is critical for properly assessing the role of oceanic dimethyl sulfide (DMS) emission on the Earth's climate and associated climate feedback processes. Almost free from anthropogenic pollutants and leafed plants, the Antarctic continent and surrounding oceans are unique regions for studying the lifecycle of natural sulfate aerosols. Here we investigate the well-recognized seasonal variations of new particle formation around Antarctic coastal areas with a recently developed global size-resolved aerosol model. Our simulations indicate that enhanced DMS emission and photochemistry during the austral summer season lead to significant new particle formation via ion-mediated nucleation (IMN) and much higher particle number concentrations over Antarctica and surrounding oceans. By comparing predicted condensation nuclei larger than 10 nm (CN10) during a three-year period (2005-2007) with the long-period continuous CN10 measurements at the German Antarctic station Neumayer, we show that the model captures the absolute values of monthly mean CN10 (within a factor 2-3) as well as their seasonal variations. Our simulations confirm that the observed Antarctic CN10 and cloud condensation nuclei (CCN) seasonal variations are due to the formation of secondary particles during the austral summer. From the austral winter to summer, the zonally averaged CN10 and CCN in the lower troposphere over Antarctica increase by a factor of similar to 4-6 and similar to 2-4, respectively. This study appears to show that the H2SO4-H2O IMN mechanism is able to account for the new particle formation frequently observed in the Antarctica region during the austral summer.</t>
  </si>
  <si>
    <t>[Yu, Fangqun; Luo, Gan] SUNY Albany, Atmospher Sci Res Ctr, Albany, NY 12203 USA</t>
  </si>
  <si>
    <t>State University of New York (SUNY) System; State University of New York (SUNY) Albany</t>
  </si>
  <si>
    <t>Yu, FQ (corresponding author), SUNY Albany, Atmospher Sci Res Ctr, Albany, NY 12203 USA.</t>
  </si>
  <si>
    <t>yfq@asrc.cestm.albany.edu; ganluo@asrc.cestm.albany.edu</t>
  </si>
  <si>
    <t>Yu, Fangqun/F-3708-2011; Yu, Fangqun/N-7431-2019</t>
  </si>
  <si>
    <t>Yu, Fangqun/0000-0001-8862-4835</t>
  </si>
  <si>
    <t>NASA [NNX08AK48G]; NSF [AGS-0942106]; NASA [99825, NNX08AK48G] Funding Source: Federal RePORTER; Directorate For Geosciences; Div Atmospheric &amp; Geospace Sciences [0942106] Funding Source: National Science Foundation</t>
  </si>
  <si>
    <t>NASA(National Aeronautics &amp; Space Administration (NASA)); NSF(National Science Foundation (NSF)); NASA(National Aeronautics &amp; Space Administration (NASA)); Directorate For Geosciences; Div Atmospheric &amp; Geospace Sciences(National Science Foundation (NSF)NSF - Directorate for Geosciences (GEO))</t>
  </si>
  <si>
    <t>This study is supported by the NASA under grant NNX08AK48G and NSF under grant AGS-0942106. The GEOS-Chem model is managed by the Atmospheric Chemistry Modeling Group at Harvard University with support from the NASA Atmospheric Chemistry Modeling and Analysis Program.</t>
  </si>
  <si>
    <t>2073-4433</t>
  </si>
  <si>
    <t>ATMOSPHERE-BASEL</t>
  </si>
  <si>
    <t>Atmosphere</t>
  </si>
  <si>
    <t>10.3390/atmos1010034</t>
  </si>
  <si>
    <t>V29EP</t>
  </si>
  <si>
    <t>WOS:000208732000004</t>
  </si>
  <si>
    <t>Kopeikin, VM; Repina, IA; Grechko, EI; Ogorodnikov, BI</t>
  </si>
  <si>
    <t>Kopeikin, V. M.; Repina, I. A.; Grechko, E. I.; Ogorodnikov, B. I.</t>
  </si>
  <si>
    <t>Measurements of Soot Aerosol Content in the Near-Water Atmospheric Layer in the Southern and Northern Hemispheres</t>
  </si>
  <si>
    <t>ATMOSPHERIC AND OCEANIC OPTICS</t>
  </si>
  <si>
    <t>We present the results of mass soot concentration measurements in the near-water layer of the atmosphere during two cruises of the Academic Fedorov research vessel (from September 25 to October 23, 1998, on a route from St. Petersburg to Franz Joseph Land and from November 8, 1999, to April 30, 2000, on a route from St. Petersburg to Antarctica and the Southern Ocean [I'm not sure this exists.]), the 27th cruise of the Academician Ioffe research vessel (from April 6 to May 19, 2009, from Ushuaia (Tierra del Fuego) to Gdansk (Poland)), and at the Russian Antarctic Bellingshausen station (from December 20, 2001, to March 11, 2002). It is shown that the soot content in the atmosphere above the Arctic Ocean in October 1998 is comparable to that obtained at stationary stations in 1989-1992. The latitudinal dependence (less soot content with increases in latitude) is observed in the Southern Hemisphere. The average concentration of soot at Bellingshausen station and in the Southern Ocean is19-28 ng/m(3) and is comparable with the level of pollution at the foreign McMurdo and Ferraz stations.</t>
  </si>
  <si>
    <t>[Kopeikin, V. M.; Repina, I. A.; Grechko, E. I.] Russian Acad Sci, AM Obukhov Inst Atmospher Phys, Pyzhevskii Per 3, Moscow 119017, Russia; [Ogorodnikov, B. I.] L Ya Karpov Sci Res Physicochem Inst, Moscow 105064, Russia</t>
  </si>
  <si>
    <t>Russian Academy of Sciences; Obukhov Institute of Atmospheric Physics of Russian Academy of Sciences; Karpov Institute of Physical Chemistry</t>
  </si>
  <si>
    <t>Kopeikin, VM (corresponding author), Russian Acad Sci, AM Obukhov Inst Atmospher Phys, Pyzhevskii Per 3, Moscow 119017, Russia.</t>
  </si>
  <si>
    <t>Repina, Irina A/H-3530-2016</t>
  </si>
  <si>
    <t>Repina, Irina/0000-0001-7341-0826</t>
  </si>
  <si>
    <t>International Science and Technology Center [3032]; Russian Foundation for Basic Research [08-05-00659, 09-05-90416]</t>
  </si>
  <si>
    <t>International Science and Technology Center; Russian Foundation for Basic Research(Russian Foundation for Basic Research (RFBR)Spanish Government)</t>
  </si>
  <si>
    <t>This work was made possible with support from the International Science and Technology Center (project no. 3032) and the Russian Foundation for Basic Research, project nos.08-05-00659 and 09-05-90416.</t>
  </si>
  <si>
    <t>PLEIADES PUBLISHING INC</t>
  </si>
  <si>
    <t>MOSCOW</t>
  </si>
  <si>
    <t>PLEIADES PUBLISHING INC, MOSCOW, 00000, RUSSIA</t>
  </si>
  <si>
    <t>0869-5695</t>
  </si>
  <si>
    <t>2070-0393</t>
  </si>
  <si>
    <t>ATMOS OCEAN OPT</t>
  </si>
  <si>
    <t>Atmos. Ocean. Opt.</t>
  </si>
  <si>
    <t>10.1134/S1024856010060102</t>
  </si>
  <si>
    <t>Optics</t>
  </si>
  <si>
    <t>VC7NA</t>
  </si>
  <si>
    <t>WOS:000434582700010</t>
  </si>
  <si>
    <t>Emmerson, L; Facelli, JM; Chesson, P; Possingham, HP</t>
  </si>
  <si>
    <t>Emmerson, Louise; Facelli, Jose M.; Chesson, Peter; Possingham, Hugh P.</t>
  </si>
  <si>
    <t>Secondary seed dispersal of Erodiophyllum elderi, a patchily distributed short-lived perennial in the arid lands of Australia</t>
  </si>
  <si>
    <t>AUSTRAL ECOLOGY</t>
  </si>
  <si>
    <t>above-ground seed bank; Erodiophyllum elderi; patchy distribution; secondary dispersal; xeric vegetation</t>
  </si>
  <si>
    <t>SPATIAL PATTERNS; DESERT; ECOLOGY; PLANTS; GERMINATION; DISTANCES; LIFE</t>
  </si>
  <si>
    <t>We investigated secondary dispersal of propagules of Erodiophyllum elderi (Asteraceae), a short-lived perennial plant growing in small patches in the arid lands of southern Australia. In spite of its importance for population dynamics, secondary dispersal is a little understood process. We monitored the dispersal of 2280 large woody capitula (seed heads) released in six E. elderi patches for 9 months. Colour-coded seed heads were located at night using UV light and their distance and direction from the release point were measured. Over the 9-month period, more seed heads moved, and those that did, moved further in areas with high herbivore activity. Overall dispersal distance across the ground was limited to less than 30 m. Dispersal patterns were related to the topographical slope at the release site: seed heads moved further, and more dispersed on steeper slopes unless the steep slopes had sandy soil in which case seed heads were buried, caught or there was reduced sheet water flow limiting their dispersal potential. After several months, seed head dispersal virtually ceased as seed heads became stuck in the debris and soil after heavy rains or further dispersal became unlikely when seed heads reached locally low-lying areas. Secondary dispersal patterns suggest two distinctly different influences associated with the presence of herbivores: the direct movement of seed heads by trampling from sheep (an introduced herbivore) and the indirect effect of a reduced standing biomass from grazing. Reduced vegetation cover allows seed head redistribution via sheet water flow during large rainfall events.</t>
  </si>
  <si>
    <t>[Emmerson, Louise; Possingham, Hugh P.] Univ Adelaide, Dept Appl Math, Adelaide, SA 5005, Australia; [Emmerson, Louise; Chesson, Peter] Australian Natl Univ, Res Sch Biol Sci, Canberra, ACT 0200, Australia; [Emmerson, Louise] Australian Antarctic Div, Kingston, Tas 7050, Australia</t>
  </si>
  <si>
    <t>University of Adelaide; Australian National University; Australian Antarctic Division</t>
  </si>
  <si>
    <t>Emmerson, L (corresponding author), Univ Adelaide, Dept Appl Math, Adelaide, SA 5005, Australia.</t>
  </si>
  <si>
    <t>Chesson, Peter/GRO-6970-2022; POSSINGHAM, HUGH/R-8310-2019; Chesson, Peter/GLN-5790-2022; Possingham, Hugh/B-1337-2008</t>
  </si>
  <si>
    <t>POSSINGHAM, HUGH/0000-0001-7755-996X; Possingham, Hugh/0000-0001-7755-996X; Facelli, Jose/0000-0002-0408-0082</t>
  </si>
  <si>
    <t>University of Adelaide; RSBS at the Australian National University</t>
  </si>
  <si>
    <t>Our heartfelt thanks to those who searched for seed heads during the night and woke the following morning to measure their movement, in particular Jemery Day, David Ladd and David Bigham. Corinna Lange spent many artistic hours in the field setting up this experiment. Natalie Kelly provided valuable statistical advice. LE was supported by a Faculty of Science Scholarship from the University of Adelaide and a Collaborative Research Scholarship from RSBS at the Australian National University. Lachlan McLachlan kindly provided access to Koonamore Station throughout this research. Russ Sinclair enthusiastically allowed access to theTGBO Reserve records and the use of Bindy-i Research Centre.</t>
  </si>
  <si>
    <t>1442-9985</t>
  </si>
  <si>
    <t>1442-9993</t>
  </si>
  <si>
    <t>AUSTRAL ECOL</t>
  </si>
  <si>
    <t>Austral Ecol.</t>
  </si>
  <si>
    <t>10.1111/j.1442-9993.2009.02097.x</t>
  </si>
  <si>
    <t>685QR</t>
  </si>
  <si>
    <t>WOS:000284643700008</t>
  </si>
  <si>
    <t>Dodds, K; Hemmings, AD</t>
  </si>
  <si>
    <t>Dodds, Klaus; Hemmings, Alan D.</t>
  </si>
  <si>
    <t>Stenographers of Power: Reply to Haward and Bergin</t>
  </si>
  <si>
    <t>AUSTRALIAN JOURNAL OF POLITICS AND HISTORY</t>
  </si>
  <si>
    <t>AUSTRALIAN ANTARCTIC TERRITORY</t>
  </si>
  <si>
    <t>[Dodds, Klaus] Univ London, Oxford, England; [Dodds, Klaus] Univ Oxford St Cross Coll, Oxford OX1 3LZ, England; [Hemmings, Alan D.] Univ Canterbury, Christchurch, New Zealand</t>
  </si>
  <si>
    <t>University of London; University of Oxford; University of Canterbury</t>
  </si>
  <si>
    <t>Dodds, K (corresponding author), Univ London, Oxford, England.</t>
  </si>
  <si>
    <t>WILEY-BLACKWELL PUBLISHING, INC</t>
  </si>
  <si>
    <t>0004-9522</t>
  </si>
  <si>
    <t>AUST J POLIT HIST</t>
  </si>
  <si>
    <t>Aust. J. Polit. Hist.</t>
  </si>
  <si>
    <t>10.1111/j.1467-8497.2010.01575.x</t>
  </si>
  <si>
    <t>History; Political Science</t>
  </si>
  <si>
    <t>History; Government &amp; Law</t>
  </si>
  <si>
    <t>685RD</t>
  </si>
  <si>
    <t>WOS:000284644900009</t>
  </si>
  <si>
    <t>Checa, AG; Harper, EM</t>
  </si>
  <si>
    <t>Checa, Antonio G.; Harper, Elizabeth M.</t>
  </si>
  <si>
    <t>Spikey Bivalves: Intra-Periostracal Crystal Growth in Anomalodesmatans</t>
  </si>
  <si>
    <t>BIOLOGICAL BULLETIN</t>
  </si>
  <si>
    <t>FUNCTIONAL-MORPHOLOGY; EVOLUTIONARY SIGNIFICANCE; MOLECULAR PHYLOGENY; MOLLUSCA; LATERNULA; MICROSTRUCTURE; CALCIFICATION; 18S</t>
  </si>
  <si>
    <t>The external shell surfaces of most anomalodesmatan bivalves are studded with small spikes, particularly at the posterior end. We have studied the morphology, mode of growth, and distribution among taxa of these spikes. In this study we found that spikes vary widely in morphology, from acute spikes to flat plaques. Optical and electron microscopy has revealed that the periostraca of Laternula, Myadora, and Thraciopsis consist of an outer dense layer and an inner translucent layer. The dense layer grows at the expense of the inner layer as it progresses toward the shell edge. The spikes begin to grow in the free periostracum, within the translucent periostracal layer, immediately below the dense layer. With growth, they push the dense periostracal layer upward but without penetrating it. Those parts of the spike in contact with this layer cease to grow, which explains the typical conical shape of spikes. When fully grown, spikes reach the base of the translucent layer, becoming incorporated into the outer shell layer. Scanning electron microscopy and electron backscatter diffraction analysis reveal that the spikes of Lyonsia norwegica and Lyonsiella abyssicola are prisms of aragonite composed of twinned crystals, with the c-axis vertical. A survey of the occurrence of spikes within the anomalodesmatans shows that they are present in all but a few families. Elsewhere within the closely related palaeo-heterodonts, intra-periostracal calcification is also known in Neotrigonia and unionids, which indicates that this character may be plesiomorphic for these bivalves. The present data do not support the homology of spikes in other bivalve groups (e.g., veneroids) or in the aplacophorans or poly-placophorans.</t>
  </si>
  <si>
    <t>[Checa, Antonio G.] Univ Granada, Dept Estratigrafia &amp; Paleontol, Fac Ciencias, E-18071 Granada, Spain; [Harper, Elizabeth M.] Univ Cambridge, Dept Earth Sci, Cambridge CB2 3EQ, England</t>
  </si>
  <si>
    <t>University of Granada; University of Cambridge</t>
  </si>
  <si>
    <t>Checa, AG (corresponding author), Univ Granada, Dept Estratigrafia &amp; Paleontol, Fac Ciencias, Ave Fuentenueva S-N, E-18071 Granada, Spain.</t>
  </si>
  <si>
    <t>acheca@ugr.es</t>
  </si>
  <si>
    <t>Harper, Elizabeth M/B-3890-2008; Checa, Antonio/A-6157-2008</t>
  </si>
  <si>
    <t>Checa, Antonio/0000-0001-7873-7545</t>
  </si>
  <si>
    <t>Ministerio de Ciencia e Innovacion [CGL2007-60549]; Junta de Andalucia [RNM190]</t>
  </si>
  <si>
    <t>Ministerio de Ciencia e Innovacion(Instituto de Salud Carlos IIISpanish Government); Junta de Andalucia(Junta de Andalucia)</t>
  </si>
  <si>
    <t>We are extremely grateful to John Taylor and Emily Glover (The Natural History Museum, London) for valuable discussion and for providing the specimen of Laternula valenciennesii, and also to Simon Morley (British Antarctic Survey) for providing specimens of Laternula rostrata. Alicia Gonzalez-Segura (CIC, Universidad de Granada) significantly helped with EBSD analysis. The paper greatly benefited from the comments by two anonymous reviewers. This work was funded by Research Project CGL2007-60549 (Ministerio de Ciencia e Innovacion) and Research Group RNM190 (Junta de Andalucia).</t>
  </si>
  <si>
    <t>MARINE BIOLOGICAL LABORATORY</t>
  </si>
  <si>
    <t>WOODS HOLE</t>
  </si>
  <si>
    <t>7 MBL ST, WOODS HOLE, MA 02543 USA</t>
  </si>
  <si>
    <t>0006-3185</t>
  </si>
  <si>
    <t>BIOL BULL-US</t>
  </si>
  <si>
    <t>Biol. Bull.</t>
  </si>
  <si>
    <t>10.1086/BBLv219n3p231</t>
  </si>
  <si>
    <t>Biology; Marine &amp; Freshwater Biology</t>
  </si>
  <si>
    <t>Life Sciences &amp; Biomedicine - Other Topics; Marine &amp; Freshwater Biology</t>
  </si>
  <si>
    <t>701DW</t>
  </si>
  <si>
    <t>WOS:000285795500005</t>
  </si>
  <si>
    <t>Attard, CRM; Beheregaray, LB; Jenner, C; Gill, P; Jenner, M; Morrice, M; Bannister, J; LeDuc, R; Möller, L</t>
  </si>
  <si>
    <t>Attard, Catherine R. M.; Beheregaray, Luciano B.; Jenner, Curt; Gill, Peter; Jenner, Micheline; Morrice, Margaret; Bannister, John; LeDuc, Rick; Moeller, Luciana</t>
  </si>
  <si>
    <t>Genetic diversity and structure of blue whales (Balaenoptera musculus) in Australian feeding aggregations</t>
  </si>
  <si>
    <t>CONSERVATION GENETICS</t>
  </si>
  <si>
    <t>Blue whale; Balaenoptera musculus; Microsatellite; Mitochondrial DNA; Australia</t>
  </si>
  <si>
    <t>ATLANTIC HUMPBACK WHALES; ALLELE FREQUENCY DATA; POPULATION-STRUCTURE; COMPUTER-PROGRAM; BOTTLENECK; SEQUENCES; POWER; LOCI</t>
  </si>
  <si>
    <t>The worldwide distribution of blue whales (Balaenoptera musculus) has not prevented this species from becoming endangered due to twentieth century whaling. In Australia there are two known feeding aggregations of blue whales, which most likely are the pygmy subspecies (B. m. brevicauda). It is unknown whether individuals from these feeding aggregations belong to one breeding stock, or multiple breeding stocks that either share or occupy separate feeding grounds. This was investigated using ten microsatellite loci and mitochondrial DNA control region sequences (N = 110). Both sets of markers revealed no significant genetic structure, suggesting that these whales are likely to belong to the same breeding stock.</t>
  </si>
  <si>
    <t>[Beheregaray, Luciano B.; Moeller, Luciana] Flinders Univ S Australia, Sch Biol Sci, Adelaide, SA 5001, Australia; [Attard, Catherine R. M.; Beheregaray, Luciano B.] Macquarie Univ, Dept Biol Sci, Sydney, NSW 2109, Australia; [Jenner, Curt; Jenner, Micheline] Ctr Whale Res, Fremantle, WA 6959, Australia; [Gill, Peter; Morrice, Margaret] Blue Whale Study, Narrawong, Vic 3285, Australia; [Gill, Peter; Morrice, Margaret] Deakin Univ, Sch Life &amp; Environm Sci, Warrnambool, Vic 3280, Australia; [Bannister, John] Western Australian Museum, Welshpool, WA 6986, Australia; [LeDuc, Rick] SW Fisheries Sci Ctr, La Jolla, CA 92037 USA; [Moeller, Luciana] Macquarie Univ, Grad Sch Environm, N Ryde, NSW 2109, Australia</t>
  </si>
  <si>
    <t>Flinders University South Australia; Macquarie University; Deakin University; Western Australian Museum; National Oceanic Atmospheric Admin (NOAA) - USA; Macquarie University</t>
  </si>
  <si>
    <t>Möller, L (corresponding author), Flinders Univ S Australia, Sch Biol Sci, Adelaide, SA 5001, Australia.</t>
  </si>
  <si>
    <t>luciana.moller@flinders.edu.au</t>
  </si>
  <si>
    <t>Beheregaray, Luciano/AAY-6384-2021; Möller, Luciana M/A-6030-2008; Beheregaray, Luciano/A-8621-2008</t>
  </si>
  <si>
    <t>Beheregaray, Luciano/0000-0003-0944-3003; Beheregaray, Luciano/0000-0003-0944-3003; Moller, Luciana/0000-0002-7293-5847; Morrice, Margie/0000-0001-6903-4565; Attard, Catherine/0000-0003-1157-570X</t>
  </si>
  <si>
    <t>Australian Defence Department; Australian Department of Environment, Water, Heritage and the Arts [CAEC/14/2002, A19/2006, 2008/017]</t>
  </si>
  <si>
    <t>Australian Defence Department; Australian Department of Environment, Water, Heritage and the Arts(Australian Government)</t>
  </si>
  <si>
    <t>This study was funded by the Australian Marine Mammal Centre, Australian Antarctic Division. Sampling was conducted during a study program funded by the Australian Defence Department and the Australian Department of Environment, Water, Heritage and the Arts under animal ethics approval from the Department of Conservation and Land Management Animal Ethics Committee (#CAEC/14/2002), Deakin University Animal Welfare Committee (#A19/2006), and/or Macquarie University Animal Research Authority (#2008/017). Permits were supplied by the Department of Environment, Water, Heritage and the Arts (EPBC permits #E2008-0001, #E2003-48230, #E2002-00029) and Department of Sustainability and Environment in Victoria (#10004017).</t>
  </si>
  <si>
    <t>1566-0621</t>
  </si>
  <si>
    <t>1572-9737</t>
  </si>
  <si>
    <t>CONSERV GENET</t>
  </si>
  <si>
    <t>Conserv. Genet.</t>
  </si>
  <si>
    <t>10.1007/s10592-010-0121-9</t>
  </si>
  <si>
    <t>Biodiversity Conservation; Genetics &amp; Heredity</t>
  </si>
  <si>
    <t>Biodiversity &amp; Conservation; Genetics &amp; Heredity</t>
  </si>
  <si>
    <t>671KX</t>
  </si>
  <si>
    <t>WOS:000283505900031</t>
  </si>
  <si>
    <t>Haapkylä, J; Melbourne-Thomas, J; Flavell, M; Willis, BL</t>
  </si>
  <si>
    <t>Haapkylae, J.; Melbourne-Thomas, J.; Flavell, M.; Willis, B. L.</t>
  </si>
  <si>
    <t>Spatiotemporal patterns of coral disease prevalence on Heron Island, Great Barrier Reef, Australia</t>
  </si>
  <si>
    <t>CORAL REEFS</t>
  </si>
  <si>
    <t>Drivers of coral disease; Indo-Pacific; Seasonality; Sea surface temperature; Brown band syndrome; Growth anomalies</t>
  </si>
  <si>
    <t>BLACK BAND DISEASE; CARIBBEAN SCLERACTINIAN CORAL; SPATIAL VARIABILITY; GROWTH ANOMALIES; HOST-RANGE; TRANSMISSION; PORITES; LEVEL; TEMPERATURE; DYNAMICS</t>
  </si>
  <si>
    <t>Despite increasing research effort on coral diseases, little is known about factors driving disease dynamics on the Great Barrier Reef (GBR). This is the first study to investigate the temporal patterns of coral disease prevalence and potential drivers of disease around Heron Island, in the southern Capricorn Bunker sector of the GBR. Surveys were conducted in two austral summers and three winters between November 2007 and August 2009 on six sites around the island. Six diseases were detected: brown band syndrome (BrB), growth anomalies (GA), ulcerative white spots (UWS), white syndrome (WS), skeletal eroding band disease (SEB) and black band disease (BBD). The lowest overall mean disease prevalence was 1.87 +/- A 0.75% (mean +/- A SE) in November 2007 and the highest 4.22 +/- A 1.72% in August 2008. There was evidence of seasonality for two diseases: BrB and UWS. This is the first study to report a higher prevalence of BrB in the winter. BrB had a prevalence of 3.29 +/- A 0.58% in August 2008 and 1.53 +/- A 0.28% in August 2009, while UWS was the most common syndrome in the summer with a prevalence of 1.12 +/- A 0.31% in November 2007 and 2.67 +/- A 0.52% prevalence in January 2008. The prevalence of GAs and SEB did not depend on the season, although the prevalence of GAs increased throughout the study period. WS had a slightly higher prevalence in the summer, but its overall prevalence was low (&lt; 0.5%). Sites with high abundance of staghorn Acropora and Montipora were characterised by the highest disease prevalence (12% of Acropora and 3.3% of Montipora species were diseased respectively). These results highlight the correlations between coral disease prevalence, seasonally varying environmental parameters and coral community composition. Given that diseases are likely to reduce the resilience of corals, seasonal patterns in disease prevalence deserve further research.</t>
  </si>
  <si>
    <t>[Haapkylae, J.; Flavell, M.; Willis, B. L.] James Cook Univ, ARC Ctr Excellence Coral Reef Studies, Sch Marine &amp; Trop Biol, Townsville, Qld 4814, Australia; [Melbourne-Thomas, J.] Univ Tasmania, Inst Marine &amp; Antarctic Studies, Hobart, Tas 7001, Australia</t>
  </si>
  <si>
    <t>James Cook University; University of Tasmania</t>
  </si>
  <si>
    <t>Haapkylä, J (corresponding author), James Cook Univ, ARC Ctr Excellence Coral Reef Studies, Sch Marine &amp; Trop Biol, Townsville, Qld 4814, Australia.</t>
  </si>
  <si>
    <t>Jessica.Haapkyla@jcu.edu.au</t>
  </si>
  <si>
    <t>Melbourne-Thomas, Jess/N-2437-2019; Melbourne-Thomas, Jessica/G-7995-2012</t>
  </si>
  <si>
    <t>Melbourne-Thomas, Jess/0000-0001-6585-876X;</t>
  </si>
  <si>
    <t>Disease Working Group in the GEF</t>
  </si>
  <si>
    <t>We wish to thank the friendly staff on Heron Island Research Station and Beren Pluquiet for support during fieldwork. We are grateful to Juan Carlos Ortiz from the University of Queensland for giving us the possibility to use the permanent sites he established for the Global Environment Facility (GEF) Bleaching Working Group. We thank Dr. David Bourne for giving constructive comments on the manuscript. This work was supported by the Disease Working Group in the GEF Coral Reef Targeted Research and Capacity Building for Management Program.</t>
  </si>
  <si>
    <t>0722-4028</t>
  </si>
  <si>
    <t>1432-0975</t>
  </si>
  <si>
    <t>Coral Reefs</t>
  </si>
  <si>
    <t>10.1007/s00338-010-0660-z</t>
  </si>
  <si>
    <t>676TE</t>
  </si>
  <si>
    <t>WOS:000283940700025</t>
  </si>
  <si>
    <t>Peltier, R; Evans, CW; DeVries, AL; Brimble, MA; Dingley, AJ; Williams, DE</t>
  </si>
  <si>
    <t>Peltier, Raoul; Evans, Clive W.; DeVries, Arthur L.; Brimble, Margaret A.; Dingley, Andrew J.; Williams, David E.</t>
  </si>
  <si>
    <t>Growth Habit Modification of Ice Crystals Using Antifreeze Glycoprotein (AFGP) Analogues</t>
  </si>
  <si>
    <t>CRYSTAL GROWTH &amp; DESIGN</t>
  </si>
  <si>
    <t>POINT-DEPRESSING GLYCOPROTEINS; NUCLEAR-MAGNETIC-RESONANCE; MOLECULAR-WEIGHT; CIRCULAR-DICHROISM; PROTEIN-ACTIVITY; ANTARCTIC FISH; POLAR FISH; WATER; ADSORPTION; MECHANISM</t>
  </si>
  <si>
    <t>The research reported here considers the modification of ice crystal growth habit using analogues of antifreeze glycoproteins compounds that control the growth of ice crystals in the blood of Antarctic fishes A range of analogues of the smallest antifree e glycoprotein (AFGP8 Ala-Ala-Thr-Ala-Ala-Thr-Pro-Ala-Thr-Ala-Ala-Thr-Pro-Ala) were synthesized all of which have either N-acetyl-galactosamme or galactose moieties attached to their threonines instead of the native galactose-N acetyl-galactosamine disaccharide We also synthesized analogues in which the prolines wet e substituted with alanines in the protein sequence The analogues were systematically studied for their effects on ice crystal shape and their effects when combined with a range of salts chosen across the Hofmeister series A simple H-1 NMR freezing experiment was used to detect adsorption onto ice and indicate differences in water proton hydrogen bonding CD spectroscopy highlighted the role of the terminal galactoe, the proline residues, and the N-acetylamine group in modifying the solution conformation The results illustrate a delicate balance between the effects of hydrophobic and hydrophilic groups on the glycoprotein and the interactions between the glycoprotein, a developing ice crystal, and water We demonstrate three ways of modulating the ice crystal shape by changing the adsorbent concentration, by changing the adsorbent structure, or by altering the interaction of the glycoprotein with liquid water through the use of simple solution additives We show a continuum of behavior between no shape modification and no thermal hysteresis 10 a strong shape modification and a significant thermal hysteresis, and we relate the results to kinetic models for antifreeze activity</t>
  </si>
  <si>
    <t>[Peltier, Raoul; Brimble, Margaret A.; Dingley, Andrew J.; Williams, David E.] Univ Auckland, Dept Chem, Auckland 1142, New Zealand; [Evans, Clive W.; Dingley, Andrew J.] Univ Auckland, Sch Biol Sci, Auckland 1142, New Zealand; [Peltier, Raoul; Williams, David E.] Univ Auckland, MacDiarmid Inst Adv Mat &amp; Nanotechnol, Auckland 1142, New Zealand; [Brimble, Margaret A.] Univ Auckland, Maurice Wilkins Ctr Mol Biodiscovery, Auckland 1142, New Zealand; [DeVries, Arthur L.] Univ Illinois, Dept Anim Biol, Urbana, IL 61801 USA</t>
  </si>
  <si>
    <t>University of Auckland; University of Auckland; University of Auckland; University of Auckland; University of Illinois System; University of Illinois Urbana-Champaign</t>
  </si>
  <si>
    <t>Williams, DE (corresponding author), Univ Auckland, Dept Chem, Private Bag 92019, Auckland 1142, New Zealand.</t>
  </si>
  <si>
    <t>Williams, David E/B-3222-2012; Evans, Clive/AAZ-4699-2021; Dingley, Andrew/G-6427-2013</t>
  </si>
  <si>
    <t>Williams, David E/0000-0003-4123-5626; Evans, Clive/0000-0003-2888-842X; Dingley, Andrew/0000-0002-6838-5803; Brimble, Margaret/0000-0002-7086-4096</t>
  </si>
  <si>
    <t>Human Frontier Science Program; MacDiarmid Institute for Advanced Materials and Nanotechnology; Maurice Wilkins Centre for Biodiscovery</t>
  </si>
  <si>
    <t>Human Frontier Science Program(Human Frontier Science Program); MacDiarmid Institute for Advanced Materials and Nanotechnology; Maurice Wilkins Centre for Biodiscovery</t>
  </si>
  <si>
    <t>We thank the Human Frontier Science Program, the MacDiarmid Institute for Advanced Materials and Nanotechnology, and the Maurice Wilkins Centre for Biodiscovery for financial support We particularly thank Dr Michael Schmitz for assistance with the NM R experiments</t>
  </si>
  <si>
    <t>1528-7483</t>
  </si>
  <si>
    <t>1528-7505</t>
  </si>
  <si>
    <t>CRYST GROWTH DES</t>
  </si>
  <si>
    <t>Cryst. Growth Des.</t>
  </si>
  <si>
    <t>10.1021/cg1005083</t>
  </si>
  <si>
    <t>Chemistry, Multidisciplinary; Crystallography; Materials Science, Multidisciplinary</t>
  </si>
  <si>
    <t>Chemistry; Crystallography; Materials Science</t>
  </si>
  <si>
    <t>686CT</t>
  </si>
  <si>
    <t>WOS:000284675100009</t>
  </si>
  <si>
    <t>Hansen, SE; Nyblade, AA; Heeszel, DS; Wiens, DA; Shore, P; Kanao, M</t>
  </si>
  <si>
    <t>Hansen, Samantha E.; Nyblade, Andrew A.; Heeszel, David S.; Wiens, Douglas A.; Shore, Patrick; Kanao, Masaki</t>
  </si>
  <si>
    <t>Crustal structure of the Gamburtsev Mountains, East Antarctica, from S-wave receiver functions and Rayleigh wave phase velocities</t>
  </si>
  <si>
    <t>Gamburtsev Mountains; Antarctica; crustal structure; S-wave receiver functions</t>
  </si>
  <si>
    <t>UPPER-MANTLE; SUBGLACIAL MOUNTAINS; WESTERN-AUSTRALIA; SEISMIC STRUCTURE; YILGARN CRATON; ICE-SHEET; MODEL; LITHOSPHERE; INVERSION; THICKNESS</t>
  </si>
  <si>
    <t>The Gamburtsev Subglacial Mountains (GSM), located in central East Antarctica, are one of the most enigmatic tectonic features on Earth. Buried beneath several kilometers of ice, the mountains are characterized by peak elevations reaching similar to 3000 m above sea level. In this study, new data from the Gamburtsev Antarctic Mountains Seismic Experiment (GAMSEIS) are presented, which substantially improve constraints on the crustal and upper mantle structure in this region. S-wave receiver functions and Rayleigh wave phase velocities are used to analyze data from the GAMSEIS deployment and to improve estimates of crustal thickness beneath the East Antarctic craton and the GSM. Our results indicate that the cratonic crust surrounding the GSM is similar to 40-45 km thick. Beneath the GSM, the crust thickens to similar to 55-58 km and provides isostatic support for the high mountain elevations. It has been suggested that thicker crust beneath the GSM may reflect magmatic underplating associated with a mantle plume. However, considering our results with those from other previous and ongoing studies, we instead favor models in which the GSM are an old continental feature associated with either Proterozoic or Paleozoic tectonic events. (C) 2010 Elsevier B.V. All rights reserved.</t>
  </si>
  <si>
    <t>[Hansen, Samantha E.] Univ Alabama, Dept Geol Sci, Tuscaloosa, AL 35487 USA; [Nyblade, Andrew A.] Penn State Univ, Dept Geosci, University Pk, PA 16802 USA; [Heeszel, David S.; Wiens, Douglas A.; Shore, Patrick] Washington Univ, Dept Earth &amp; Planetary Sci, St Louis, MO 63130 USA; [Kanao, Masaki] Natl Inst Polar Res, Geosci Res Grp, Tokyo 1908518, Japan; [Kanao, Masaki] Natl Inst Polar Res, Polar Data Ctr, Tokyo 1908518, Japan</t>
  </si>
  <si>
    <t>University of Alabama System; University of Alabama Tuscaloosa; Pennsylvania Commonwealth System of Higher Education (PCSHE); Pennsylvania State University; Pennsylvania State University - University Park; Washington University (WUSTL); Research Organization of Information &amp; Systems (ROIS); National Institute of Polar Research (NIPR) - Japan; Research Organization of Information &amp; Systems (ROIS); National Institute of Polar Research (NIPR) - Japan</t>
  </si>
  <si>
    <t>Hansen, SE (corresponding author), Univ Alabama, Dept Geol Sci, Box 870338, Tuscaloosa, AL 35487 USA.</t>
  </si>
  <si>
    <t>shansen@geo.ua.edu; aan2@psu.edu; davidh@mantle.wustl.edu; doug@wustl.edu; patrick@mantle.wustl.edu; kanao@nipr.ac.jp</t>
  </si>
  <si>
    <t>; Wiens, Douglas/J-9259-2016</t>
  </si>
  <si>
    <t>Hansen, Samantha/0000-0001-7608-5715; Wiens, Douglas/0000-0002-5169-4386</t>
  </si>
  <si>
    <t>National Science Foundation [ANT-0537371, ANT-0537597, ANT-0838934, ANT-0838973, ANT-0851560]; Directorate For Geosciences; Office of Polar Programs (OPP) [0838973] Funding Source: National Science Foundation</t>
  </si>
  <si>
    <t>We thank David Braaten from the Center for Remote Sensing of Ice Sheets (CReSIS) and Tom Jordan from the British Antarctic Survey for providing ice-penetrating radar measurements collected as part of the AGAP collaboration as well as Tim Parker, Guy Tytgat, Bruce Beaudoin, and the AGAP-GAMSEIS field crew for their efforts in collecting the data used in this study. We also thank Anya Reading and an anonymous reviewer for their thorough critiques of this manuscript. Portable seismic instrumentation for this project was obtained from the PASSCAL program of the Incorporated Research Institutions for Seismology (IRIS), and data handling assistance was provided by the IRIS Data Management System. Funding for this project was provided by the National Science Foundation grant numbers ANT-0537371, ANT-0537597, ANT-0838934, ANT-0838973, and ANT-0851560. Figures were prepared using GMT (Wessel and Smith, 1998).</t>
  </si>
  <si>
    <t>10.1016/j.epsl.2010.10.022</t>
  </si>
  <si>
    <t>WOS:000286284600022</t>
  </si>
  <si>
    <t>Lombarte, A; Palmer, M; Matallanas, J; Gómez-Zurita, J; Morales-Nin, B</t>
  </si>
  <si>
    <t>Lombarte, Antoni; Palmer, Miquel; Matallanas, Jesus; Gomez-Zurita, Jesus; Morales-Nin, Beatriz</t>
  </si>
  <si>
    <t>Ecomorphological trends and phylogenetic inertia of otolith sagittae in Nototheniidae</t>
  </si>
  <si>
    <t>4th International Otolith Symposium</t>
  </si>
  <si>
    <t>AUG 24-28, 2009</t>
  </si>
  <si>
    <t>Monterey, CA</t>
  </si>
  <si>
    <t>Nototheniidae; Otolith sagitta; Ecomorphology; Phylogenetic inertia; Shape analyses</t>
  </si>
  <si>
    <t>FISHES PERCIFORMES; INNER EARS; EVOLUTION; PATTERNS; SOUTH; SIZE; MORPHOLOGY; SHAPE</t>
  </si>
  <si>
    <t>A quantitative ecomorphological study was carried out on the sagitta otoliths of Antarctic and Subantarctic nototheniids, a particularly interesting family due to its fast adaptive radiation into different life strategies. We analyzed the otolith shape and size of 18 nototheniids to test the relationship between phylogeny, otolith characters and trophic niche. Relative size (area, length, width, perimeter and weight) and shape (biometric warp analysis based on homologous and pseudo-homologous landmarks) measurements were compared with phylogenic, habitat dwelling and food composition analyses. The results of the multivariate analysis of these factors indicate that there is a weak relationship between otolith shape of nototheniids and phylogeny; however, there is a clear correspondence between relative otolith size and shape and their trophic niche. The most benthic feeders of the family had the largest sagittae in relation to body size, and pelagic species had smaller and rounder shaped sagittae than benthic species. Consequently, in ecomorphological studies, it is useful to analyze the size and shape of sagittae. The discoidal shape of pelagic species, such as Pleuragrama antracticum, can be considered as a paedomorphic characteristic, converging to the juvenile sagittae of many species, which exhibit round sagittae that become elongated as they grow.</t>
  </si>
  <si>
    <t>[Lombarte, Antoni] CSIC, Inst Ciencias Mar, E-08003 Barcelona, Catalonia, Spain; [Palmer, Miquel; Morales-Nin, Beatriz] CSIC UIB, Inst Mediterrani Estudis Avancats, Esporles 07190, Mallorca, Spain; [Matallanas, Jesus] Univ Autonoma Barcelona, Dept Biol Anim Biol Vegetal &amp; Ecol, E-08193 Barcelona, Catalonia, Spain; [Gomez-Zurita, Jesus] CSIC, Inst Biol Evolut, E-08003 Barcelona, Catalonia, Spain</t>
  </si>
  <si>
    <t>Consejo Superior de Investigaciones Cientificas (CSIC); CSIC - Centro Mediterraneo de Investigaciones Marinas y Ambientales (CMIMA); CSIC - Instituto de Ciencias del Mar (ICM); University of Barcelona; Universitat de les Illes Balears; Consejo Superior de Investigaciones Cientificas (CSIC); ATTITUS Educacao; Autonomous University of Barcelona; Consejo Superior de Investigaciones Cientificas (CSIC); CSIC-UPF - Institut de Biologia Evolutiva (IBE)</t>
  </si>
  <si>
    <t>Lombarte, A (corresponding author), CSIC, Inst Ciencias Mar, Passeig Maritim 37-49, E-08003 Barcelona, Catalonia, Spain.</t>
  </si>
  <si>
    <t>toni@icm.cat</t>
  </si>
  <si>
    <t>Lombarte, Antoni/D-3142-2013; Palmer, Miquel/E-3561-2013; PALMER, MIQUEL/B-1818-2008; Gomez-Zurita, Jesus/C-4248-2008</t>
  </si>
  <si>
    <t>Morales-Nin, Beatriz/0000-0002-7264-0918; Gomez-Zurita, Jesus/0000-0001-7337-6541; Lombarte, Antoni/0000-0001-5215-4587; Miquel, Palmer/0000-0002-7875-3673</t>
  </si>
  <si>
    <t>10.1007/s10641-010-9673-2</t>
  </si>
  <si>
    <t>690BZ</t>
  </si>
  <si>
    <t>WOS:000284976500035</t>
  </si>
  <si>
    <t>Poisbleau, M; Demongin, L; Chastel, O; Eens, M; Quillfeldt, P</t>
  </si>
  <si>
    <t>Poisbleau, Maud; Demongin, Laurent; Chastel, Olivier; Eens, Marcel; Quillfeldt, Petra</t>
  </si>
  <si>
    <t>Reversed hatching order, body condition and corticosterone levels in chicks of southern rockhopper penguins (Eudyptes chrysocome chrysocome)</t>
  </si>
  <si>
    <t>GENERAL AND COMPARATIVE ENDOCRINOLOGY</t>
  </si>
  <si>
    <t>Baseline corticosterone level; Acute stress-induced corticosterone level; Body condition; Laying sequence; Southern rockhopper penguin (Eudyptes chrysocome chrysocome)</t>
  </si>
  <si>
    <t>THIN-BILLED PRIONS; STRESS-RESPONSE; SPHENISCUS-MAGELLANICUS; PLASMA-CORTICOSTERONE; AMERICAN KESTRELS; DIET COMPOSITION; AGE; CLUTCHES; SUCCESS; TRENDS</t>
  </si>
  <si>
    <t>In altricial and semi-altricial species, asynchronous hatching gives the first chicks to hatch an initial advantage over other siblings and often leads to the elimination of the smallest chicks. Both baseline corticosterone and acute stress-induced corticosterone levels have been shown to be higher in food deprived chicks than in chicks fed ad libitum. However, first-hatched chicks have also been shown to exhibit higher corticosterone levels than last-hatched chicks, suggesting an influence of the initial differences between eggs on corticosterone levels. We subjected single-chicks of southern rockhopper penguins Eudyptes chrysocome chrysocome to a standardised capture-stress protocol. In this species having very dimorphic two-egg clutches, we examined whether corticosterone levels were different between the two chick categories and tested for the effect of body condition controlled by the chick category. Neither body sizes, nor corticosterone levels differed between A- and B-chicks at 18 days. In contrast to baseline corticosterone levels, acute stress-induced levels of corticosterone were negatively correlated to body condition: chicks with a good body condition had lower acute stress-induced levels of corticosterone than chicks with a poor condition, whatever the chick category. Our results do not support the idea that initial differences in egg characteristics could drive the difference in corticosterone levels between siblings. On the contrary, they show that the A-egg of rockhopper penguins has, when reared alone, the same intrinsic potential to develop into a fledged chick as the B-egg. Later differences in body condition appear to lead to variation in the acute stress-induced levels of corticosterone. (C) 2010 Elsevier Inc. All rights reserved.</t>
  </si>
  <si>
    <t>[Poisbleau, Maud; Eens, Marcel] Univ Antwerp, Dept Biol Ethol, B-2610 Antwerp, Wilrijk, Belgium; [Poisbleau, Maud; Demongin, Laurent; Quillfeldt, Petra] Max Planck Inst Ornithol, D-78315 Radolfzell am Bodensee, Germany; [Chastel, Olivier] Ctr Etud Biol Chize, CNRS, UPR 1934, F-79360 Beauvoir Sur Niort, France</t>
  </si>
  <si>
    <t>University of Antwerp; Max Planck Society; Centre National de la Recherche Scientifique (CNRS)</t>
  </si>
  <si>
    <t>Poisbleau, M (corresponding author), Univ Antwerp, Dept Biol Ethol, Campus Drie Eiken,Univ Pl 1, B-2610 Antwerp, Wilrijk, Belgium.</t>
  </si>
  <si>
    <t>We are grateful to the New Island Conservation Trust for permission to work on the island. We wish to thank Ian, Maria and Georgina Strange and Dan Birch for their support during the field season. Thanks also to Helen Otley, Falklands Conservation and British Antarctic Survey for their logistic help. We greatly appreciate the skilful assistance in corticosterone assays of Colette Trouve, Stephanie Dano, Adeline Berger and Andre Lacroix. The manuscript benefited from critical comments by two anonymous reviewers. This study was funded by a grant provided by the Deutsche Forschungsgemeinschaft DFG (Qu 148/1-ff) and by the FWO Flanders, Belgium.</t>
  </si>
  <si>
    <t>0016-6480</t>
  </si>
  <si>
    <t>1095-6840</t>
  </si>
  <si>
    <t>GEN COMP ENDOCR</t>
  </si>
  <si>
    <t>Gen. Comp. Endocrinol.</t>
  </si>
  <si>
    <t>10.1016/j.ygcen.2010.09.007</t>
  </si>
  <si>
    <t>Endocrinology &amp; Metabolism; Zoology</t>
  </si>
  <si>
    <t>677DN</t>
  </si>
  <si>
    <t>WOS:000283969400009</t>
  </si>
  <si>
    <t>Hallis, LJ; Anand, M; Greenwood, RC; Miller, MF; Franchi, IA; Russell, SS</t>
  </si>
  <si>
    <t>Hallis, L. J.; Anand, M.; Greenwood, R. C.; Miller, M. F.; Franchi, I. A.; Russell, S. S.</t>
  </si>
  <si>
    <t>The oxygen isotope composition, petrology and geochemistry of mare basalts: Evidence for large-scale compositional variation in the lunar mantle</t>
  </si>
  <si>
    <t>APOLLO 12 SITE; MAGMATIC EVOLUTION; HIGH-PRECISION; HIGH-TITANIUM; GIANT IMPACT; ORIGIN; CONSTRAINTS; MOON; FRACTIONATION; PETROGENESIS</t>
  </si>
  <si>
    <t>To investigate the formation and early evolution of the lunar mantle and crust we have analysed the oxygen isotopic composition, titanium content and modal mineralogy of a suite of lunar basalts. Our sample set included eight low-Ti basalts from the Apollo 12 and 15 collections, and 12 high-Ti basalts from Apollo 11 and 17 collections. In addition, we have determined the oxygen isotopic composition of an Apollo 15 KREEP (K - potassium, REE - Rare Earth Element, and P - phosphorus) basalt (sample 15386) and an Apollo 14 feldspathic mare basalt (sample 14053). Our data display a continuum in bulk-rock delta O-18 values, from relatively low values in the most Ti-rich samples to higher values in the Ti-poor samples, with the Apollo 11 sample suite partially bridging the gap. Calculation of bulk-rock delta O-18 values, using a combination of previously published oxygen isotope data on mineral separates from lunar basalts, and modal mineralogy (determined in this study), match with the measured bulk-rock delta O-18 values. This demonstrates that differences in mineral modal assemblage produce differences in mare basalt delta O-18 bulk-rock values. Differences between the low- and high-Ti mare basalts appear to be largely a reflection of mantle-source heterogeneities, and in particular, the highly variable distribution of ilmenite within the lunar mantle. Bulk delta O-18 variation in mare basalts is also controlled by fractional crystallisation of a few key mineral phases. Thus, ilmenite fractionation is important in the case of high-Ti Apollo 17 samples, whereas olivine plays a more dominant role for the low-Ti Apollo 12 samples. Consistent with the results of previous studies, our data reveal no detectable difference between the Delta O-17 of the Earth and Moon. The fact that oxygen three-isotope studies have been unable to detect a measurable difference at such high precisions reinforces doubts about the giant impact hypothesis as presently formulated. Crown copyright (C) 2010 Published by Elsevier Ltd. All rights reserved.</t>
  </si>
  <si>
    <t>[Hallis, L. J.; Franchi, I. A.] Univ Hawaii, Hawaii Inst Geophys &amp; Planetol, Honolulu, HI 96822 USA; [Hallis, L. J.; Anand, M.] Open Univ, Dept Earth &amp; Environm Sci, CEPSAR, Milton Keynes MK7 6AA, Bucks, England; [Hallis, L. J.; Anand, M.; Russell, S. S.] Nat Hist Museum, Dept Mineral, London SW7 5BD, England; [Greenwood, R. C.] Open Univ, Planetary &amp; Space Sci Res Inst, CEPSAR, Milton Keynes MK7 6AA, Bucks, England; [Miller, M. F.] British Antarctic Survey, Cambridge CB3 0ET, England</t>
  </si>
  <si>
    <t>University of Hawaii System; Open University - UK; Natural History Museum London; Open University - UK; UK Research &amp; Innovation (UKRI); Natural Environment Research Council (NERC); NERC British Antarctic Survey</t>
  </si>
  <si>
    <t>Hallis, LJ (corresponding author), Univ Hawaii, Hawaii Inst Geophys &amp; Planetol, Pacific Ocean Sci &amp; Technol POST Bldg,1680 East W, Honolulu, HI 96822 USA.</t>
  </si>
  <si>
    <t>lydh@higp.hawaii.edu</t>
  </si>
  <si>
    <t>Anand, Mahesh/E-9259-2013; Miller, Martin F./AFL-7337-2022; Miller, Martin F./AAG-7303-2022</t>
  </si>
  <si>
    <t>Miller, Martin F./0000-0002-7735-0098; Miller, Martin F./0000-0002-7735-0098; hallis, lydia/0000-0001-6455-8415; Russell, Sara/0000-0001-5531-7847; Greenwood, Richard/0000-0002-5544-8027; Anand, Mahesh/0000-0003-4026-4476</t>
  </si>
  <si>
    <t>NERC [bas010013] Funding Source: UKRI; STFC [ST/F003102/1, ST/G002983/1] Funding Source: UKRI; Natural Environment Research Council [bas010013] Funding Source: researchfish; Science and Technology Facilities Council [ST/G002983/1, ST/F003102/1] Funding Source: researchfish</t>
  </si>
  <si>
    <t>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</si>
  <si>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10.1016/j.gca.2010.09.023</t>
  </si>
  <si>
    <t>679WR</t>
  </si>
  <si>
    <t>WOS:000284192000018</t>
  </si>
  <si>
    <t>Hogg, AM</t>
  </si>
  <si>
    <t>Hogg, Andrew McC.</t>
  </si>
  <si>
    <t>An Antarctic Circumpolar Current driven by surface buoyancy forcing</t>
  </si>
  <si>
    <t>TRANSPORT; OCEAN; VARIABILITY; MODEL</t>
  </si>
  <si>
    <t>Simulations of an idealised, but eddy-resolving, channel model of the Antarctic Circumpolar Current (ACC) are used to investigate the sensitivity of ACC transport to wind and surface buoyancy forcing. The results are consistent with theoretical predictions of the eddy-saturated limit, where transport is independent of wind stress. In this parameter regime, buoyancy forcing provides the primary control over ACC transport. Citation: Hogg, A. McC. (2010), An Antarctic Circumpolar Current driven by surface buoyancy forcing, Geophys. Res. Lett., 37, L23601, doi:10.1029/2010GL044777.</t>
  </si>
  <si>
    <t>Australian Natl Univ, Res Sch Earth Sci, Canberra, ACT 0200, Australia</t>
  </si>
  <si>
    <t>Hogg, AM (corresponding author), Australian Natl Univ, Res Sch Earth Sci, Canberra, ACT 0200, Australia.</t>
  </si>
  <si>
    <t>andy.hogg@anu.edu.au</t>
  </si>
  <si>
    <t>ARC [DP0877824]; Australian Research Council [DP0877824] Funding Source: Australian Research Council</t>
  </si>
  <si>
    <t>ARC(Australian Research Council); Australian Research Council(Australian Research Council)</t>
  </si>
  <si>
    <t>The author was supported by an ARC Discovery Project (DP0877824). Numerical computations were conducted using the National Facility of the Australian National Computational Infrastructure. Thanks to Ross Griffiths for comments on the first draft of this paper and two reviewers for their constructive comments.</t>
  </si>
  <si>
    <t>L23601</t>
  </si>
  <si>
    <t>10.1029/2010GL044777</t>
  </si>
  <si>
    <t>690OH</t>
  </si>
  <si>
    <t>WOS:000285013600001</t>
  </si>
  <si>
    <t>Unkel, I; Fernandez, M; Björck, S; Ljung, K; Wohlfarth, B</t>
  </si>
  <si>
    <t>Unkel, Ingmar; Fernandez, Marilen; Bjorck, Svante; Ljung, Karl; Wohlfarth, Barbara</t>
  </si>
  <si>
    <t>Records of environmental changes during the Holocene from Isla de los Estados (54.4°S), southeastern Tierra del Fuego</t>
  </si>
  <si>
    <t>Holocene; lake sediments; peat; diatom analysis; XRF; paleoclimate; southern westerlies; sea-level changes; Tierra del Fuego</t>
  </si>
  <si>
    <t>SEA-LEVEL CHANGES; DISSOLVED ORGANIC-CARBON; LATE PLEISTOCENE; CLIMATIC CHANGES; SOUTHERN CHILE; QUATERNARY; LAKE; DEPOSITION; VEGETATION; DIATOMS</t>
  </si>
  <si>
    <t>Southernmost Patagonia, located at the relatively narrow passage between Antarctica and South America, is a highly sensitive region for recording meridional and zonal changes in the pattern of oceanic and atmospheric circulation. The island of Isla de los Estados, situated at 54.5 degrees S, 64 degrees W, east of Argentinean Tierra del Fuego, provides an exceptional possibility, to investigate terrestrial records of atmospheric conditions in an oceanic setting during the last deglaciation and the Holocene. Here we present geochemical and diatom analyses from 10600 to c. 1500 cal BP of one sequence (LGB) with peat, lake sediments and lagoon deposits at the northern coast of the island, and a lake sediment sequence (CAS) 3 km further inland. The data comprise TC, TN, loss on ignition analyses and continuous XRF scanning as well as age-depth modeling based on AMS-C-14 dating on both cores. Diatom analysis of the CAS record complements the geochemical proxies. During the Holocene, our two sites have been impacted by two different forcings: changes in the regional climate regime largely influenced by the varying strength and position of the Southern Hemisphere Westerlies (SHW), while relative sea-level changes affected the deposits of the coastal site. In concert with the onset of the Antarctic thermal optimum, our data suggest fairly warm conditions and the establishment of denser peat and forest vegetation on the island c. 10600 cal BP. Between 8500 and 4500 cal BP geochemistry and diatoms from the CAS record indicate stronger Westerlies at this latitude, which means higher wind speed or higher storm frequency and more precipitation, resulting in more pronounced surface run-off. After 4500 cal BP, the geochemical proxies and large changes in diatom assemblages indicate a decrease in precipitation, weaker winds and possibly cooler conditions, probably as an effect of weaker SHW and/or a latitudinal shift. The depositional environment of CAS changed from gyttja to peat around 1000 cal BP. At LGB, the onset of gyttja sedimentation around 7900 cal BP shows that the former wet land with peat accumulation had become a lake with a fairly rapid sedimentation. The chemical data from LGB imply a gradually increasing marine influence, probably as an effect of both rising sea level and increased impact of storms and maximum high tides. After a marine high-stand during the mid-Holocene, the LGB site returned into a peat bog again around 3400 cal BP. Our data suggest that since then relative sea level first dropped back below present sea level followed by a rise to present day sea level. (C) 2010 Elsevier B.V. All rights reserved.</t>
  </si>
  <si>
    <t>[Unkel, Ingmar] Univ Kiel, Grad Sch Human Dev Landscapes, Inst Ecosyst Res, DE-24118 Kiel, Germany; [Unkel, Ingmar; Fernandez, Marilen; Bjorck, Svante; Ljung, Karl] Lund Univ, Dept Earth &amp; Ecosyst Sci, Div Geol, SE-22362 Lund, Sweden; [Fernandez, Marilen] CADIC CONICET, Quaternary Lab, RA-9410 Ushuaia, Tierra Fuego, Argentina; [Ljung, Karl] Univ Bristol, Organ Geochem Unit, Biogeochem Res Ctr, Sch Chem, Bristol BS8 1TS, Avon, England; [Wohlfarth, Barbara] Stockholm Univ, Dept Geol &amp; Geochem, SE-10691 Stockholm, Sweden</t>
  </si>
  <si>
    <t>University of Kiel; Lund University; Consejo Nacional de Investigaciones Cientificas y Tecnicas (CONICET); University of Bristol; Stockholm University</t>
  </si>
  <si>
    <t>Unkel, I (corresponding author), Univ Kiel, Grad Sch Human Dev Landscapes, Inst Ecosyst Res, Olshausenstr 75, DE-24118 Kiel, Germany.</t>
  </si>
  <si>
    <t>iunkel@ecology.uni-kiel.de</t>
  </si>
  <si>
    <t>Unkel, Ingmar/0000-0002-8940-1657; Ljung, Karl/0000-0002-4290-7933</t>
  </si>
  <si>
    <t>German Research Council [Un261/2-1]; Swedish Research Council (VR) [621-2003-3611]; Kungliga Fysiografiska Sallskapet in Lund; Swedish Polar Secretariat; VR</t>
  </si>
  <si>
    <t>German Research Council(German Research Foundation (DFG)); Swedish Research Council (VR)(Swedish Research Council); Kungliga Fysiografiska Sallskapet in Lund; Swedish Polar Secretariat; VR(Swedish Research Council)</t>
  </si>
  <si>
    <t>The position of Ingmar Unkel was funded by the German Research Council (DFG scholarship No. Un261/2-1). The research expedition to Isla de los Estados was carried out by Charlie Porter's ketch Ocean Tramp (Puerto Williams) and funded by a grant (621-2003-3611) to SB from the Swedish Research Council (VR) as part of his so-called Atlantis project. The field work at the two sites was carried out by SB, BW, KL and J. F. Ponce (Ushuaia). The analytical and logistic costs were funded both by the VR grant, by Kungliga Fysiografiska Sallskapet in Lund and the Swedish Polar Secretariat. Two anonymous reviewers gave valuable comments to improve our manuscript. To these persons and institutions we would like to express our sincere thanks.</t>
  </si>
  <si>
    <t>10.1016/j.gloplacha.2010.07.003</t>
  </si>
  <si>
    <t>702QL</t>
  </si>
  <si>
    <t>WOS:000285909100001</t>
  </si>
  <si>
    <t>Barnes, DKA; Hillenbrand, CD</t>
  </si>
  <si>
    <t>Barnes, David K. A.; Hillenbrand, Claus-Dieter</t>
  </si>
  <si>
    <t>Faunal evidence for a late quaternary trans-Antarctic seaway</t>
  </si>
  <si>
    <t>bryozoans; Ross Sea; sea level; Weddell Sea; West Antarctic Ice Sheet</t>
  </si>
  <si>
    <t>CONTINENTAL-MARGIN SEDIMENTS; LAST GLACIAL MAXIMUM; PINE ISLAND BAY; ICE-SHEET; ROSS-SEA; CRYPTIC SPECIATION; CLIMATE-CHANGE; PRYDZ BAY; COLLAPSE; RETREAT</t>
  </si>
  <si>
    <t>Collapse of the West Antarctic Ice Sheet (WAIS) would raise global sea level by similar to 3.3-5 m. Ice-sheet models and geological data suggest at least one collapse has happened during the last 1.1 Ma, and some scenarios of future climate change predict a collapse within the next two centuries. A complete WAIS collapse would open shallow seaways across West Antarctica, potentially enabling exchange of animals between West Antarctic seas. We investigated biological evidence for past connectivity between different regions of Antarctica by comparing the composition of modern bryozoan assemblages from the continental margin around Antarctica. Surprisingly, we found most similarity between two areas which are not currently connected - the shelves of the Weddell Sea (WS) and Ross Sea (RS). We evaluated three hypotheses to explain this and conclude that bryozoans most likely dispersed through a trans-Antarctic seaway that opened in response to a WAIS collapse and connected the WS and RS shelves. These bryozoans must have survived glaciations(s) during subsequent ice ages in refuges, whereas they were wiped out in most other regions of the Antarctic shelf. After the last glacial period, bryozoan assemblages could freely disperse between many of the regions we examined (e.g. Antarctic Peninsula and South Shetland Islands), which has allowed recolonization of areas in which bryozoans had been eradicated during the last ice age. For the bryozoans on the WS and RS shelves to be more similar than those which are in close proximity means the trans-Antarctic seaway may have been as late as the last few interglacials. Current rates of warming are exceptional compared with the near past glacial cycles so our study, the strongest faunal evidence of WAIS collapse during the recent geological past, thus supports predictions of a near future WAIS collapse (with considerable global sea level implications) and resultant future major faunal exchanges.</t>
  </si>
  <si>
    <t>[Barnes, David K. A.; Hillenbrand, Claus-Dieter] British Antarctic Survey, Cambridge CB3 0ET, England</t>
  </si>
  <si>
    <t>Barnes, DKA (corresponding author), British Antarctic Survey, Madingley Rd, Cambridge CB3 0ET, England.</t>
  </si>
  <si>
    <t>dkab@bas.ac.uk</t>
  </si>
  <si>
    <t>10.1111/j.1365-2486.2010.02198.x</t>
  </si>
  <si>
    <t>674GY</t>
  </si>
  <si>
    <t>WOS:000283726600012</t>
  </si>
  <si>
    <t>McClintock, JB; Amsler, CD; Moran, AL; Woods, HA; Baker, BJ</t>
  </si>
  <si>
    <t>McClintock, James B.; Amsler, Charles D.; Moran, Amy L.; Woods, H. Arthur; Baker, Bill J.</t>
  </si>
  <si>
    <t>Introduction to the Symposium: Advances in Antarctic Marine Biology</t>
  </si>
  <si>
    <t>INTEGRATIVE AND COMPARATIVE BIOLOGY</t>
  </si>
  <si>
    <t>CLIMATE-CHANGE; PENINSULA</t>
  </si>
  <si>
    <t>[McClintock, James B.; Amsler, Charles D.] Univ Alabama, Dept Biol, Birmingham, AL 35294 USA; [Moran, Amy L.] Clemson Univ, Dept Biol Sci, Clemson, SC 29634 USA; [Woods, H. Arthur] Univ Montana, Div Biol Sci, Missoula, MT 59812 USA; [Baker, Bill J.] Univ S Florida, Dept Chem, Tampa, FL 33620 USA</t>
  </si>
  <si>
    <t>University of Alabama System; University of Alabama Birmingham; Clemson University; University of Montana System; University of Montana; State University System of Florida; University of South Florida</t>
  </si>
  <si>
    <t>McClintock, JB (corresponding author), Univ Alabama, Dept Biol, Birmingham, AL 35294 USA.</t>
  </si>
  <si>
    <t>mcclinto@uab.edu</t>
  </si>
  <si>
    <t>Moran, Amy L/F-7072-2011; Baker, Bill/N-4312-2019</t>
  </si>
  <si>
    <t>Amsler, Charles/0000-0002-4843-3759; Moran, Amy/0000-0002-0604-5096</t>
  </si>
  <si>
    <t>1540-7063</t>
  </si>
  <si>
    <t>1557-7023</t>
  </si>
  <si>
    <t>INTEGR COMP BIOL</t>
  </si>
  <si>
    <t>Integr. Comp. Biol.</t>
  </si>
  <si>
    <t>10.1093/icb/icq005</t>
  </si>
  <si>
    <t>682VF</t>
  </si>
  <si>
    <t>WOS:000284430400004</t>
  </si>
  <si>
    <t>McClintock, JB; Amsler, CD; Baker, BJ</t>
  </si>
  <si>
    <t>McClintock, James B.; Amsler, Charles D.; Baker, Bill J.</t>
  </si>
  <si>
    <t>Overview of the Chemical Ecology of Benthic Marine Invertebrates along the Western Antarctic Peninsula</t>
  </si>
  <si>
    <t>Annual Meeting of the Society-for-Integrative-and-Comparative-Biology</t>
  </si>
  <si>
    <t>JAN 03-07, 2010</t>
  </si>
  <si>
    <t>Seattle, WA</t>
  </si>
  <si>
    <t>STAR ODONTASTER-VALIDUS; NUDIBRANCH AUSTRODORIS-KERGUELENENSIS; SPONGE KIRKPATRICKIA-VARIALOSA; BRACHIOPOD LIOTHYRELLA-UVA; TUBE-FOOT RESPONSES; CLIMATE-CHANGE; ENERGY CONTENT; BIOCHEMICAL-COMPOSITION; OCEAN ACIDIFICATION; SUBTIDAL MACROALGAE</t>
  </si>
  <si>
    <t>Thirteen years ago in a review that appeared in the American Zoologist, we presented the first survey of the chemical and ecological bioactivity of Antarctic shallow-water marine invertebrates. In essence, we reported that despite theoretical predictions to the contrary the incidence of chemical defenses among sessile and sluggish Antarctic marine invertebrates was widespread. Since that time we and others have significantly expanded upon the base of knowledge of Antarctic marine invertebrates' chemical ecology, both from the perspective of examining marine invertebrates in new, distinct geographic provinces, as well as broadening the evaluation of the ecological significance of secondary metabolites. Importantly, many of these studies have been framed within established theoretical constructs, particularly the Optimal Defense Theory. In the present article, we review the current knowledge of chemical ecology of benthic marine invertebrates comprising communities along the Western Antarctic Peninsula (WAP), a region of Antarctica that is both physically and biologically distinct from the rest of the continent. Our overview indicates that, similar to other regions of Antarctica, anti-predator chemical defenses are widespread among species occurring along the WAP. In some groups, such as the sponges, the incidence of chemical defenses against predation is comparable to, or even slightly higher than, that found in tropical marine systems. While there is substantial knowledge of the chemical defenses of benthic marine invertebrates against predators, much less is known about chemical anti-foulants. The sole survey conducted to date suggests that secondary metabolites in benthic sponges are likely to be important in the prevention of fouling by benthic diatoms, yet generally lack activity against marine bacteria. Our understanding of the sensory ecology of Antarctic benthic marine invertebrates, despite its great potential, remains in its infancy. For example, along the WAP, community-level non-consumptive effects occur when amphipods chemically sense fish predators and respond by seeking refuge in chemically-defended macroalgae. Such interactions may be important in releasing amphipods from predation pressure and facilitating their unusually high abundances along the WAP. Moreover, recent studies on the sensory biology of the Antarctic keystone sea star Odontaster validus indicate that chemotactile-mediated interactions between conspecifics and other sympatric predatory sea stars may have significant ramifications in structuring community dynamics. Finally, from a global environmental perspective, understanding how chemical ecology structures marine benthic communities along the WAP must increasingly be viewed in the context of the dramatic impacts of rapid climatic change now occurring in this biogeographic region.</t>
  </si>
  <si>
    <t>[McClintock, James B.; Amsler, Charles D.] Univ Alabama Birmingham, Dept Biol, Birmingham, AL 35294 USA; [Baker, Bill J.] Univ S Florida, Dept Chem, Tampa, FL 33620 USA</t>
  </si>
  <si>
    <t>McClintock, JB (corresponding author), Univ Alabama Birmingham, Dept Biol, Birmingham, AL 35294 USA.</t>
  </si>
  <si>
    <t>Office of Polar Programs (OPP); Directorate For Geosciences [0838773] Funding Source: National Science Foundation</t>
  </si>
  <si>
    <t>10.1093/icb/icq035</t>
  </si>
  <si>
    <t>WOS:000284430400006</t>
  </si>
  <si>
    <t>Janosik, AM; Halanych, KM</t>
  </si>
  <si>
    <t>Janosik, Alexis M.; Halanych, Kenneth M.</t>
  </si>
  <si>
    <t>Unrecognized Antarctic Biodiversity: A Case Study of the Genus Odontaster (Odontasteridae; Asteroidea)</t>
  </si>
  <si>
    <t>EUPHAUSIA-SUPERBA DANA; SOUTHERN ELEPHANT SEAL; MITOCHONDRIAL LINEAGES; POPULATION-STRUCTURE; GAMETOGENIC ECOLOGY; CRYPTIC SPECIATION; BENTHIC COMMUNITY; GENETIC-STRUCTURE; OCEAN BARRIERS; ANCIENT DNA</t>
  </si>
  <si>
    <t>Antarctica has a complex and multifaceted geologic and oceanographic history that has influenced and shaped patterns of marine invertebrate diversity. This evolutionary history consists of major events on a wide range of time scales such as the formation of the Antarctic Polar Front (25-41 million years ago) to repeated glacial cycles during the past million years. These factors variably influenced genetic connectivity of fauna to produce a highly unique, but incredibly diverse marine community. Use of molecular phylogeographic methods is creating the need to revise our understanding of Antarctic patterns of biodiversity. In particular, almost every phylogeographic study carried out to date, suggests that the biodiversity of Antarctic marine shelf fauna is considerably underestimated. In discovering this diversity, some lineages (i.e., cryptic lineages) show no diagnostic morphological differences whereas others (i.e., unrecognized species) show differences that were unknown to science. The sea star genus Odontaster is among the best-studied of Antarctic invertebrate groups. Nonetheless, two unrecognized lineages were recently discovered along the Antarctic Peninsula, which is one of the best-studied regions in Antarctica. Herein, we elucidate the molecular and morphological uniqueness of these species and name them O. roseus and O. pearsei. The latter is in honor of John Pearse, an Antarctic biologist, as well as past President and long-time member of the Society of Integrative and Comparative Biology.</t>
  </si>
  <si>
    <t>Auburn Univ, Dept Biol Sci, Auburn, AL 36849 USA</t>
  </si>
  <si>
    <t>Auburn University System; Auburn University</t>
  </si>
  <si>
    <t>janosam@auburn.edu; ken@auburn.edu</t>
  </si>
  <si>
    <t>Halanych, Kenneth/A-9480-2009</t>
  </si>
  <si>
    <t>Halanych, Kenneth/0000-0002-8658-9674</t>
  </si>
  <si>
    <t>10.1093/icb/icq119</t>
  </si>
  <si>
    <t>WOS:000284430400007</t>
  </si>
  <si>
    <t>O'Brien, KM; Mueller, IA</t>
  </si>
  <si>
    <t>O'Brien, Kristin M.; Mueller, Irina A.</t>
  </si>
  <si>
    <t>The Unique Mitochondrial Form and Function of Antarctic Channichthyid Icefishes</t>
  </si>
  <si>
    <t>NITRIC-OXIDE SYNTHASE; FISH CHAENOCEPHALUS-ACERATUS; ENDOTHELIAL GROWTH-FACTOR; SKELETAL-MUSCLE; CHIONODRACO-HAMATUS; HEMOGLOBIN-FREE; MESSENGER-RNA; BLOOD-FLOW; TREMATOMUS-BERNACCHII; MYOGLOBIN EXPRESSION</t>
  </si>
  <si>
    <t>Antarctic icefishes of the family Channichthyidae are the only vertebrate animals that as adults do not express the circulating oxygen-binding protein hemoglobin (Hb). Six of the 16 family members also lack the intracellular oxygen-binding protein myoglobin (Mb) in the ventricle of their hearts and all lack Mb in oxidative skeletal muscle. The loss of Hb has led to substantial remodeling in the cardiovascular system of icefishes to facilitate adequate oxygenation of tissues. One of the more curious adaptations to the loss of Hb and Mb is an increase in mitochondrial density in cardiac myocytes and oxidative skeletal muscle fibers. The proliferation of mitochondria in the aerobic musculature of icefishes does not arise through a canonical pathway of mitochondrial biogenesis. Rather, the biosynthesis of mitochondrial phospholipids is up-regulated independently of the synthesis of proteins and mitochondrial DNA, and newly-synthesized phospholipids are targeted primarily to the outer-mitochondrial membrane. Consequently, icefish mitochondria have a higher lipid-to-protein ratio compared to those from red-blooded species. Elevated levels of nitric oxide in the blood plasma of icefishes, compared to red-blooded notothenioids, may mediate alterations in mitochondrial density and architecture. Modifications in mitochondrial structure minimally impact state III respiration rates but may significantly enhance intracellular diffusion of oxygen. The rate of oxygen diffusion is greater within the hydrocarbon core of membrane lipids compared to the aqueous cytosol and impeded only by proteins within the lipid bilayer. Thus, the proliferation of icefish's mitochondrial membranes provides an optimal conduit for the intracellular diffusion of oxygen and compensates for the loss of Hb and Mb. Currently little is known about how mitochondrial phospholipid synthesis is regulated and integrated into mitochondrial biogenesis. The unique architecture of the oxidative muscle cells of icefishes highlights the need for further studies in this area.</t>
  </si>
  <si>
    <t>[O'Brien, Kristin M.; Mueller, Irina A.] Univ Alaska, Inst Arctic Biol, Fairbanks, AK 99775 USA</t>
  </si>
  <si>
    <t>University of Alaska System; University of Alaska Fairbanks</t>
  </si>
  <si>
    <t>O'Brien, KM (corresponding author), Univ Alaska, Inst Arctic Biol, Fairbanks, AK 99775 USA.</t>
  </si>
  <si>
    <t>kmobrien@alaska.edu</t>
  </si>
  <si>
    <t>Directorate For Geosciences; Office of Polar Programs (OPP) [0741301] Funding Source: National Science Foundation</t>
  </si>
  <si>
    <t>10.1093/icb/icq038</t>
  </si>
  <si>
    <t>WOS:000284430400008</t>
  </si>
  <si>
    <t>Detrich, HW; Amemiya, CT</t>
  </si>
  <si>
    <t>Detrich, H. W., III; Amemiya, Chris T.</t>
  </si>
  <si>
    <t>Antarctic Notothenioid Fishes: Genomic Resources and Strategies for Analyzing an Adaptive Radiation</t>
  </si>
  <si>
    <t>BACTERIAL ARTIFICIAL CHROMOSOME; CELLULAR-DNA CONTENT; ANTIFREEZE GLYCOPROTEIN; TREMATOMUS-BERNACCHII; ESCHERICHIA-COLI; GENE-SEQUENCES; BAC LIBRARIES; DRAKE PASSAGE; GLOBIN GENES; ROSS SEA</t>
  </si>
  <si>
    <t>The perciform suborder Notothenoidei provides a compelling opportunity to study the adaptive radiation of a marine species-flock in the cold Southern Ocean that surrounds Antarctica. To facilitate genome-level studies of the diversification of these fishes, we present estimates of the genome sizes of 11 Antarctic species and describe the production of high-quality bacterial artificial chromosome (BAC) libraries for two, the red-blooded notothen Notothenia coriiceps and the white-blooded icefish Chaenocephalus aceratus. Our results indicate that evolution of phylogenetically derived notothenioid families (e.g., the crown group Channichthyidae [icefishes]), was accompanied by genome expansion. Six species from the basal family Nototheniidae had C-values between 0.98 and 1.20 pg, a range that is consistent with the genome sizes of proposed outgroups (e.g., percids) of the notothenioid suborder. In contrast, four icefishes had C-values in the range 1.66-1.83 pg. The BAC libraries VMRC-19 (N. coriiceps) and VMRC-21 (C. aceratus) comprise 12x and 10x coverage of the respective genomes and have average insert sizes of 138 and 168 kb. Paired BAC-end reads representing similar to 0.1% of each genome showed that the repetitive element landscapes of the two genomes (13.4% of the N. coriiceps genome and 14.5% for C. aceratus) were similar. The availability of these high-quality and well-characterized BAC libraries sets the stage for targeted genomic analyses of the unusual anatomical and physiological adaptations of the notothenioids, some of which mimic human diseases. Here we consider the evolution of secondary pelagicism by various taxa of the group and illustrate the utility of Antarctic icefishes as an evolutionary-mutant model of human osteopenia (low-mineral density of bones).</t>
  </si>
  <si>
    <t>[Detrich, H. W., III] Northeastern Univ, Dept Biol, Boston, MA 02115 USA; [Amemiya, Chris T.] Benaroya Res Inst Virginia Mason, Seattle, WA 98101 USA; [Amemiya, Chris T.] Univ Washington, Dept Biol, Seattle, WA 98125 USA</t>
  </si>
  <si>
    <t>Northeastern University; Benaroya Research Institute; Virginia Mason Medical Center; University of Washington; University of Washington Seattle</t>
  </si>
  <si>
    <t>Detrich, HW (corresponding author), Northeastern Univ, Dept Biol, Boston, MA 02115 USA.</t>
  </si>
  <si>
    <t>iceman@neu.edu; camemiya@benaroyaresearch.org</t>
  </si>
  <si>
    <t>NHGRI NIH HHS [HG02526] Funding Source: Medline; NIA NIH HHS [AG031922, R01 AG031922] Funding Source: Medline</t>
  </si>
  <si>
    <t>NHGRI NIH HHS(United States Department of Health &amp; Human ServicesNational Institutes of Health (NIH) - USANIH National Human Genome Research Institute (NHGRI)); NIA NIH HHS(United States Department of Health &amp; Human ServicesNational Institutes of Health (NIH) - USANIH National Institute on Aging (NIA))</t>
  </si>
  <si>
    <t>10.1093/icb/icq071</t>
  </si>
  <si>
    <t>WOS:000284430400009</t>
  </si>
  <si>
    <t>Costa, DP; Huckstadt, LA; Crocker, DE; McDonald, BI; Goebel, ME; Fedak, MA</t>
  </si>
  <si>
    <t>Costa, Daniel P.; Huckstadt, Luis A.; Crocker, Daniel E.; McDonald, Birgitte I.; Goebel, Michael E.; Fedak, Michael A.</t>
  </si>
  <si>
    <t>Approaches to Studying Climatic Change and its Role on the Habitat Selection of Antarctic Pinnipeds</t>
  </si>
  <si>
    <t>SOUTHERN ELEPHANT SEALS; KRILL EUPHAUSIA-SUPERBA; KING-GEORGE ISLAND; FUR SEALS; FORAGING BEHAVIOR; MIROUNGA-LEONINA; MARGUERITE BAY; CEPHALOPOD DIET; TOP PREDATOR; EL-NINO</t>
  </si>
  <si>
    <t>Top predators integrate resources over time and space, and depending on the particular species they represent, different components of the marine environment. The habitat utilization of top predators has been studied using electronic tags to follow their movements and foraging behavior. In addition, these tags provide information on the physical characteristics of the water column (temperature and salinity) at a scale and resolution that is coincident with the animals' behavior. In addition to data on the animals' behavior, these tags provide physical oceanographic data in regions or at times they cannot be collected using other currently available technologies. These data inform us on how these important top predators are likely to respond to climatic change, as well as about how the Southern Ocean is changing.</t>
  </si>
  <si>
    <t>[Costa, Daniel P.; Huckstadt, Luis A.; McDonald, Birgitte I.] Univ Calif Santa Cruz, Long Marine Lab, Santa Cruz, CA 95060 USA; [Crocker, Daniel E.] Sonoma State Univ, Dept Biol, Rohnert Pk, CA 94928 USA; [Goebel, Michael E.] NOAA NMFS, Antarctic Marine Living Resources Program, Southwest Fisheries Sci Ctr, La Jolla, CA 92037 USA; [Fedak, Michael A.] Univ St Andrews, Sea Mammal Res Unit, St Andrews KY16 8LB, Fife, Scotland</t>
  </si>
  <si>
    <t>University of California System; University of California Santa Cruz; California State University System; Sonoma State University; National Oceanic Atmospheric Admin (NOAA) - USA; University of St Andrews</t>
  </si>
  <si>
    <t>Costa, DP (corresponding author), Univ Calif Santa Cruz, Long Marine Lab, 100 Shaffer Rd, Santa Cruz, CA 95060 USA.</t>
  </si>
  <si>
    <t>costa@biology.ucsc.edu</t>
  </si>
  <si>
    <t>Huckstadt, Luis A./J-8532-2019; Huckstadt, Luis/JNR-7637-2023; McDonald, Birgitte I/I-3602-2019; Carlos, Universidade Federal de São/W-8832-2019; Costa, Daniel Paul/E-2616-2013; Fedak, Michael/B-3987-2009</t>
  </si>
  <si>
    <t>Huckstadt, Luis A./0000-0002-2453-7350; McDonald, Birgitte I/0000-0001-5028-066X; Carlos, Universidade Federal de São/0000-0002-0334-3899; Costa, Daniel Paul/0000-0002-0233-5782; Fedak, Michael/0000-0002-9569-1128</t>
  </si>
  <si>
    <t>Natural Environment Research Council [smru10001] Funding Source: researchfish; Directorate For Geosciences [0840375] Funding Source: National Science Foundation; Office of Polar Programs (OPP) [0840375] Funding Source: National Science Foundation; Office of Polar Programs (OPP); Directorate For Geosciences [0838937] Funding Source: National Science Foundation</t>
  </si>
  <si>
    <t>Natural Environment Research Council(UK Research &amp; Innovation (UKRI)Natural Environment Research Council (NERC));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</si>
  <si>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10.1093/icb/icq054</t>
  </si>
  <si>
    <t>WOS:000284430400010</t>
  </si>
  <si>
    <t>Kahl, LA; Schofield, O; Fraser, WR</t>
  </si>
  <si>
    <t>Kahl, L. Alex; Schofield, Oscar; Fraser, William R.</t>
  </si>
  <si>
    <t>Autonomous Gliders Reveal Features of the Water Column Associated with Foraging by Adelie Penguins</t>
  </si>
  <si>
    <t>SOUTHERN-OCEAN; SEA-ICE; EUPHAUSIA-SUPERBA; CLIMATE-CHANGE; KRILL</t>
  </si>
  <si>
    <t>Despite their strong dependence on the pelagic environment, seabirds and other top predators in polar marine ecosystems are generally studied during their reproductive phases in terrestrial environments. As a result, a significant portion of their life history is understudied which in turn has led to limited understanding. Recent advances in autonomous underwater vehicle (AUV) technologies have allowed satellite-tagged Adelie penguins to guide AUV surveys of the marine environment at the Palmer Long-Term Ecological Research (LTER) site on the western Antarctic Peninsula. Near real-time data sent via Iridium satellites from the AUVs to a centralized control center thousands of miles away allowed scientists to adapt AUV sampling strategies to meet the changing conditions of the subsurface. Such AUV data revealed the water masses and fine-scale features associated with Adelie penguin foraging trips. During this study, the maximum concentration of chlorophyll was between 30 and 50 m deep. Encompassing this peak in the chlorophyll concentration, within the water-column, was a mixture of nutrient-laden Upper Circumpolar Deep (UCDW) and western Antarctic Peninsula winter water (WW). Together, data from the AUV survey and penguin dives reveal that 54% of foraging by Adelie penguins occurs immediately below the chlorophyll maximum. These data demonstrate how bringing together emerging technologies, such as AUVs, with established methods such as the radio-tagging of penguins can provide powerful tools for monitoring and hypothesis testing of previously inaccessible ecological processes. Ocean and atmosphere temperatures are expected to continue increasing along the western Antarctic Peninsula, which will undoubtedly affect regional marine ecosystems. New and emerging technologies such as unmanned underwater vehicles and individually mounted satellite tracking devices will provide the tools critical to documenting and understanding the widespread ecological change expected in polar regions.</t>
  </si>
  <si>
    <t>[Kahl, L. Alex; Schofield, Oscar] Rutgers State Univ, Inst Marine &amp; Coastal Sci, Sch Environm &amp; Biol Sci, Coastal Ocean Observat Lab, New Brunswick, NJ 08901 USA; [Fraser, William R.] Polar Oceans Res Grp, Sheridan, MT 59749 USA</t>
  </si>
  <si>
    <t>Rutgers University System; Rutgers University New Brunswick</t>
  </si>
  <si>
    <t>Kahl, LA (corresponding author), Rutgers State Univ, Inst Marine &amp; Coastal Sci, Sch Environm &amp; Biol Sci, Coastal Ocean Observat Lab, New Brunswick, NJ 08901 USA.</t>
  </si>
  <si>
    <t>alex@marine.rutgers.edu</t>
  </si>
  <si>
    <t>Schofield, Oscar/H-4169-2018</t>
  </si>
  <si>
    <t>Schofield, Oscar/0000-0003-2359-4131</t>
  </si>
  <si>
    <t>Office of Polar Programs (OPP); Directorate For Geosciences [0823101] Funding Source: National Science Foundation; Office of Polar Programs (OPP); Directorate For Geosciences [0741351] Funding Source: National Science Foundation</t>
  </si>
  <si>
    <t>Office of Polar Programs (OPP); Directorate For Geosciences(National Science Foundation (NSF)NSF - Directorate for Geosciences (GEO)); Office of Polar Programs (OPP); Directorate For Geosciences(National Science Foundation (NSF)NSF - Directorate for Geosciences (GEO))</t>
  </si>
  <si>
    <t>10.1093/icb/icq098</t>
  </si>
  <si>
    <t>WOS:000284430400012</t>
  </si>
  <si>
    <t>Samyn, D; Fitzsimons, SJ; Lorrain, RD</t>
  </si>
  <si>
    <t>Samyn, Denis; Fitzsimons, Sean J.; Lorrain, Reginald D.</t>
  </si>
  <si>
    <t>Rotating micro-structures in Antarctic cold basal ice: implications for glacier flow and its interpretation</t>
  </si>
  <si>
    <t>INTERNATIONAL JOURNAL OF EARTH SCIENCES</t>
  </si>
  <si>
    <t>Strain figures; Porphyroclasts; Basal ice; Thin liquid films; Ice rheology; Antarctica; Dry Valleys</t>
  </si>
  <si>
    <t>WATER-VEIN SYSTEM; SIMPLE SHEAR-FLOW; DEFORMATION; MATRIX; MODEL; SUBSTRATE; GEOMETRY; LAYER</t>
  </si>
  <si>
    <t>Structural analyses were conducted in the basal zone of an Antarctic glacier The studied basal ice sequence was retrieved from a 20-m-long subglacial tunnel dug at the margin of the glacier and is at the temperature of -17 degrees C For the first time, rotating clast systems embedded within debris-rich ice were thin-sectioned using specially designed cutting techniques The observed structures reflect the occurrence of pervasive shearing at the base of the glacier, and can be used as shear sense indicators In addition, some of these structures provide evidence for the presence of thin liquid films at the time of formation despite the marked freezing temperature of the ice It is showed here that cautious analysis of deformation structures present in debris-bearing ice may bring insights not only into the flow dynamics of the embedding matrix, but also Into the behaviour of the interstitial fluid network at the base of cold glaciers and ice sheets</t>
  </si>
  <si>
    <t>[Samyn, Denis; Lorrain, Reginald D.] Univ Libre Bruxelles, DSTE, Lab Glaciol, Brussels, Belgium; [Fitzsimons, Sean J.] Univ Otago, Dept Geog, Dunedin, New Zealand</t>
  </si>
  <si>
    <t>Universite Libre de Bruxelles; University of Otago</t>
  </si>
  <si>
    <t>Samyn, D (corresponding author), Uppsala Univ, Geocentrum, Glaciol Res Grp, Uppsala, Sweden.</t>
  </si>
  <si>
    <t>Marsden Fund; University of Otago; National Science Foundation, Belgium</t>
  </si>
  <si>
    <t>Marsden Fund(Royal Society of New ZealandMarsden Fund (NZ)); University of Otago; National Science Foundation, Belgium</t>
  </si>
  <si>
    <t>We thank the Marsden Fund and the University of Otago for providing financial support for this study as well as Antarctica New Zealand for the logistical support This paper is a contribution to the Belgian Scientific Program on Antarctica (Science Policy Office) D Samyn acknowledges support of a FRIA grant (National Science Foundation, Belgium) by the time of this study We are greatly Indebted to A -M Boullier and K Schulmann for their insightful comments on the manuscript</t>
  </si>
  <si>
    <t>1437-3254</t>
  </si>
  <si>
    <t>1437-3262</t>
  </si>
  <si>
    <t>INT J EARTH SCI</t>
  </si>
  <si>
    <t>Int. J. Earth Sci.</t>
  </si>
  <si>
    <t>10.1007/s00531-009-0478-5</t>
  </si>
  <si>
    <t>691HE</t>
  </si>
  <si>
    <t>WOS:000285070100011</t>
  </si>
  <si>
    <t>Basberg, BL</t>
  </si>
  <si>
    <t>Basberg, Bjorn L.</t>
  </si>
  <si>
    <t>Antarctic Tourism and Maritime Heritage</t>
  </si>
  <si>
    <t>INTERNATIONAL JOURNAL OF MARITIME HISTORY</t>
  </si>
  <si>
    <t>Maritime activities in the Antarctic region date back to the eighteenth century. They evolved from exploration and discoveries to commercial enterprises, especially sealing, whaling and fishing. Antarctic tourism is a much more recent phenomenon, developing mainly from the 1950s and 1960s. Today over 40,000 tourists visit the Antarctic annually, most of them on cruise ships. This essay reviews the historical development of this tourism. The focus is on how maritime heritage has been treated and interpreted by both tourists and the tourism industry. I address these issues in the context of public history. One aspect is to analyze how maritime heritage has been related to the other major attractions experienced by the Antarctic tourist, such as natural scenery, abundant wildlife and pristine environment. A second aspect considers the historic over-exploitation of seals and whales and the potential for conflict between the wildlife attractions and specific aspects of Antarctic heritage. The analysis therefore focuses on the possible ambiguity in how maritime heritage has been interpreted. Concurrently, it is about brave adventurers and polar explorers. It is also about resource exploitation and commercial activities that are controversial among many Antarctic tourists today.</t>
  </si>
  <si>
    <t>0843-8714</t>
  </si>
  <si>
    <t>2052-7756</t>
  </si>
  <si>
    <t>INT J MARIT HIST</t>
  </si>
  <si>
    <t>Int. J. Marit. Hist.</t>
  </si>
  <si>
    <t>10.1177/084387141002200210</t>
  </si>
  <si>
    <t>V58DY</t>
  </si>
  <si>
    <t>WOS:000210677300010</t>
  </si>
  <si>
    <t>Gillund, F; Myhr, AI</t>
  </si>
  <si>
    <t>Gillund, Froydis; Myhr, Anne Ingeborg</t>
  </si>
  <si>
    <t>Perspectives on Salmon Feed: A Deliberative Assessment of Several Alternative Feed Resources</t>
  </si>
  <si>
    <t>JOURNAL OF AGRICULTURAL &amp; ENVIRONMENTAL ETHICS</t>
  </si>
  <si>
    <t>Salmon aquaculture; Feed resources; Multicriteria mapping; Scientific uncertainty; Decision making</t>
  </si>
  <si>
    <t>ATLANTIC SALMON; FISH-MEAL; EUPHAUSIA-SUPERBA; ANTARCTIC KRILL; SALAR L.; AQUACULTURE; SCIENCE; POLICY; DIETS; METHODOLOGY</t>
  </si>
  <si>
    <t>The future of salmon aquaculture depends on the adoption of alternative feed resources in order to reduce the need for fish meal and fish oil. This may include resources such as species from lower trophic levels, by-products and by-catch from fisheries and aquaculture, animal by-products, plants, genetically modified (GM) plants, nutritionally enhanced GM plants and products from microorganisms and GM microorganisms. Here, we report on a deliberative assessment of these alternative feed resources, involving 18 participants from different interest groups within Norwegian salmon aquaculture. The participants defined a broad range of appraisal criteria concerning health and welfare issues, economical issues, environmental issues, and knowledge and social issues. A number of uncertainties, in the form of incomplete knowledge, diverging opinions, and context specific factors were identified when the participants evaluated the alternatives. Our findings support the need for more research on the suitability of alternative feed resources for farmed salmon. Additionally, the study underlines the importance of facilitating deliberative assessments in order to map the plurality of perspectives and explore qualitative aspects of uncertainty. Such initiatives improve the information base upon which decisions on future feed resources for farmed salmon are made.</t>
  </si>
  <si>
    <t>[Gillund, Froydis; Myhr, Anne Ingeborg] GenOk Ctr Biosafety, N-9294 Tromso, Norway</t>
  </si>
  <si>
    <t>Gillund, F (corresponding author), GenOk Ctr Biosafety, Res Pk, N-9294 Tromso, Norway.</t>
  </si>
  <si>
    <t>froydis.gillund@genok.org; anne.myhr@genok.org</t>
  </si>
  <si>
    <t>Myhr, Anne Ingeborg/0000-0003-0214-7439</t>
  </si>
  <si>
    <t>Norwegian Research Council [172 621/S40]</t>
  </si>
  <si>
    <t>Norwegian Research Council(Research Council of Norway)</t>
  </si>
  <si>
    <t>This work is funded by the Norwegian Research Council (project no. 172 621/S40). We would like to thank Ragnar L. Olsen for valuable advice during the development of the study and the 18 anonymous participants of the study and the anonymous reviewers of an earlier version of this paper for their helpful suggestions.</t>
  </si>
  <si>
    <t>1187-7863</t>
  </si>
  <si>
    <t>1573-322X</t>
  </si>
  <si>
    <t>J AGR ENVIRON ETHIC</t>
  </si>
  <si>
    <t>J. Agric. Environ. Ethics</t>
  </si>
  <si>
    <t>10.1007/s10806-010-9237-7</t>
  </si>
  <si>
    <t>Agriculture, Multidisciplinary; Ethics; Environmental Sciences; History &amp; Philosophy Of Science</t>
  </si>
  <si>
    <t>Agriculture; Social Sciences - Other Topics; Environmental Sciences &amp; Ecology; History &amp; Philosophy of Science</t>
  </si>
  <si>
    <t>668WW</t>
  </si>
  <si>
    <t>WOS:000283305900003</t>
  </si>
  <si>
    <t>Paramo, J; Gerlotto, F; Oyarzun, C</t>
  </si>
  <si>
    <t>Paramo, J.; Gerlotto, F.; Oyarzun, C.</t>
  </si>
  <si>
    <t>Three dimensional structure and morphology of pelagic fish schools</t>
  </si>
  <si>
    <t>JOURNAL OF APPLIED ICHTHYOLOGY</t>
  </si>
  <si>
    <t>MULTIBEAM-SONAR; ANTARCTIC KRILL; ECHOSOUNDER; BEHAVIOR; INFORMATION; DENSITY; SIZE; DIRECTIVITY; SCATTERING; PATTERNS</t>
  </si>
  <si>
    <t>In fish resource assessment, it is very important to know about the behaviour and form of fish schools. This paper describes the three-dimensional (3D) morphology and internal structure of pelagic schools observed using vertical-scanning multibeam sonar. The acoustic data were collected in waters off Venezuela, Senegal, and Mexico. The data were used to derive metrics of school location, density, shape and internal structure from a total of 668 schools: 257 from Mexico, 343 from Venezuela and 68 from Senegal. In general, school shapes were amoeboid-like (e. g. spheres or ellipsoids) and not simply geometric. Also, the fish were patchily-distributed, forming both nuclei (groups) and vacuoles (empty spaces) within the schools. The results support the hypothesis of 'auto-organization of the fish inside schools' meaning that the distribution of fish within a school arises from the elementary reaction of the individuals.</t>
  </si>
  <si>
    <t>[Paramo, J.] Univ Bremen, Leibniz Zentrum Marine Tropenokol ZMT, Bremen, Germany; [Paramo, J.] Univ Magdalena, Grp Invest Ciencia &amp; Tecnol Pesquera Trop CITEPT, Santa Marta, Colombia; [Gerlotto, F.] Ctr Rech Halieut Mediterraneenne &amp; Trop, IRD, Sete, France; [Oyarzun, C.] Univ Concepcion, Dept Oceanog, Concepcion, Chile</t>
  </si>
  <si>
    <t>University of Bremen; Leibniz Zentrum fur Marine Tropenforschung (ZMT); Universidad del Magdalena; Institut de Recherche pour le Developpement (IRD); Universidad de Concepcion</t>
  </si>
  <si>
    <t>Paramo, J (corresponding author), Univ Bremen, Leibniz Zentrum Marine Tropenokol ZMT, Fahrenheit Str 6, Bremen, Germany.</t>
  </si>
  <si>
    <t>jorge.paramo@zmt-bremen.de</t>
  </si>
  <si>
    <t>Paramo, Jorge/AAA-9989-2021</t>
  </si>
  <si>
    <t>Paramo, Jorge/0000-0002-8380-2716</t>
  </si>
  <si>
    <t>Universitat Bremen, Germany</t>
  </si>
  <si>
    <t>This work is a contribution of the Study Group on Fish Avoidance to Research Vessels (SGFARV) of the International Council for Exploration of the Sea (ICES), the Leibniz-Zentrum fur Marine Tropenokologie (ZMT), Germany and the research group Ciencia y Tecnologia Pesquera Tropical (CITEPT) Universidad del Magdalena (Colombia). During the course of writing this manuscript J. P. was supported by an ALECOL-DAAD Ph.D. Scholarship, Universitat Bremen, Germany.</t>
  </si>
  <si>
    <t>0175-8659</t>
  </si>
  <si>
    <t>1439-0426</t>
  </si>
  <si>
    <t>J APPL ICHTHYOL</t>
  </si>
  <si>
    <t>J. Appl. Ichthyol.</t>
  </si>
  <si>
    <t>10.1111/j.1439-0426.2010.01509.x</t>
  </si>
  <si>
    <t>679OU</t>
  </si>
  <si>
    <t>WOS:000284171500004</t>
  </si>
  <si>
    <t>Wu, GT; Liu, CL; Liu, SH; Cong, BL; Huang, XH</t>
  </si>
  <si>
    <t>Wu, Guangting; Liu, Chenlin; Liu, Shenghao; Cong, Bailin; Huang, Xiaohang</t>
  </si>
  <si>
    <t>High-quality RNA preparation for cDNA library construction of the Antarctic sea-ice alga Chlamydomonas sp. ICE-L</t>
  </si>
  <si>
    <t>JOURNAL OF APPLIED PHYCOLOGY</t>
  </si>
  <si>
    <t>Sea-ice alga; Chlamydomonas sp ICE-L; RNA extraction; Lauryl sodium sulfate (SDS); cDNA library construction</t>
  </si>
  <si>
    <t>To study the molecular mechanism of the Antarctic sea-ice alga in adaptation to polar sea-ice environments, the RNA was prepared for cDNA library construction of Chlamydomonas sp. ICE-L. Three different methods were tested to prepare total RNA from this psychrophilic, unicellular green alga rich in protein and polysaccharide. Lauryl sodium sulfate- based method allowed a most effective extraction of high-quality total RNA compared to the other methods. Total RNA extracted with this protocol was used for cDNA library construction. The recombination rate of constructed cDNA library was 98.60%, the primary titer was 7.15 x 10(6) pfu, and an average sequence length was 1.2 kb. These results show that with a high-quality RNA preparation, a cDNA library can be constructed successfully for Chlamydomonas sp. ICE-L.</t>
  </si>
  <si>
    <t>[Wu, Guangting; Liu, Chenlin; Liu, Shenghao; Cong, Bailin; Huang, Xiaohang] State Ocean Adm, Inst Oceanog 1, Qingdao 266061, Peoples R China; [Wu, Guangting; Liu, Chenlin; Liu, Shenghao; Cong, Bailin; Huang, Xiaohang] State Ocean Adm, Key Lab Marine Bioact Subst, Qingdao 266061, Peoples R China</t>
  </si>
  <si>
    <t>First Institute of Oceanography, Ministry of Natural Resources</t>
  </si>
  <si>
    <t>Huang, XH (corresponding author), State Ocean Adm, Inst Oceanog 1, 6 Xianxialing Rd,Hightech Pk, Qingdao 266061, Peoples R China.</t>
  </si>
  <si>
    <t>xiaohanghuang@fio.org.cn</t>
  </si>
  <si>
    <t>liu, chen/ISV-2093-2023; Liu, Shenghao/ISU-3076-2023</t>
  </si>
  <si>
    <t>Liu, Shenghao/0000-0002-1449-3526</t>
  </si>
  <si>
    <t>National Natural Science Foundation [40876106]; Polar Stratagem Foundations</t>
  </si>
  <si>
    <t>National Natural Science Foundation(National Natural Science Foundation of China (NSFC)); Polar Stratagem Foundations</t>
  </si>
  <si>
    <t>This work was financially supported by a grant of National Natural Science Foundation (40876106) for Chenlin Liu and grants of polar Stratagem Foundations (2006 and 2007) for Chenlin Liu and Shenghao Liu.</t>
  </si>
  <si>
    <t>0921-8971</t>
  </si>
  <si>
    <t>1573-5176</t>
  </si>
  <si>
    <t>J APPL PHYCOL</t>
  </si>
  <si>
    <t>J. Appl. Phycol.</t>
  </si>
  <si>
    <t>10.1007/s10811-010-9519-5</t>
  </si>
  <si>
    <t>679JO</t>
  </si>
  <si>
    <t>WOS:000284157900013</t>
  </si>
  <si>
    <t>Ferrando, S; Gallus, L; Gambardella, C; Ghigliotti, L; Ravera, S; Vallarino, M; Vacchi, M; Tagliafierro, G</t>
  </si>
  <si>
    <t>Ferrando, Sara; Gallus, Lorenzo; Gambardella, Chiara; Ghigliotti, Laura; Ravera, Silvia; Vallarino, Mauro; Vacchi, Marino; Tagliafierro, Grazia</t>
  </si>
  <si>
    <t>Cell proliferation and apoptosis in the olfactory epithelium of the shark Scyliorhinus canicula</t>
  </si>
  <si>
    <t>JOURNAL OF CHEMICAL NEUROANATOMY</t>
  </si>
  <si>
    <t>PCNA; TUNEL; Cartilaginous fish; Crypt neurons</t>
  </si>
  <si>
    <t>NUCLEAR ANTIGEN PCNA; CARTILAGINOUS FISH; SENSORY NEURONS; MARKER PROTEIN; RECEPTOR NEURONS; RAJA-CLAVATA; DEATH; SYSTEM; ADULT; MOUSE</t>
  </si>
  <si>
    <t>To date, no study has been published on cell renewal in the olfactory epithelium of Chondrichthyes. Our work aimed at detecting proliferating cells (by Proliferating Cell Nuclear Antigen - PCNA immunohistochemistry) and apoptotic cells (by terminal uridine deoxynucleotidyl transferase nick end labeling method) in the olfactory epithelium of the shark Scyliorhinus canicula. PCNA immunoreactivity and mitotic figures were localized almost exclusively at the basal and apical thirds of the epithelial thickness. Double immunofluorescence for PCNA and OMP (a marker of mature olfactory neurons) showed that PCNA immunoreactivity is lacking in mature olfactory neurons, with the exception of crypt neurons. Crypt neurons, a cell type peculiar to fish, often showed PCNA immunoreactivity in the nucleus and may be involved in repair processes. The role of PCNA in mature crypt neurons requires further investigation to be clarified. Apoptosis was observed in sensory neurons and in basal cells. Our data highlight the presence of cell proliferation at different levels within the epithelium and the occurrence of apoptosis in both mature and proliferating cells. (C) 2010 Elsevier B.V. All rights reserved.</t>
  </si>
  <si>
    <t>[Ferrando, Sara] Univ Genoa, LIBiOM, Dept Biol, I-16132 Genoa, Italy; [Gambardella, Chiara] Univ Messina, Dept Anim Biol &amp; Marine Ecol, Messina, Italy; [Vacchi, Marino] Univ Genoa, ISPRA, Natl Antarctic Museum, I-16132 Genoa, Italy</t>
  </si>
  <si>
    <t>University of Genoa; University of Messina; University of Genoa</t>
  </si>
  <si>
    <t>Ferrando, S (corresponding author), Univ Genoa, LIBiOM, Dept Biol, Viale Benedetto XV 5, I-16132 Genoa, Italy.</t>
  </si>
  <si>
    <t>sara.ferrando@unige.it</t>
  </si>
  <si>
    <t>Gambardella, Chiara/AAA-6260-2022; Ravera, Silvia/AAA-7982-2019; Ghigliotti, Laura/AAN-6843-2021; Ferrando, Sara/AAC-9934-2022; Ghigliotti, Laura/J-3076-2012</t>
  </si>
  <si>
    <t>Gambardella, Chiara/0000-0002-6667-9242; Ravera, Silvia/0000-0002-0803-1042; Ghigliotti, Laura/0000-0003-2139-1381; Ferrando, Sara/0000-0002-5781-9709;</t>
  </si>
  <si>
    <t>0891-0618</t>
  </si>
  <si>
    <t>1873-6300</t>
  </si>
  <si>
    <t>J CHEM NEUROANAT</t>
  </si>
  <si>
    <t>J. Chem. Neuroanat.</t>
  </si>
  <si>
    <t>10.1016/j.jchemneu.2010.08.004</t>
  </si>
  <si>
    <t>Biochemistry &amp; Molecular Biology; Neurosciences</t>
  </si>
  <si>
    <t>Biochemistry &amp; Molecular Biology; Neurosciences &amp; Neurology</t>
  </si>
  <si>
    <t>694TO</t>
  </si>
  <si>
    <t>WOS:000285322100005</t>
  </si>
  <si>
    <t>Purkey, SG; Johnson, GC</t>
  </si>
  <si>
    <t>Purkey, Sarah G.; Johnson, Gregory C.</t>
  </si>
  <si>
    <t>Warming of Global Abyssal and Deep Southern Ocean Waters between the 1990s and 2000s: Contributions to Global Heat and Sea Level Rise Budgets</t>
  </si>
  <si>
    <t>BOTTOM WATER; CIRCULATION; ATLANTIC; EVOLUTION; ENERGY</t>
  </si>
  <si>
    <t>Abyssal global and deep Southern Ocean temperature trends are quantified between the 1990s and 2000s to assess the role of recent warming of these regions in global heat and sea level budgets The authors 1) compute warming rates with uncertainties along 28 full depth high quality hydrographic sections that have been occupied two or more times between 1980 and 2010, 2) divide the global ocean into 32 basins defined by the topography and climatological ocean bottom temperatures and then 3) estimate temperature trends in the 24 sampled basins The three southernmost basins show a strong statistically significant abyssal warming trend with that warming signal weakening to the north in the central Pacific western Atlantic and eastern Indian Oceans Eastern Atlantic and western Indian Ocean basins show statistically insignificant abyssal cooling trends Excepting the Arctic Ocean and Nordic seas the rate of abyssal (below 4000 m) global ocean heat content change in the 1990s and 2000s is equivalent to a heat flux of 0 027 (+/- 0 009) W m(-2) applied over the entire surface of the earth Deep (1000-4000 m) warming south of the Subantarctic Front of the Antarctic Circumpolar Current adds 0 068 (+/- 0 062) W m(-2) The abyssal warming produces a 0 053 (+/- 0 017) mm yr(-1) increase in global average sea level and the deep warming south of the Subantarctic Front adds another 0 093 (+/- 0 081) mm yr(-1) Thus warming in these regions ventilated primarily by Antarctic Bottom Water accounts for a statistically significant fraction of the present global energy and sea level budgets</t>
  </si>
  <si>
    <t>[Purkey, Sarah G.; Johnson, Gregory C.] NOAA, Pacific Marine Environm Lab, Seattle, WA 98115 USA; [Purkey, Sarah G.; Johnson, Gregory C.] Univ Washington, Sch Oceanog, Seattle, WA 98195 USA</t>
  </si>
  <si>
    <t>National Oceanic Atmospheric Admin (NOAA) - USA; University of Washington; University of Washington Seattle</t>
  </si>
  <si>
    <t>Johnson, GC (corresponding author), NOAA, Pacific Marine Environm Lab, 7600 Sand Point Way NE,Bldg 3, Seattle, WA 98115 USA.</t>
  </si>
  <si>
    <t>Johnson, Gregory C/I-6559-2012; Purkey, Sarah G/K-1983-2012</t>
  </si>
  <si>
    <t>Johnson, Gregory C/0000-0002-8023-4020; Purkey, Sarah/0000-0002-1893-6224</t>
  </si>
  <si>
    <t>NOAA Climate Program Office; NOAA Office of Oceanic and Atmospheric Research</t>
  </si>
  <si>
    <t>NOAA Climate Program Office(National Oceanic Atmospheric Admin (NOAA) - USA); NOAA Office of Oceanic and Atmospheric Research(National Oceanic Atmospheric Admin (NOAA) - USA)</t>
  </si>
  <si>
    <t>Our heartfelt thanks go to all those who helped to collect, calibrate, and process the WOCE and GO-SHIP data analyzed here Discussions with John Lyman were useful Comments from Susan Hautala, Takeshi Kawano, Michael Meredith, LuAnne Thompson, Joshua Willis, Carl Wunsch, and two anonymous reviewers improved the manuscript The findings and conclusions in this article are those of the authors and do not necessarily reflect the views of the National Oceanic and Atmospheric Administration (NOAA) The NOAA Climate Program Office and the NOAA Office of Oceanic and Atmospheric Research supported this research</t>
  </si>
  <si>
    <t>10.1175/2010JCLI3682.1</t>
  </si>
  <si>
    <t>696HP</t>
  </si>
  <si>
    <t>WOS:000285432800014</t>
  </si>
  <si>
    <t>Han, SC; Ray, RD; Luthcke, SB</t>
  </si>
  <si>
    <t>Han, Shin-Chan; Ray, Richard D.; Luthcke, Scott B.</t>
  </si>
  <si>
    <t>One centimeter-level observations of diurnal ocean tides from global monthly mean time-variable gravity fields</t>
  </si>
  <si>
    <t>Ocean tides; Time-variable gravity; Aliasing</t>
  </si>
  <si>
    <t>MODELS</t>
  </si>
  <si>
    <t>A method of analyzing GRACE satellite-to-satellite ranging data is presented which accentuates signals from diurnal ocean tides and dampens signals from long-period non-tidal phenomena. We form a time series of differences between two independent monthly mean gravity solutions, one set computed from range-rate data along strictly ascending arcs and the other set computed from data along descending arcs. The solar and lunisolar diurnal tides having alias periods longer than a few months, such as K (1), P (1), and S (1), present noticeable variations in the monthly ascending and descending 'difference' solutions, while the climate-related signals are largely cancelled. By computing tidal arguments evaluated along the actual GRACE orbits, we decompose and estimate residual tidal signals with respect to our adopted prior model GOT4.7. The adjustment in the tidal height is small yet significant, yielding maximum amplitudes of 4 cm mostly under the Antarctic ice shelves and similar to 1 cm in general at spatial scales of several hundred kilometer. Moreover, the results suggest there are possible 1-cm errors in the tide model even over oceans well-covered by decades of radar altimetry missions. Independent validation of such small adjustments covering wide areas, however, is difficult, particularly with limited point measurements such as tide gauge.</t>
  </si>
  <si>
    <t>[Han, Shin-Chan; Ray, Richard D.; Luthcke, Scott B.] NASA, Planetary Geodynam Lab, Goddard Space Flight Ctr, Greenbelt, MD 20771 USA; [Han, Shin-Chan] Univ Maryland Baltimore Cty, Goddard Earth Sci &amp; Technol Ctr, Baltimore, MD 21228 USA</t>
  </si>
  <si>
    <t>National Aeronautics &amp; Space Administration (NASA); NASA Goddard Space Flight Center; University System of Maryland; University of Maryland Baltimore County; National Aeronautics &amp; Space Administration (NASA); NASA Goddard Space Flight Center</t>
  </si>
  <si>
    <t>Han, SC (corresponding author), NASA, Planetary Geodynam Lab, Goddard Space Flight Ctr, Code 698, Greenbelt, MD 20771 USA.</t>
  </si>
  <si>
    <t>Shin-Chan.Han@nasa.gov</t>
  </si>
  <si>
    <t>Han, Shin-Chan/A-2022-2009; Ray, Richard D/D-1034-2012; Luthcke, Scott B/D-6283-2012</t>
  </si>
  <si>
    <t>Han, Shin-Chan/0000-0003-1810-1670</t>
  </si>
  <si>
    <t>GRACE; U.S. National Aeronautical and Space Administration</t>
  </si>
  <si>
    <t>This work was supported by GRACE projects and the Earth Surface and Interior program under the U.S. National Aeronautical and Space Administration. David Rowlands is acknowledged for useful discussion and help on processing GRACE data. We would like to thank the German Space Operations Center of the German Aerospace Center, DLR, for providing continuously and nearly 100% of the raw telemetry data of the twin GRACE satellites. Three reviewers and the associate editor helped greatly to improve the manuscript.</t>
  </si>
  <si>
    <t>10.1007/s00190-010-0405-3</t>
  </si>
  <si>
    <t>681QJ</t>
  </si>
  <si>
    <t>WOS:000284331600002</t>
  </si>
  <si>
    <t>Abram, NJ; Thomas, ER; McConnell, JR; Mulvaney, R; Bracegirdle, TJ; Sime, LC; Aristarain, AJ</t>
  </si>
  <si>
    <t>Abram, Nerilie J.; Thomas, Elizabeth R.; McConnell, Joseph R.; Mulvaney, Robert; Bracegirdle, Thomas J.; Sime, Louise C.; Aristarain, Alberto J.</t>
  </si>
  <si>
    <t>Ice core evidence for a 20th century decline of sea ice in the Bellingshausen Sea, Antarctica</t>
  </si>
  <si>
    <t>METHANESULFONIC-ACID; WHALING RECORDS; EXTENT; OCEAN</t>
  </si>
  <si>
    <t>This study uses ice core methanesulphonic acid (MSA) records from the Antarctic Peninsula, where temperatures have been warming faster than anywhere else in the Southern Hemisphere, to reconstruct the 20th century history of sea ice change in the adjacent Bellingshausen Sea. Using satellite-derived sea ice and meteorological data, we show that ice core MSA records from this region are a reliable proxy for regional sea ice change, with years of increased winter sea ice extent recorded by increased ice core MSA concentrations. Our reconstruction suggests that the satellite-observed sea ice decline in the Bellingshausen Sea during recent decades is part of a long-term regional trend that has occurred throughout the 20th century. The long-term perspective on sea ice in the Bellingshausen Sea is consistent with evidence of 20th century warming on the Antarctic Peninsula and may reflect a progressive deepening of the Amundsen Sea Low due to increasing greenhouse gas concentrations and, more recently, stratospheric ozone depletion. As a first-order estimate, our MSA-based reconstruction suggests that sea ice in the Bellingshausen Sea has retreated southward by similar to 0.7 degrees during the 20th century. Comparison with other 20th century sea ice observations, reconstructions, and model simulations provides a coherent picture of Antarctic sea ice decline during the 20th century, although with regional-scale differences evident in the timing and magnitude of this sea ice decline. This longer-term perspective contrasts with the small overall increase in Antarctic sea ice that is observed in post-1979 satellite data.</t>
  </si>
  <si>
    <t>[Abram, Nerilie J.; Thomas, Elizabeth R.; Mulvaney, Robert; Bracegirdle, Thomas J.; Sime, Louise C.] British Antarctic Survey, Cambridge CB3 0ET, England; [Aristarain, Alberto J.] CRICYT, Inst Antarctico Argentino, RA-5500 Mendoza, Argentina; [McConnell, Joseph R.] Desert Res Inst, Div Hydrol Sci, Reno, NV 89512 USA</t>
  </si>
  <si>
    <t>UK Research &amp; Innovation (UKRI); Natural Environment Research Council (NERC); NERC British Antarctic Survey; Consejo Nacional de Investigaciones Cientificas y Tecnicas (CONICET); Nevada System of Higher Education (NSHE); Desert Research Institute NSHE</t>
  </si>
  <si>
    <t>Abram, NJ (corresponding author), British Antarctic Survey, Cambridge CB3 0ET, England.</t>
  </si>
  <si>
    <t>nabr@bas.ac.uk</t>
  </si>
  <si>
    <t>Thomas, Elizabeth Ruth/ADF-3660-2022; Bracegirdle, Tom/AAD-6060-2020; Sime, Louise/AAX-7730-2021; Abram, Nerilie/AAT-5171-2021; Sime, Louise/F-8058-2012; Mulvaney, Robert/K-3929-2012</t>
  </si>
  <si>
    <t>Thomas, Elizabeth Ruth/0000-0002-3010-6493; Sime, Louise/0000-0002-9093-7926; Sime, Louise/0000-0002-9093-7926; Bracegirdle, Thomas/0000-0002-8868-4739; Mulvaney, Robert/0000-0002-5372-8148; Abram, Nerilie/0000-0003-1246-2344</t>
  </si>
  <si>
    <t>Natural Environment Research Council; National Science Foundation's Office of Polar Programs; Instituto Antarctico Argentino; U.S. and Argentine Fulbright Programs; NERC [bas0100024] Funding Source: UKRI; Natural Environment Research Council [bas0100024] Funding Source: researchfish</t>
  </si>
  <si>
    <t>Natural Environment Research Council(UK Research &amp; Innovation (UKRI)Natural Environment Research Council (NERC)); National Science Foundation's Office of Polar Programs(National Science Foundation (NSF)); Instituto Antarctico Argentino; U.S. and Argentine Fulbright Programs; NERC(UK Research &amp; Innovation (UKRI)Natural Environment Research Council (NERC)); Natural Environment Research Council(UK Research &amp; Innovation (UKRI)Natural Environment Research Council (NERC))</t>
  </si>
  <si>
    <t>We thank Eric Wolff and John Turner for valuable discussions, Robert Arthern for providing access to the recent core from Dyer Plateau, and Gareth Marshall and the READER project for making the Faraday/Vernadsky temperature data available. For laboratory assistance, we gratefully acknowledge Genevieve Littot, Sue Foord, and Louise Thilthorpe. This study is part of the British Antarctic Survey Polar Science for Planet Earth Programme. It was funded by the Natural Environment Research Council, with additional support from the National Science Foundation's Office of Polar Programs, the Instituto Antarctico Argentino, and the U.S. and Argentine Fulbright Programs.</t>
  </si>
  <si>
    <t>D23101</t>
  </si>
  <si>
    <t>10.1029/2010JD014644</t>
  </si>
  <si>
    <t>690PN</t>
  </si>
  <si>
    <t>WOS:000285016800001</t>
  </si>
  <si>
    <t>Polyakov, IV; Timokhov, LA; Alexeev, VA; Bacon, S; Dmitrenko, IA; Fortier, L; Frolov, IE; Gascard, JC; Hansen, E; Ivanov, VV; Laxon, S; Mauritzen, C; Perovich, D; Shimada, K; Simmons, HL; Sokolov, VT; Steele, M; Toolen, J</t>
  </si>
  <si>
    <t>Polyakov, Igor V.; Timokhov, Leonid A.; Alexeev, Vladimir A.; Bacon, Sheldon; Dmitrenko, Igor A.; Fortier, Louis; Frolov, Ivan. E.; Gascard, Jean-Claude; Hansen, Edmond; Ivanov, Vladimir V.; Laxon, Seymour; Mauritzen, Cecile; Perovich, Don; Shimada, Koji; Simmons, Harper L.; Sokolov, Vladimir T.; Steele, Michael; Toolen, John</t>
  </si>
  <si>
    <t>Arctic Ocean Warming Contributes to Reduced Polar Ice Cap</t>
  </si>
  <si>
    <t>SEA-ICE; ATLANTIC WATER; KASHEVAROV BANK; COLD HALOCLINE; DIURNAL TIDES; HEAT FLUXES; VARIABILITY; CIRCULATION; LAYER; BASIN</t>
  </si>
  <si>
    <t>Analysis of modern and historical observations demonstrates that the temperature of the intermediate-depth (150-900 m) Atlantic water (AW) of the Arctic Ocean has increased in recent decades. The AW warming has been uneven in time; a local similar to 1 degrees C maximum was observed in the mid-1990s, followed by an intervening minimum and an additional warming that culminated in 2007 with temperatures higher than in the 1990s by 0.24 degrees C. Relative to climatology from all data prior to 11999, the most extreme 2007 temperature anomalies of up to 1 degrees C and higher were observed in the Eurasian and Makarov Basins. The AW warming was associated with a substantial (up to 75-90 m) shoaling of the upper AW boundary in the central Arctic Ocean and weakening of the Eurasian Basin upper-ocean stratification. Taken together, these observations suggest that the changes in the Eurasian Basin facilitated greater upward transfer of AW heat to the ocean surface layer. Available limited observations and results from a ID ocean column model support this surmised upward spread of AW heat through the Eurasian Basin halocline. Experiments with a 3D coupled ice-ocean model in turn suggest a loss of 28-35 cm of ice thickness after similar to 50 yr in response to the 0.5 W m(-2) increase in AW ocean heat flux suggested by the 1D model. This amount of thinning is comparable to the 29 cm of ice thickness loss due to local atmospheric thermodynamic forcing estimated from observations of fast-ice thickness decline. The implication is that AW warming helped precondition the polar ice cap for the extreme ice loss observed in recent years.</t>
  </si>
  <si>
    <t>[Polyakov, Igor V.; Alexeev, Vladimir A.; Ivanov, Vladimir V.; Simmons, Harper L.] Univ Alaska Fairbanks, Int Arctic Res Ctr, Fairbanks, AK 99709 USA; [Timokhov, Leonid A.; Frolov, Ivan. E.; Ivanov, Vladimir V.; Sokolov, Vladimir T.] Arctic &amp; Antarctic Res Inst, St Petersburg 199226, Russia; [Bacon, Sheldon] Natl Oceanog Ctr, Southampton, Hants, England; [Dmitrenko, Igor A.] Univ Kiel, Leibniz Inst Marine Sci, IFM GEOMAR, Kiel, Germany; [Fortier, Louis] Univ Laval, Quebec City, PQ, Canada; [Gascard, Jean-Claude] Univ Paris 06, LOCEAN, Paris, France; [Hansen, Edmond] Norwegian Polar Res Inst, Tromso, Norway; [Laxon, Seymour] UCL, London, England; [Mauritzen, Cecile] Norwegian Meteorol Inst, Oslo, Norway; [Perovich, Don] USA, Cold Reg Res &amp; Engn Lab, Hanover, NH 03755 USA; [Shimada, Koji] Tokyo Univ Marine Sci &amp; Technol, Tokyo, Japan; [Steele, Michael] Univ Washington, Appl Phys Lab, Polar Sci Ctr, Seattle, WA 98105 USA; [Toolen, John] Woods Hole Oceanog Inst, Woods Hole, MA 02543 USA; [Ivanov, Vladimir V.] SAMS, Scottish Marine Inst, Oban, Argyll, Scotland</t>
  </si>
  <si>
    <t>University of Alaska System; University of Alaska Fairbanks; Arctic &amp; Antarctic Research Institute; NERC National Oceanography Centre; Helmholtz Association; GEOMAR Helmholtz Center for Ocean Research Kiel; University of Kiel; Laval University; Sorbonne Universite; Museum National d'Histoire Naturelle (MNHN); Norwegian Polar Institute; University of London; University College London; Norwegian Meteorological Institute; United States Department of Defense; United States Army; U.S. Army Corps of Engineers; U.S. Army Engineer Research &amp; Development Center (ERDC); Cold Regions Research &amp; Engineering Laboratory (CRREL); Tokyo University of Marine Science &amp; Technology; University of Washington; University of Washington Seattle; Woods Hole Oceanographic Institution</t>
  </si>
  <si>
    <t>Polyakov, IV (corresponding author), Univ Alaska Fairbanks, Int Arctic Res Ctr, Fairbanks, AK 99709 USA.</t>
  </si>
  <si>
    <t>igor@iarc.uaf.edu</t>
  </si>
  <si>
    <t>alexeev, vladimir/B-2234-2010; Ivanov, Vladimir/AAX-6830-2020; Laxon, Seymour/C-1644-2008; Mauritzen, Cecilie/G-7682-2019; Frolov, Ivan/L-2908-2018; Mauritzen, Cecilie/HKO-1954-2023; Bacon, Sheldon/B-1519-2013; Ivanov, Vladimir/J-5979-2014; SHIMADA, Koji/O-1913-2014</t>
  </si>
  <si>
    <t>alexeev, vladimir/0000-0003-3519-2797; Mauritzen, Cecilie/0000-0001-5956-8811; Frolov, Ivan/0000-0002-6586-354X; Mauritzen, Cecilie/0000-0001-5956-8811; Bacon, Sheldon/0000-0002-2471-9373; Ivanov, Vladimir/0000-0003-2569-6027; Dmitrenko, Igor/0000-0001-8388-7839; Toole, John/0000-0003-2905-0637; Steele, Michael/0000-0001-5083-1775</t>
  </si>
  <si>
    <t>JAMSTEC; NOAA; NSF; NASA; BMBF; UK NERC; NERC [NE/D006201/1, dml010002] Funding Source: UKRI; Office of Polar Programs (OPP); Directorate For Geosciences [1022475] Funding Source: National Science Foundation; Natural Environment Research Council [NE/D006201/1, dml010002, noc010012] Funding Source: researchfish</t>
  </si>
  <si>
    <t>JAMSTEC; NOAA(National Oceanic Atmospheric Admin (NOAA) - USA); NSF(National Science Foundation (NSF)); NASA(National Aeronautics &amp; Space Administration (NASA)); BMBF(Federal Ministry of Education &amp; Research (BMBF)); UK NERC(UK Research &amp; Innovation (UKRI)Natural Environment Research Council (NERC)); NERC(UK Research &amp; Innovation (UKRI)Natural Environment Research Council (NERC)); Office of Polar Programs (OPP); Directorate For Geosciences(National Science Foundation (NSF)NSF - Directorate for Geosciences (GEO)); Natural Environment Research Council(UK Research &amp; Innovation (UKRI)Natural Environment Research Council (NERC))</t>
  </si>
  <si>
    <t>This study was supported by JAMSTEC (IP and VI), NOAA (IP, VI, and ID), NSF (IP, VA, VI, ID, JT, and MS), NASA (IP and VI), BMBF (ID), and UK NERC (SB) grants. We thank J. Moss for help with the graphics and U. Bhatt, U. Schauer, B. Rude Is, and J. Walsh for insightful comments. The findings presented in this paper are of the authors and not NSF/NOAA.</t>
  </si>
  <si>
    <t>10.1175/2010JPO4339.1</t>
  </si>
  <si>
    <t>708LH</t>
  </si>
  <si>
    <t>WOS:000286362800011</t>
  </si>
  <si>
    <t>Brunet, C; Lavaud, J</t>
  </si>
  <si>
    <t>Brunet, Christophe; Lavaud, Johann</t>
  </si>
  <si>
    <t>Can the xanthophyll cycle help extract the essence of the microalgal functional response to a variable light environment?</t>
  </si>
  <si>
    <t>phytoplankton; photosynthesis; ecophysiology</t>
  </si>
  <si>
    <t>PHAEODACTYLUM-TRICORNUTUM BACILLARIOPHYCEAE; TRANSTHYLAKOID PROTON GRADIENT; ANTARCTIC DIATOM; VERTICAL VARIABILITY; ENERGY-DISSIPATION; MEDITERRANEAN SEA; POOL SIZE; PHYTOPLANKTON; PHOTOPROTECTION; PHOTOACCLIMATION</t>
  </si>
  <si>
    <t>How do pelagic microalgae cope with light changes in marine ecosystems? Is photosynthesis enhanced or depressed by frequent light fluctuations and how? These long-lasting questions are still under debate. A great diversity of responses has been documented relative to the spatial and temporal scale of study, the groups and species, etc. The answers to these questions probably lie in the interplay between fast photoregulation and longer term photoacclimation whose framework (amplitude, kinetics) is defined by environmental genetic adaptation. One of the main photoregulatory processes is the light-dependent operation of the so-called xanthophyll cycle (XC). XC is activated when the incident light becomes excessive with respect to its optimum necessary for maximization of photosynthesis. The present paper aims at (i) describing a short state-of-the-art on the XC functioning in microalgae with an ecophysiological point of view, (ii) discussing the relevance of the in situ XC operation and its response to the underwater light climate, (iii) addressing a series of open questions for filling the gap between XC functional features and field studies with respect to its role in the photophysiology of microalgae and its potential use for characterizing the hydrodynamics of water bodies.</t>
  </si>
  <si>
    <t>[Brunet, Christophe] Stn Zool A Dohrn, Lab Ecol &amp; Evolut Plankton, I-80121 Naples, Italy; [Lavaud, Johann] Univ La Rochelle, Inst Coastal &amp; Environm Res ILE, CNRS, UMR 6250 LIENSS, F-17000 La Rochelle, France</t>
  </si>
  <si>
    <t>Stazione Zoologica Anton Dohrn di Napoli; La Rochelle Universite; Centre National de la Recherche Scientifique (CNRS)</t>
  </si>
  <si>
    <t>Brunet, C (corresponding author), Stn Zool A Dohrn, Lab Ecol &amp; Evolut Plankton, I-80121 Naples, Italy.</t>
  </si>
  <si>
    <t>christophe.brunet@szn.it; johann.lavaud@univ-lr.fr</t>
  </si>
  <si>
    <t>Lavaud, Johann/N-6185-2014; brunet, christophe/AAD-7817-2021</t>
  </si>
  <si>
    <t>Lavaud, Johann/0000-0002-4704-2502;</t>
  </si>
  <si>
    <t>National French Institute for Scientific Research-CNRS; French consortium CPER-Littoral; German Research Foundation-DFG [LA 2368/2-1]</t>
  </si>
  <si>
    <t>National French Institute for Scientific Research-CNRS; French consortium CPER-Littoral; German Research Foundation-DFG(German Research Foundation (DFG))</t>
  </si>
  <si>
    <t>C.B. work is supported by the Stazione Zoologica A. Dohrn. J.L. work has been supported by the National French Institute for Scientific Research-CNRS, the French consortium CPER-Littoral and the German Research Foundation-DFG (grant LA 2368/2-1).</t>
  </si>
  <si>
    <t>10.1093/plankt/fbq104</t>
  </si>
  <si>
    <t>676PP</t>
  </si>
  <si>
    <t>WOS:000283925000001</t>
  </si>
  <si>
    <t>Delmonte, B; Baroni, C; Andersson, PS; Schoberg, H; Hansson, M; Aciego, S; Petit, JR; Albani, S; Mazzola, C; Maggi, V; Frezzotti, M</t>
  </si>
  <si>
    <t>Delmonte, Barbara; Baroni, Carlo; Andersson, Per S.; Schoberg, Hans; Hansson, Margareta; Aciego, Sarah; Petit, Jean-Robert; Albani, Samuel; Mazzola, Claudia; Maggi, Valter; Frezzotti, Massimo</t>
  </si>
  <si>
    <t>Aeolian dust in the Talos Dome ice core (East Antarctica, Pacific/Ross Sea sector): Victoria Land versus remote sources over the last two climate cycles</t>
  </si>
  <si>
    <t>Aeolian dust; Antarctica; ice cores; paleoclimate</t>
  </si>
  <si>
    <t>TERRA-NOVA BAY; ATMOSPHERIC CIRCULATION; ISOTOPIC CONSTRAINTS; RICKER HILLS; PROVENANCE; VOSTOK; GLACIATION; HISTORY; ORIGIN; EPICA</t>
  </si>
  <si>
    <t>A new ice core (TALDICE) drilled at Tabs Dome (East Antarctica, Ross Sea sector) preserves a ca. 250 ka long record of palaeoclimate and atmospheric history. We investigate dust variability and provenance at the site during glacial periods and the Holocene through the Sr-Nd isotopic composition of ice core dust and potential source areas (PSA). We provide new isotopic data on dust sources from Victoria Land such as regoliths, glacial drifts, aeolian sands and beach deposits. Some of these sources are located at high altitude and are known to have been ice free throughout the Pleistocene. The major features of the TALDICE dust record are very similar to those from central East Antarctica. During glacial times, South America was the dominant dust supplier for Tabs Dome as well as for the entire East Antarctic plateau. Conversely, during the Holocene the principal input of mineral dust at Tabs Dome probably derives from proximal sources which are the ice-free areas of northern Victoria Land, located at similar altitude with respect to the drilling site. Atmospheric mobilisation of dust from these neighbouring areas and transport inland to Tabs Dome can be ultimately associated with advection of maritime air masses from the Pacific/Ross Sea region. Copyright (C) 2010 John Wiley &amp; Sons, Ltd.</t>
  </si>
  <si>
    <t>[Delmonte, Barbara; Albani, Samuel; Mazzola, Claudia; Maggi, Valter] Univ Milano Bicocca, Dept Environm Sci, DISAT, I-20126 Milan, Italy; [Baroni, Carlo] Univ Pisa, Dipartimento Sci Terra, Pisa, Italy; [Baroni, Carlo] CNR, Ist Geosci &amp; Georisorse, I-56100 Pisa, Italy; [Andersson, Per S.; Schoberg, Hans] Swedish Museum Nat Hist, Lab Isotope Geol, S-10405 Stockholm, Sweden; [Hansson, Margareta] Stockholm Univ, Dept Phys Geog &amp; Quaternary Geol, S-10691 Stockholm, Sweden; [Aciego, Sarah] ETH Zentrum, Inst Isotope Geol &amp; Mineral Resources, Zurich, Switzerland; [Petit, Jean-Robert] Univ Grenoble 1, CNRS, LGGE, F-38402 St Martin Dheres, France; [Frezzotti, Massimo] ENEA ACS CLIMOSS Lab Climate Observat, Rome, Italy</t>
  </si>
  <si>
    <t>University of Milano-Bicocca; University of Pisa; Consiglio Nazionale delle Ricerche (CNR); Istituto di Geoscienze e Georisorse (IGG-CNR); Swedish Museum of Natural History; Stockholm University; Swiss Federal Institutes of Technology Domain; ETH Zurich; Centre National de la Recherche Scientifique (CNRS); Communaute Universite Grenoble Alpes; Universite Grenoble Alpes (UGA)</t>
  </si>
  <si>
    <t>Delmonte, B (corresponding author), Univ Milano Bicocca, Dept Environm Sci, DISAT, Piazza Scienza 1, I-20126 Milan, Italy.</t>
  </si>
  <si>
    <t>barbara.delmonte@unimib.it</t>
  </si>
  <si>
    <t>Maggi, Valter/E-1878-2014; Albani, Samuel/G-5329-2015; Delmonte, Barbara/L-2555-2015; Maggi, Valter/AAX-5728-2020; Albani, Samuel/AAC-5604-2020; FREZZOTTI, Massimo/AAK-7275-2020; Baroni, Carlo/D-8184-2012</t>
  </si>
  <si>
    <t>Albani, Samuel/0000-0001-9736-5134; Delmonte, Barbara/0000-0002-9074-2061; Maggi, Valter/0000-0001-6287-1213; Albani, Samuel/0000-0001-9736-5134; FREZZOTTI, Massimo/0000-0002-2461-2883; Baroni, Carlo/0000-0001-5905-4650</t>
  </si>
  <si>
    <t>European Community [SE-TAF-4807]</t>
  </si>
  <si>
    <t>This work was carried out at the Swedish Museum of Natural History and was supported by SYNTHESYS funding (project SE-TAF-4807) made available by the European Community - Research Infrastructure Action under the FP6 'Structuring the European Research Area' Programme. The Talos Dome Ice core Project (TALDICE), a joint European programme, is funded by national contributions from Italy, France, Germany, Switzerland and the UK. Main logistical support was provided by PNRA. This is TALDICE publication no. 6. This work is a contribution to the PolarCLIMATE Project HOLOCLIP.</t>
  </si>
  <si>
    <t>10.1002/jqs.1418</t>
  </si>
  <si>
    <t>694GH</t>
  </si>
  <si>
    <t>WOS:000285282500013</t>
  </si>
  <si>
    <t>Merlino, A; Russo Krauss, I; Castellano, I; De Vendittis, E; Rossi, B; Conte, M; Vergara, A; Sica, F</t>
  </si>
  <si>
    <t>Merlino, Antonello; Russo Krauss, Irene; Castellano, Immacolata; De Vendittis, Emmanuele; Rossi, Bianca; Conte, Maria; Vergara, Alessandro; Sica, Filomena</t>
  </si>
  <si>
    <t>Structure and flexibility in cold-adapted iron superoxide dismutases: The case of the enzyme isolated from Pseudoalteromonas haloplanktis</t>
  </si>
  <si>
    <t>JOURNAL OF STRUCTURAL BIOLOGY</t>
  </si>
  <si>
    <t>Crystal structure; Cold-adapted enzymes; Superoxide dismutase; Dynamics; Thermal stability; Psychrophilic proteins</t>
  </si>
  <si>
    <t>ARCHAEON SULFOLOBUS-SOLFATARICUS; PSEUDOMONAS-OVALIS; CRYSTAL-STRUCTURE; ADAPTATION; PROTEIN; SYSTEM; DEHYDROGENASE; MANGANESE; REVEAL</t>
  </si>
  <si>
    <t>Superoxide dismutases (SODs) are metalloenzymes catalysing the dismutation of superoxide anion radicals into molecular oxygen and hydrogen peroxide. Here, we present the crystal structure of a cold-adapted Fe-SOD from the Antarctic eubacterium Pseudoalteromonas haloplanktis (PhSOD), and that of its complex with sodium azide. The structures were compared with those of the corresponding homologues having a high sequence identity with PhSOD, such as the mesophilic SOD from Escherichia coli (EcSOD) or Pseudomonas ovalis, and the psychrophilic SOD from Aliivibrio salmonicida (AsSOD). These enzymes shared a large structural similarity, such as a conserved tertiary structure and arrangement of the two monomers, an almost identical total number of inter- and intramolecular hydrogen bonds and salt bridges. However, the two cold-adapted SODs showed an increased flexibility of the active site residues with respect to their mesophilic homologues. Structural information was combined with a characterisation of the chemical and thermal stability performed by CD and fluorescence measurements. Despite of its psychrophilic origin, the denaturation temperature of PhSOD was comparable with that of the mesophilic EcSOD, whereas AsSOD showed a lower denaturation temperature. On the contrary, the values of the denaturant concentration at the transition midpoint were in line with the psychrophilic/mesophilic origin of the proteins. These data provide additional support to the hypothesis that cold-adapted enzymes achieve efficient catalysis at low temperature, by increasing the flexibility of their active site; moreover, our results underline how fine structural modifications can alter enzyme flexibility and/or stability without compromising the overall structure of typical rigid enzymes, such as SODs. (C) 2010 Elsevier Inc. All rights reserved.</t>
  </si>
  <si>
    <t>[Merlino, Antonello; Russo Krauss, Irene; Rossi, Bianca; Conte, Maria; Vergara, Alessandro; Sica, Filomena] Univ Naples Federico II, Dept Chem, I-80126 Naples, Italy; [Merlino, Antonello; Vergara, Alessandro; Sica, Filomena] CNR, Ist Biostrutture &amp; Bioimmagini, I-80134 Naples, Italy; [Castellano, Immacolata; De Vendittis, Emmanuele] Univ Naples Federico II, Dipartimento Biochim &amp; Biotecnol Med, I-80131 Naples, Italy</t>
  </si>
  <si>
    <t>University of Naples Federico II; Consiglio Nazionale delle Ricerche (CNR); Istituto di Biostrutture e Bioimmagini (IBB-CNR); University of Naples Federico II</t>
  </si>
  <si>
    <t>Sica, F (corresponding author), Univ Naples Federico II, Dept Chem, Complesso Univ Monte S Angelo,Via Cinthia, I-80126 Naples, Italy.</t>
  </si>
  <si>
    <t>filomena.sica@unina.it</t>
  </si>
  <si>
    <t>Vergara, Alessandro/C-4435-2013; krauss, irene russo/ABC-9668-2020; Merlino, Antonello/AAI-2114-2020; Castellano, Immacolata/AAD-5523-2019</t>
  </si>
  <si>
    <t>krauss, irene russo/0000-0001-8124-6034; Merlino, Antonello/0000-0002-1045-7720; Castellano, Immacolata/0000-0002-4274-6738; Vergara, Alessandro/0000-0003-4135-0245; Conte, Maria/0000-0002-4621-9898</t>
  </si>
  <si>
    <t>1047-8477</t>
  </si>
  <si>
    <t>1095-8657</t>
  </si>
  <si>
    <t>J STRUCT BIOL</t>
  </si>
  <si>
    <t>J. Struct. Biol.</t>
  </si>
  <si>
    <t>10.1016/j.jsb.2010.08.008</t>
  </si>
  <si>
    <t>Biochemistry &amp; Molecular Biology; Biophysics; Cell Biology</t>
  </si>
  <si>
    <t>677BL</t>
  </si>
  <si>
    <t>WOS:000283964000017</t>
  </si>
  <si>
    <t>Stephenson, MH; Angiolini, L; Cózar, P; Jadoul, F; Leng, MJ; Millward, D; Chenery, S</t>
  </si>
  <si>
    <t>Stephenson, M. H.; Angiolini, L.; Cozar, P.; Jadoul, F.; Leng, M. J.; Millward, D.; Chenery, S.</t>
  </si>
  <si>
    <t>Northern England Serpukhovian (early Namurian) farfield responses to southern hemisphere glaciation</t>
  </si>
  <si>
    <t>JOURNAL OF THE GEOLOGICAL SOCIETY</t>
  </si>
  <si>
    <t>PALEOZOIC ICE-AGE; ISOTOPIC COMPOSITIONS; STABLE-ISOTOPES; BRACHIOPODS; CLIMATE; RECORD; CARBON; DELTA-O-18; EVOLUTION; SEAWATER</t>
  </si>
  <si>
    <t>During the Serpukhovian (early Namurian) icehouse conditions were initiated in the southern hemisphere. However, nearfield evidence is inconsistent: glaciation appears to have started in limited areas of eastern Australia in the earliest Serpukhovian, followed by a long interglacial, whereas data from South America and Tibet suggest glaciation throughout the Serpukhovian. New farfield data from the Woodland, Throckley and Rowlands Gill boreholes in northern England allow this inconsistency to be addressed. delta O-18 from well-preserved late Serpukhovian (late Pendleian to early Arnsbergian) Woodland brachiopods vary between -3.4 and -6.3 parts per thousand, and delta C-13 varies between -2.0 and +3.2 parts per thousand, suggesting a delta O-18 seawater (w) value of around -1.8 parts per thousand VSMOW, and therefore an absence of widespread ice-caps. The organic carbon delta C-13 upward increasing trend in the Throckley borehole (Serpukhovian to Bashkirian; c. -24 to c. -22 parts per thousand) and the Rowlands Gill borehole (Serpukhovian; c. 24 to c. 23 parts per thousand) suggests large-scale burial of organic material, probably in burgeoning lycophyte-dominated coal forest, implying a fall in pCO(2). pCO(2) reduction appears not to have caused large-scale glaciation until the early Bashkirian, but a scenario of coalescing upland ice-caps through the Serpukhovian with a background of decreasing pCO(2) appears to be similar to the process that initiated Cenozoic Antarctic glaciation.</t>
  </si>
  <si>
    <t>[Stephenson, M. H.; Leng, M. J.] British Geol Survey, NERC Isotope Geosci Lab, Keyworth NG12 5GG, Notts, England; [Angiolini, L.; Jadoul, F.] Univ Milan, Dipartimento Sci Terra A Desio, I-20133 Milan, Italy; [Cozar, P.] Inst Geol Econ CSIC UCM, Fac Ciencias Geol, Dept Paleontol, Madrid 28040, Spain; [Millward, D.] British Geol Survey, Edinburgh EH9 3LA, Midlothian, Scotland</t>
  </si>
  <si>
    <t>UK Research &amp; Innovation (UKRI); Natural Environment Research Council (NERC); NERC British Geological Survey; University of Milan; Consejo Superior de Investigaciones Cientificas (CSIC); CSIC-UCM - Instituto de Geologia Economica (IGE); UK Research &amp; Innovation (UKRI); Natural Environment Research Council (NERC); NERC British Geological Survey</t>
  </si>
  <si>
    <t>Stephenson, MH (corresponding author), British Geol Survey, NERC Isotope Geosci Lab, Keyworth NG12 5GG, Notts, England.</t>
  </si>
  <si>
    <t>mhste@bgs.ac.uk</t>
  </si>
  <si>
    <t>Cózar, Pedro/AAV-9301-2021; Chenery, Simon/G-4733-2013; Angiolini, Lucia/L-7389-2017</t>
  </si>
  <si>
    <t>Chenery, Simon/0000-0002-4096-0183; Cozar, Pedro/0000-0002-4669-8702; Angiolini, Lucia/0000-0003-0778-5771; Millward, David/0000-0001-5234-4735; Leng, Melanie/0000-0003-1115-5166</t>
  </si>
  <si>
    <t>Ministerio de Ciencia e Innovacion, Spain [CGL2006-03085, CGL2009-10340]; NERC [nigl010001, bgs05004] Funding Source: UKRI; Natural Environment Research Council [nigl010001, bgs05004] Funding Source: researchfish</t>
  </si>
  <si>
    <t>Ministerio de Ciencia e Innovacion, Spain(Spanish Government); NERC(UK Research &amp; Innovation (UKRI)Natural Environment Research Council (NERC)); Natural Environment Research Council(UK Research &amp; Innovation (UKRI)Natural Environment Research Council (NERC))</t>
  </si>
  <si>
    <t>J. Green and C. Kendrick are thanked for the stable isotope analysis. M. H. S., M. J. L., S. C. and D. M. publish with permission of the Executive Director of the British Geological Survey (NERC). M. Howe, BGS Collections Manager, kindly allowed access to brachiopods from the Woodland borehole. P. Brand selected suitable brachiopod material. P. C. acknowledges financial support from Projects CGL2006-03085 and CGL2009-10340 (Ministerio de Ciencia e Innovacion), Spain. C. Malinverno and A. Rizzi are also thanked for technical assistance.</t>
  </si>
  <si>
    <t>0016-7649</t>
  </si>
  <si>
    <t>2041-479X</t>
  </si>
  <si>
    <t>J GEOL SOC LONDON</t>
  </si>
  <si>
    <t>J. Geol. Soc.</t>
  </si>
  <si>
    <t>10.1144/0016-76492010-048</t>
  </si>
  <si>
    <t>666OH</t>
  </si>
  <si>
    <t>WOS:000283124300008</t>
  </si>
  <si>
    <t>Oza, SR; Singh, RKK; Vyas, NK; Sarkar, A</t>
  </si>
  <si>
    <t>Oza, Sandip R.; Singh, R. K. K.; Vyas, N. K.; Sarkar, Abhijit</t>
  </si>
  <si>
    <t>Recent Trends of Arctic and Antarctic Summer Sea-Ice Cover Observed from Space-Borne Scatterometer</t>
  </si>
  <si>
    <t>JOURNAL OF THE INDIAN SOCIETY OF REMOTE SENSING</t>
  </si>
  <si>
    <t>Summer sea ice cover; Sea-ice trends; Scatterometer; QuikSCAT</t>
  </si>
  <si>
    <t>Long term variations in Sea ice distribution strongly influence the atmosphere and ocean in the polar regions. In the recent period significant variations in sea ice cover have been observed in both the hemispheres. In the past, studies have been carried out that report the trends either at the Arctic/Antarctic level or at sector level. However, only a few studies have concentrated on the investigation of trends at grid level using scatterometer data. The present study focuses on the investigations of the sea ice trend at 1 x 1 degree grid level over the period 2000-2007 using QuickSCAT 0.2-degree resolution Scatterometer data. It was observed that in the Arctic overall monthly trend is negative in all the sectors, with the Arctic level decline of 3.26% per year. In the Antarctic, region-wise different trends have been observed. Negative trend is observed in the Amundsen- Bellingshausen Seas and also in the Indian Ocean sector near the continental Ice shelves. It was highlighted that significant trends exists within the pockets of marginal seas.</t>
  </si>
  <si>
    <t>[Oza, Sandip R.; Singh, R. K. K.; Vyas, N. K.; Sarkar, Abhijit] Space Applicat Ctr ISRO, Ahmadabad 380015, Gujarat, India</t>
  </si>
  <si>
    <t>Department of Space (DoS), Government of India; Indian Space Research Organisation (ISRO); Space Applications Centre (SAC)</t>
  </si>
  <si>
    <t>Oza, SR (corresponding author), Space Applicat Ctr ISRO, Ahmadabad 380015, Gujarat, India.</t>
  </si>
  <si>
    <t>sandipoza@sac.isro.gov.in</t>
  </si>
  <si>
    <t>Rajkumar, Kamaljit/I-8045-2013</t>
  </si>
  <si>
    <t>Rajkumar, Kamaljit/0000-0001-8864-3526</t>
  </si>
  <si>
    <t>NASA</t>
  </si>
  <si>
    <t>Authors gratefully acknowledge the suggestions and encouragement provided by R. R. Navalgund, Director, Space Applications Centre (SAC). The guidance provided by J. S. Parihar and Pradip K. Pal (SAC), are thankfully acknowledged. QuikSCAT sigma-0 data are obtained from the NASA sponsored Scatterometer Climate Record Pathfinder at Brigham Young University through the courtesy of David G. Long (http://www.scp.byu.edu). Sea-ice climatology and near-real time data were obtained from NSIDC website http://nsidc.org. The critical comments provided by M. Chakraborty (SAC) are thankfully acknowledged.</t>
  </si>
  <si>
    <t>0255-660X</t>
  </si>
  <si>
    <t>0974-3006</t>
  </si>
  <si>
    <t>J INDIAN SOC REMOTE</t>
  </si>
  <si>
    <t>J. Indian Soc. Remote Sens.</t>
  </si>
  <si>
    <t>10.1007/s12524-011-0071-9</t>
  </si>
  <si>
    <t>Environmental Sciences; Remote Sensing</t>
  </si>
  <si>
    <t>Environmental Sciences &amp; Ecology; Remote Sensing</t>
  </si>
  <si>
    <t>737HW</t>
  </si>
  <si>
    <t>WOS:000288560900004</t>
  </si>
  <si>
    <t>Melo, CLC; Santos, RA; Bassoi, M; Araújo, AC; Lailson-Brito, J; Dorneles, PR; Azevedo, AF</t>
  </si>
  <si>
    <t>Melo, C. L. C.; Santos, R. A.; Bassoi, M.; Araujo, A. C.; Lailson-Brito, J.; Dorneles, P. R.; Azevedo, A. F.</t>
  </si>
  <si>
    <t>Feeding habits of delphinids (Mammalia: Cetacea) from Rio de Janeiro State, Brazil</t>
  </si>
  <si>
    <t>JOURNAL OF THE MARINE BIOLOGICAL ASSOCIATION OF THE UNITED KINGDOM</t>
  </si>
  <si>
    <t>diet; south-west Atlantic Ocean; Brazil; cephalopod; teleost fish; Cetacea</t>
  </si>
  <si>
    <t>COMMON DOLPHINS; ATLANTIC; CADMIUM; DIET; LOLIGINIDAE; CEPHALOPODA; BIOLOGY; COAST</t>
  </si>
  <si>
    <t>Stomach content analyses were performed in 28 dolphins stranded between 1994 and 2007 on the beaches of Rio de Janeiro State (23 degrees 06'S 44 degrees 18'W/22 degrees 14'S 41 degrees 54'W), Brazil, comprising six delphinid species: Stenella frontalis (N = 10), Steno bredanensis (N = 7), Tursiops truncatus (N = 4), Delphinus delphis (N = 5), Lagenodelphis hosei (N = 1) and Stenella coeruleoalba (N 1). Fish otoliths and cephalopod beaks were used to identify the prey species and to estimate the original length and weight. Seven different cephalopod species from six families and 15 fish species belonging to 10 families were identified. Although the fish contribution could be underestimated, cephalopods constituted the group of higher importance, revealing that these invertebrates may represent an important source of energy for delphinids in the region. In this context, the squid Loligo plei should be highlighted due to its important contribution. Most preys were coastal and demersal, and such consumption could indicate coastal foraging habits of the quoted dolphin species. Although dolphins consumed many species of prey in common, they fed on different size-classes of prey. The foraging area of the dolphins could be the same region used by fishing operations, which would represent a risk for incidental capture.</t>
  </si>
  <si>
    <t>[Melo, C. L. C.; Araujo, A. C.; Lailson-Brito, J.; Dorneles, P. R.; Azevedo, A. F.] Univ Estado Rio de Janeiro, Lab Mamiferos Aquat &amp; Bioindicadore Prof Izabel G, Fac Oceanog, BR-20550013 Rio De Janeiro, Brazil; [Melo, C. L. C.] Univ Estado Rio de Janeiro, Programa Posgrad Oceanog, Rio De Janeiro, Brazil; [Bassoi, M.] Univ Estado Rio de Janeiro, Census Antarctic Marine Life CAML, Dept Zool, BR-21941590 Rio De Janeiro, Brazil; [Dorneles, P. R.] Univ Estado Rio de Janeiro, Inst Biofis Carlos Chagas Filho, Rio De Janeiro, Brazil</t>
  </si>
  <si>
    <t>Universidade do Estado do Rio de Janeiro; Universidade do Estado do Rio de Janeiro; Universidade do Estado do Rio de Janeiro; Universidade do Estado do Rio de Janeiro</t>
  </si>
  <si>
    <t>Melo, CLC (corresponding author), Univ Estado Rio de Janeiro, Lab Mamiferos Aquat &amp; Bioindicadores MAQUA, Rua Sao Francisco Xavier 524-4002E, BR-20550013 Maracana, Brazil.</t>
  </si>
  <si>
    <t>claudialucasmelo@gmail.com</t>
  </si>
  <si>
    <t>Azevedo, Alexandre/B-9660-2013; AZEVEDO, ALEXANDRENDRE REIS DE/HII-5648-2022; Dorneles, Paulo R/M-2049-2013; Brito, Jose Lailson/B-3572-2013</t>
  </si>
  <si>
    <t>Azevedo, Alexandre/0000-0002-3754-9035; Brito, Jose Lailson/0000-0001-8366-458X; Dorneles, Paulo/0000-0003-0296-739X</t>
  </si>
  <si>
    <t>Brazilian Research Council-CNPq [304826/2008-1]; Rio de Janeiro State Government Research Agency-FAPERJ [E-26/100.968/2008, E-26/102.982/2008]</t>
  </si>
  <si>
    <t>Brazilian Research Council-CNPq(Conselho Nacional de Desenvolvimento Cientifico e Tecnologico (CNPQ)); Rio de Janeiro State Government Research Agency-FAPERJ</t>
  </si>
  <si>
    <t>The authors thank the Instituto de Biofisica Carlos Chagas Filho (UFRJ), CEPSUL (ICMbio) and Laboratorio de Mamiferos Aquaticos e Bioindicadores (UERJ) teams. Thanks also to Dr Marcelo Vianna for his help and to biologist Rafael Carvalho for helping with map production. This work was supported by the Brazilian Research Council-CNPq (A. F. A, grant number 304826/2008-1) as well as by the Rio de Janeiro State Government Research Agency-FAPERJ ('Pensa Rio' Program) (C. L. C. M., grant number E-26/100.968/2008), (A. C. A., grant number E-26/102.982/2008). Jose Lailson-Brito is a researcher of the 'Prociencia' Program-FAPERJ/UERJ.</t>
  </si>
  <si>
    <t>0025-3154</t>
  </si>
  <si>
    <t>1469-7769</t>
  </si>
  <si>
    <t>J MAR BIOL ASSOC UK</t>
  </si>
  <si>
    <t>J. Mar. Biol. Assoc. U.K.</t>
  </si>
  <si>
    <t>10.1017/S0025315409991639</t>
  </si>
  <si>
    <t>696YX</t>
  </si>
  <si>
    <t>WOS:000285478400005</t>
  </si>
  <si>
    <t>Luttinen, AV; Leat, PT; Furnes, H</t>
  </si>
  <si>
    <t>Luttinen, Arto V.; Leat, Philip T.; Furnes, Harald</t>
  </si>
  <si>
    <t>Bjornnutane and Sembberget basalt lavas and the geochemical provinciality of Karoo magmatism in western Dronning Maud Land, Antarctica</t>
  </si>
  <si>
    <t>JOURNAL OF VOLCANOLOGY AND GEOTHERMAL RESEARCH</t>
  </si>
  <si>
    <t>flood basalt; Jurassic; petrogenesis; mantle source; eclogite</t>
  </si>
  <si>
    <t>LARGE IGNEOUS PROVINCE; FLOOD BASALTS; TRACE-ELEMENT; MANTLE PLUMES; GONDWANA BREAKUP; EAST ANTARCTICA; JURASSIC DYKES; CONSTRAINTS; FERRAR; PETROGENESIS</t>
  </si>
  <si>
    <t>Geochemical provinciality of the Karoo continental flood basalt (CFB) province is complicated by the great diversity of magma types Our geochemical and Nd and Sr isotopic data indicate derivation of Karoo-related low Ti CFBs of Bjornnutane and Sembberget Dronning Maud Land Antarctica from different magma plumbing systems that were typified by generation of magma subtypes largely by vanable degrees of fractional crystallization and crustal contamination We associate these plumbing systems with different mantle sources and propose that the Karoo CFBs of Dronning Maud Land can be grouped into two provinces derived from these sources The Grunehogna province magmas include high Ti and some low-Ti magma types have high (Sm/Yb)(N) (&gt;2) are enriched in Sr and Eu and show wide range of initial epsilon Nd (+ 9 to 16) Grunehogna province magmas dominate at Bjornnutane Vestfjella and Ahlmannryggen The Maud province magmas show low-Ti affinity have low (Sm/Yb)N (&lt;2) lack Sr and Eu enrichment and have relatively narrow range of initial epsilon Nd (+3 to 4) Maud province magmas are restricted to Sembberget Kirwanveggen and the Utpostane gabbros in Vestfjella The enrichment of Sr and Eu and the depletion of heavy rare earth elements in Grunehogna province magmas and specifically geochemical indications of recycled oceanic crust in the least-contaminated high Ti and low-Ti basalts and picntes lend support to a recycled source component Grunehogna magmas are ascribed to partial melting of eclogite-bearing asthenosphenc mantle source at depth below the Grunehogna craton and contamination of the magmas with lithosphenc mantle (high Ti types) and crust (low-Ti types) The Maud province magmas can be ascribed to relatively low-pressure partial melting probably of a lithosphenc mantle source within the zone of rifted lithosphere associated with the Weddell triple junction and lateral flow of magmas to present outcrops overlying thick Maud Belt lithosphere Geochemical comparison with Karoo CFBs in southern Africa implies a broadly similar division between the high Ti and low-Ti magma types associated with the Limpopo structure and the low-Ti magma types of the Central Area and Botswana (c) 2010 Elsevier BV All rights reserved</t>
  </si>
  <si>
    <t>[Luttinen, Arto V.] Univ Helsinki, Museum Nat Hist, FIN-00014 Helsinki, Finland; [Leat, Philip T.] British Antarctic Survey, Cambridge CB3 0ET, England; [Furnes, Harald] Dept Earth Sci, N-5007 Bergen, Norway; [Furnes, Harald] Ctr Geobiol, N-5007 Bergen, Norway</t>
  </si>
  <si>
    <t>University of Helsinki; UK Research &amp; Innovation (UKRI); Natural Environment Research Council (NERC); NERC British Antarctic Survey</t>
  </si>
  <si>
    <t>Luttinen, AV (corresponding author), Univ Helsinki, Museum Nat Hist, Arkadiankatu 7,POB 17, FIN-00014 Helsinki, Finland.</t>
  </si>
  <si>
    <t>Luttinen, Arto Vesa/0000-0002-3129-0392</t>
  </si>
  <si>
    <t>Academy of Finland [129910]; NERC [bas0100026] Funding Source: UKRI; Natural Environment Research Council [bas0100026] Funding Source: researchfish; Academy of Finland (AKA) [129910] Funding Source: Academy of Finland (AKA)</t>
  </si>
  <si>
    <t>Academy of Finland(Research Council of Finland); NERC(UK Research &amp; Innovation (UKRI)Natural Environment Research Council (NERC)); Natural Environment Research Council(UK Research &amp; Innovation (UKRI)Natural Environment Research Council (NERC)); Academy of Finland (AKA)(Research Council of Finland)</t>
  </si>
  <si>
    <t>We are indebted to the support of BAS and USAP who made the resampling of the Bjornnutane and Sembberget lavas possible during the FLIPS project The personnel of the Finnarp and NARE expeditions are also thanked for logistic support Thoughtful comments from Goonie Marsh and Andy Sounders facilitated a more focused treatment of the topic and are greatly appreciated Goonie Marsh also kindly provided us with unpublished geochemical data on the Karoo Central Area basalts This study has been funded by the Academy of Finland (grant number 129910 to AVL) and is a contribution to IPY project Plates and Gates (#77 Eol 1264)</t>
  </si>
  <si>
    <t>0377-0273</t>
  </si>
  <si>
    <t>1872-6097</t>
  </si>
  <si>
    <t>J VOLCANOL GEOTH RES</t>
  </si>
  <si>
    <t>J. Volcanol. Geotherm. Res.</t>
  </si>
  <si>
    <t>10.1016/j.jvolgeores.2010.07.011</t>
  </si>
  <si>
    <t>699QP</t>
  </si>
  <si>
    <t>WOS:000285678200001</t>
  </si>
  <si>
    <t>Beynon, C</t>
  </si>
  <si>
    <t>Beynon, Claire</t>
  </si>
  <si>
    <t>Nature's Little Masons: Seven Meditations on Two Antarctic Seasons</t>
  </si>
  <si>
    <t>JUNCTURES-THE JOURNAL FOR THEMATIC DIALOGUE</t>
  </si>
  <si>
    <t>OTAGO POLYTECHNIC-TE KURA MATATINI KI OTAGO</t>
  </si>
  <si>
    <t>DUNEDIN</t>
  </si>
  <si>
    <t>PRIVATE BAG 1910, DUNEDIN, 00000, NEW ZEALAND</t>
  </si>
  <si>
    <t>1176-5119</t>
  </si>
  <si>
    <t>1179-8912</t>
  </si>
  <si>
    <t>JUNCTURES</t>
  </si>
  <si>
    <t>Junctures</t>
  </si>
  <si>
    <t>Humanities, Multidisciplinary</t>
  </si>
  <si>
    <t>Arts &amp; Humanities - Other Topics</t>
  </si>
  <si>
    <t>V29SA</t>
  </si>
  <si>
    <t>WOS:000208766900009</t>
  </si>
  <si>
    <t>Daoud, D; Lambert, Y; Audet, C; Chabot, D</t>
  </si>
  <si>
    <t>Daoud, Dounia; Lambert, Yvan; Audet, Celine; Chabot, Denis</t>
  </si>
  <si>
    <t>Size and temperature-dependent variations in intermolt duration and size increment at molt of Northern Shrimp, Pandalus borealis</t>
  </si>
  <si>
    <t>EUPHAUSIA-SUPERBA; ANTARCTIC KRILL; GROWTH-RATES; FREQUENCY; SURVIVAL; CRUSTACEA; GULF; SEX; REPRODUCTION; SALINITY</t>
  </si>
  <si>
    <t>Growth of Pandalus borealis post-larval stages was measured in relation to size and temperature. Growth characteristics, including intermolt period (IP), molt increment (MI) in size and mass, and tissue allocation in juvenile, male, and female shrimp, were evaluated at 2, 5, and 8A degrees C, the temperature range where this species is generally found in the Northwest Atlantic. Significant variations in growth were associated with temperature and shrimp size. IP (days) increased significantly with shrimp size and was inversely related to temperature. Size (cephalothorax length in mm) and temperature effects were best described by IP = 10((0.67 log(CL) - 0.06 T -) (1.34)). The pronounced effect of temperature on IP while MIS changed little indicated that the main influence of temperature on growth rate of P. borealis was through IP. Specific growth rate (SGR(S)) decreased rapidly with size to near zero values in females. Overall, juveniles were much more sensitive to temperature variations than adults, suggesting that temperatures encountered during the juvenile stage will largely influence the growth trajectory of the population.</t>
  </si>
  <si>
    <t>[Daoud, Dounia] Coastal Zones Res Inst Inc, Shippegan, NB E8S 1J2, Canada; [Daoud, Dounia; Audet, Celine] Univ Quebec, Inst Sci Mer Rimouski, Rimouski, PQ G5L 3A1, Canada; [Daoud, Dounia; Lambert, Yvan; Chabot, Denis] Fisheries &amp; Oceans Canada, Maurice Lamontagne Inst, Mont Joli, PQ G5H 3Z4, Canada</t>
  </si>
  <si>
    <t>University of Quebec; Fisheries &amp; Oceans Canada</t>
  </si>
  <si>
    <t>Daoud, D (corresponding author), Coastal Zones Res Inst Inc, 232B Av Eglise, Shippegan, NB E8S 1J2, Canada.</t>
  </si>
  <si>
    <t>dounia.daoud@irzc.umcs.ca</t>
  </si>
  <si>
    <t>Chabot, Denis/E-6184-2010; Chabot, Denis/A-2145-2019; Audet, Celine/F-5192-2011</t>
  </si>
  <si>
    <t>Chabot, Denis/0000-0002-4199-0915;</t>
  </si>
  <si>
    <t>department of Fisheries and Oceans; shrimp fishermen association of Quebec under the DFO-Group; shrimp fishermen association of New-Brunswick under the DFO-Group</t>
  </si>
  <si>
    <t>We are very grateful to L. Savard for instigating the research program on shrimp from which funding was obtained. Funds were provided by the department of Fisheries and Oceans under the Science strategic fund program on Growth and Recruitment of Northern Shrimp and by the shrimp fishermen associations of Quebec and New-Brunswick under the DFO-Group B Fishermen co-management agreement. Assistance from M. Peloquin in the design and construction of the experimental setup is gratefully acknowledged. We thank H. Dionne, S. Labrie, I. Berude, D, Smith, and C. Element-Boulianne for their help in conducting the experiments. We are very grateful to B. Sainte-Marie and two anonymous reviewers for helpful comments on an earlier version of the paper. Special thanks to J. Plourde for his great help with analyses using SAS. All experiments were conducted in compliance with the current laws of the Canadian Council on Animal Care.</t>
  </si>
  <si>
    <t>10.1007/s00227-010-1526-1</t>
  </si>
  <si>
    <t>679LC</t>
  </si>
  <si>
    <t>WOS:000284161900007</t>
  </si>
  <si>
    <t>Ericson, JA; Lamare, MD; Morley, SA; Barker, MF</t>
  </si>
  <si>
    <t>Ericson, Jessica A.; Lamare, Miles D.; Morley, Simon A.; Barker, Mike F.</t>
  </si>
  <si>
    <t>The response of two ecologically important Antarctic invertebrates (Sterechinus neumayeri and Parborlasia corrugatus) to reduced seawater pH: effects on fertilisation and embryonic development</t>
  </si>
  <si>
    <t>CO2-DRIVEN OCEAN ACIDIFICATION; OYSTER SACCOSTREA-GLOMERATA; SEA-URCHIN; LARVAL DEVELOPMENT; DISSOCIATION-CONSTANTS; INTRACELLULAR-PH; CARBONIC-ACID; CO2; TEMPERATURE; KINETICS</t>
  </si>
  <si>
    <t>Ocean acidification, or the lowering of seawater pH, is caused by sequestration of atmospheric CO2 into the oceans. This study investigated the effects of present-day pH 8.0, predicted ocean surface pH for the years 2100 and 2300 (pH 7.7 and pH 7.3, respectively) and an extreme pH (pH 7.0) on fertilisation and embryogenesis in the Antarctic nemertean worm Parborlasia corrugatus and sea urchin Sterechinus neumayeri. Fertilisation success was not affected by pH in P. corrugatus across a range of sperm concentrations. Fertilisation success in S. neumayeri declined significantly in pH 7.0 and 7.3 seawater, but only at a low sperm concentration. Seawater pH had no effect on the rate of egg cleavage in S. neumayeri, or the proportion of abnormal embryos 1-day post-fertilisation. P. corrugatus embryogenesis was also relatively robust to pH changes, with a significant effect detected only when the seawater pH was decreased to 7.0. While fertilisation and early cell division were relatively robust, later development through to the gastrula was sensitive to pH. In S. neumayeri, an effect of pH on development was evident by the gastrula stage, while there were significantly more abnormal P. corrugatus embryos in pH 7.0 up to the blastula stage, and in pH 7.0 and pH 7.3 at the coeloblastula stage. Our results are similar to the observations on other marine invertebrate species where fertilisation and early embryonic development are generally robust to lowered seawater pH, while the older coeloblastula and gastrula stages are more responsive. We also found no evidence to suggest that Antarctic species are more adversely affected by lower seawater pH compared with the findings for non-Antarctic counterparts. We conclude that in the two species we examined, near-future decreases in pH (decreases of a parts per thousand 0.3-0.5 pH units) may not have a significant effect on fertilisation and early embryogenesis, while predicted longer term decreases (decreases of a parts per thousand 0.7-0.77 pH units) could reduce fertilisation success in S. neumayeri if sperm concentrations are low and may increase abnormalities in P. corrugatus during later embryogenesis.</t>
  </si>
  <si>
    <t>[Ericson, Jessica A.; Lamare, Miles D.; Barker, Mike F.] Univ Otago, Dept Marine Sci, Dunedin, New Zealand; [Morley, Simon A.] British Antarctic Survey, NERC, Cambridge CB3 0ET, England</t>
  </si>
  <si>
    <t>University of Otago; UK Research &amp; Innovation (UKRI); Natural Environment Research Council (NERC); NERC British Antarctic Survey</t>
  </si>
  <si>
    <t>Lamare, MD (corresponding author), Univ Otago, Dept Marine Sci, POB 56, Dunedin, New Zealand.</t>
  </si>
  <si>
    <t>miles.lamare@otago.ac.nz</t>
  </si>
  <si>
    <t>Ericson, Jessica/AAP-1976-2020; Lamare, Miles M/A-7020-2010; Ericson, Jessica/B-1696-2016</t>
  </si>
  <si>
    <t>Ericson, Jessica/0000-0001-5220-8493; Ericson, Jessica/0000-0001-5220-8493; Lamare, Miles/0000-0001-8656-7240</t>
  </si>
  <si>
    <t>University of Otago; UK NERC British Antarctic Surveys Polar Science for Planet Earth; TransAntarctic Association; Natural Environment Research Council [bas0100025] Funding Source: researchfish; NERC [bas0100025] Funding Source: UKRI</t>
  </si>
  <si>
    <t>University of Otago; UK NERC British Antarctic Surveys Polar Science for Planet Earth; TransAntarctic Association; Natural Environment Research Council(UK Research &amp; Innovation (UKRI)Natural Environment Research Council (NERC)); NERC(UK Research &amp; Innovation (UKRI)Natural Environment Research Council (NERC))</t>
  </si>
  <si>
    <t>We thank the 2009 staff at Scott Base and Antarctica New Zealand for logistical support, USAP divers for collecting animals, Todd Beaumont and Amanda Bates for their assistance in Antarctica during this project. Also thanks to Brian Niven and Austina Clark for help with statistical analysis, and Christina McGraw for advice on seawater chemistry. This research was funded by a University of Otago Research Grant. Jessica Ericson was awarded a University of Otago Postgraduate Division of Sciences Award, which supported her research activities. Simon Morley was also funded by the UK NERC British Antarctic Surveys Polar Science for Planet Earth and the TransAntarctic Association.</t>
  </si>
  <si>
    <t>10.1007/s00227-010-1529-y</t>
  </si>
  <si>
    <t>WOS:000284161900010</t>
  </si>
  <si>
    <t>Fraser, CI; Winter, DJ; Spencer, HG; Waters, JM</t>
  </si>
  <si>
    <t>Fraser, Ceridwen I.; Winter, David J.; Spencer, Hamish G.; Waters, Jonathan M.</t>
  </si>
  <si>
    <t>Multigene phylogeny of the southern bull-kelp genus Durvillaea (Phaeophyceae: Fucales)</t>
  </si>
  <si>
    <t>MOLECULAR PHYLOGENETICS AND EVOLUTION</t>
  </si>
  <si>
    <t>Brown algae; Phylogenetics; COI; rbcL; 18S; 28S; Rafting</t>
  </si>
  <si>
    <t>CHATHAM ISLANDS; PHYLOGEOGRAPHY; SEQUENCES; LAMINARIALES; DISJUNCTION; MACROALGAE; SPECIATION; SUBUNIT; NUCLEAR; ORDERS</t>
  </si>
  <si>
    <t>Durvillaea (southern bull-kelp) is an economically and ecologically important brown algal genus that dominates many exposed, rocky coasts in the cold-temperate Southern Hemisphere. Of its five currently-recognized species, four are non-buoyant and restricted to the south-western Pacific, whereas one is both buoyant and widely distributed. Durvillaea has had an unsettled taxonomic history. Although its position within the brown algae (Phaeophyceae) has now been largely resolved through the use of molecular techniques, the taxonomic status of several Durvillaea species/morphotypes remains unresolved. Previous molecular phylogenetic studies of phaeophycean taxa have included few Durvillaea samples, and have consequently paid little or no attention to variation within this genus. The current study presents phylogenetic analyses of four genetic markers (mitchondrial: COI; chloroplast: rbcL; and nuclear: 18S and 28S) to resolve phylogenetic relationships within Durvillaea. Results support the monophyly of solid-bladed taxa D. willana, D. potatorum, and D. sp. A (an undescribed species from the Antipodes Islands), whereas the widespread, buoyant D. antarctica is paraphyletic, with solid-bladed D. chathamensis placed sister to a D. antarctica clade from northern NZ but within D. antarctica sensu tato. The phylogenetic and ecological diversity detected within D. antarctica indicate that it is a species complex of five deeply divergent clades. Under a phylogenetic species concept, Durvillaea can be interpreted as a complex of nine distinct evolutionary lineages, only one of which has an intercontinental distribution ('subantarctic' D. antarctica). (C) 2010 Elsevier Inc. All rights reserved.</t>
  </si>
  <si>
    <t>[Fraser, Ceridwen I.; Winter, David J.; Spencer, Hamish G.; Waters, Jonathan M.] Univ Otago, Allan Wilson Ctr Mol Ecol &amp; Evolut, Dept Zool, Dunedin 9016, New Zealand</t>
  </si>
  <si>
    <t>Fraser, CI (corresponding author), Univ Otago, Allan Wilson Ctr Mol Ecol &amp; Evolut, Dept Zool, 340 Great King St, Dunedin 9016, New Zealand.</t>
  </si>
  <si>
    <t>ceridwen.fraser@gmail.com</t>
  </si>
  <si>
    <t>Spencer, Hamish G/B-9637-2008; Winter, David J/M-9658-2017; Waters, Jonathan/B-4983-2009</t>
  </si>
  <si>
    <t>Spencer, Hamish G/0000-0001-7531-597X; Waters, Jonathan/0000-0002-1514-7916; Fraser, Ceridwen/0000-0002-6918-8959; Winter, David/0000-0002-6165-0029</t>
  </si>
  <si>
    <t>Department of Zoology and University of Otago [07-UOO-099]; Shackleton Scholarship; Department of Zoology; Allan Wilson Centre for Molecular Ecology and Evolution</t>
  </si>
  <si>
    <t>Department of Zoology and University of Otago; Shackleton Scholarship; Department of Zoology; Allan Wilson Centre for Molecular Ecology and Evolution</t>
  </si>
  <si>
    <t>We thank the many people and organizations assisted with this work. Individuals who assisted with field support and/or sample collection: Rob Anderson; Isabelle Ansorge; Amelie Auge; Lynda Avery; Simon Banks; S. Beaton; Anne Besson: Paul Brickle; Judith Brown; Robb Clifton; Rebecca Cumming; James Doube; Robyn Dunmore; Matt Edmunds; Kim Garrett; Sylvain Gutjahr; Rachel Hadden; Cameron Hay; Roz Jessup; Sue Jones; Wayne Kelly; Helen Kettles; Rebecca Laws; Emma Newcombe; David Yanez Jaramillo; Clement Lagrue; Marc Lebouvier; Erasmo Macaya Horta; Sebastien Mallol; Peter Martin; Alan Millar; Carlos Olavarria; Jean-Philippe Orts; David Renault; Barry Rumbold; Ian Strange; Charles Swift; Simon Talbot; Martin Thiel; Annelise Wiebkin; Gary Wilson; and numerous other volunteers who helped in the field. Organizations that provided logistical support for field collections: Australian Antarctic Division; British Antarctic Survey; Centro de Estudios del Cuaternario; Cruceros Australis; Department of Conservation (New Zealand); Department of Conservation (Southland) New Zealand; French Polar Institute, IPEV programme 136; Government of South Georgia; Heritage Expeditions; Infauna Data; South African National Antarctic Program; Whalesound. For laboratory, technical and analytical advice: Graham Wallis, Martyn Kennedy; Tania King; Raisa Nikula. Photography: Ken Miller. This work was funded by Marsden contract 07-UOO-099, Department of Zoology and University of Otago Research Grants to J.M.W.; A Shackleton Scholarship to C.I.F.; A Department of Zoology funding allocation to C.I.F.; and Allan Wilson Centre for Molecular Ecology and Evolution funds to H.G.S.</t>
  </si>
  <si>
    <t>1055-7903</t>
  </si>
  <si>
    <t>1095-9513</t>
  </si>
  <si>
    <t>MOL PHYLOGENET EVOL</t>
  </si>
  <si>
    <t>Mol. Phylogenet. Evol.</t>
  </si>
  <si>
    <t>10.1016/j.ympev.2010.10.011</t>
  </si>
  <si>
    <t>Biochemistry &amp; Molecular Biology; Evolutionary Biology; Genetics &amp; Heredity</t>
  </si>
  <si>
    <t>693NT</t>
  </si>
  <si>
    <t>WOS:000285231500030</t>
  </si>
  <si>
    <t>Friedlingstein, P; Houghton, RA; Marland, G; Hackler, J; Boden, TA; Conway, TJ; Canadell, JG; Raupach, MR; Ciais, P; Le Quéré, C</t>
  </si>
  <si>
    <t>Friedlingstein, P.; Houghton, R. A.; Marland, G.; Hackler, J.; Boden, T. A.; Conway, T. J.; Canadell, J. G.; Raupach, M. R.; Ciais, P.; Le Quere, C.</t>
  </si>
  <si>
    <t>Update on CO2 emissions</t>
  </si>
  <si>
    <t>[Friedlingstein, P.] Univ Exeter, Coll Engn Math &amp; Phys Sci, Exeter EX4 4QF, Devon, England; [Houghton, R. A.; Hackler, J.] Woods Hole Res Ctr, Falmouth, MA 02540 USA; [Marland, G.; Boden, T. A.] Oak Ridge Natl Lab, Carbon Dioxide Informat Anal Ctr, Oak Ridge, TN 37831 USA; [Conway, T. J.] NOAA, Earth Syst Res Lab, Boulder, CO 80305 USA; [Canadell, J. G.; Raupach, M. R.] CSIRO Marine &amp; Atmospher Res, Global Carbon Project, Canberra, ACT 2601, Australia; [Ciais, P.] CEA CNRS UVSQ, Lab Sci Climat &amp; Environm, F-91191 Gif Sur Yvette, France; [Le Quere, C.] Univ E Anglia, Sch Environm Sci, Norwich NR4 7TJ, Norfolk, England; [Le Quere, C.] British Antarctic Survey, Cambridge BC3 0ET, England</t>
  </si>
  <si>
    <t>University of Exeter; Woodwell Climate Research Center; United States Department of Energy (DOE); Oak Ridge National Laboratory; National Oceanic Atmospheric Admin (NOAA) - USA; Commonwealth Scientific &amp; Industrial Research Organisation (CSIRO); CEA; Centre National de la Recherche Scientifique (CNRS); Universite Paris Saclay; University of East Anglia; UK Research &amp; Innovation (UKRI); Natural Environment Research Council (NERC); NERC British Antarctic Survey</t>
  </si>
  <si>
    <t>Friedlingstein, P (corresponding author), Univ Exeter, Coll Engn Math &amp; Phys Sci, Exeter EX4 4QF, Devon, England.</t>
  </si>
  <si>
    <t>p.friedlingstein@exeter.ac.uk</t>
  </si>
  <si>
    <t>Ciais, Philippe/A-6840-2011; Canadell, Pep/E-9419-2010; Friedlingstein, Pierre/H-2700-2014; Le Quéré, Corinne/C-2631-2017</t>
  </si>
  <si>
    <t>Ciais, Philippe/0000-0001-8560-4943; Canadell, Pep/0000-0002-8788-3218; Friedlingstein, Pierre/0000-0003-3309-4739; Le Quéré, Corinne/0000-0003-2319-0452</t>
  </si>
  <si>
    <t>Natural Environment Research Council [quest010001, bas010013] Funding Source: researchfish; NERC [bas010013, quest010001] Funding Source: UKRI</t>
  </si>
  <si>
    <t>10.1038/ngeo1022</t>
  </si>
  <si>
    <t>687DO</t>
  </si>
  <si>
    <t>WOS:000284755800002</t>
  </si>
  <si>
    <t>Gomez, N; Mitrovica, JX; Huybers, P; Clark, PU</t>
  </si>
  <si>
    <t>Gomez, Natalya; Mitrovica, Jerry X.; Huybers, Peter; Clark, Peter U.</t>
  </si>
  <si>
    <t>Sea level as a stabilizing factor for marine-ice-sheet grounding lines</t>
  </si>
  <si>
    <t>RETREAT; EARTH</t>
  </si>
  <si>
    <t>Climate change could potentially destabilize marine ice sheets, which would affect projections of future sea-level rise(1-4). Specifically, an instability mechanism(5-8) has been predicted for marine ice sheets such as the West Antarctic ice sheet that rest on reversed bed slopes, whereby ice-sheet thinning or rising sea level leads to irreversible retreat of the grounding line. However, existing analyses of this instability mechanism have not accounted for deformational and gravitational effects that lead to a sea-level fall at the margin of a rapidly shrinking ice sheet(9-11). Here we present a suite of predictions of gravitationally self-consistent sea-level change following grounding-line migration. Our predictions vary the initial ice-sheet size and also consider the contribution to sea-level change from various subregions of the simulated ice sheet. Using these results, we revisit a canonical analysis of marine-ice-sheet stability(5) and demonstrate that gravity and deformation-induced sea-level changes local to the grounding line contribute a stabilizing influence on ice sheets grounded on reversed bed slopes. We conclude that accurate treatments of sea-level change should be incorporated into analyses of past and future marine-ice-sheet dynamics.</t>
  </si>
  <si>
    <t>[Gomez, Natalya; Mitrovica, Jerry X.; Huybers, Peter] Harvard Univ, Dept Earth &amp; Planetary Sci, Cambridge, MA 02138 USA; [Clark, Peter U.] Oregon State Univ, Dept Geosci, Corvallis, OR 97331 USA</t>
  </si>
  <si>
    <t>Harvard University; Oregon State University</t>
  </si>
  <si>
    <t>Gomez, N (corresponding author), Harvard Univ, Dept Earth &amp; Planetary Sci, 20 Oxford St, Cambridge, MA 02138 USA.</t>
  </si>
  <si>
    <t>ngomez@fas.harvard.edu</t>
  </si>
  <si>
    <t>Gomez, Natalya/AAU-4323-2020</t>
  </si>
  <si>
    <t>Huybers, Peter/0000-0002-3734-8145; Gomez, Natalya/0000-0002-2463-7917</t>
  </si>
  <si>
    <t>10.1038/NGEO1012</t>
  </si>
  <si>
    <t>WOS:000284755800014</t>
  </si>
  <si>
    <t>Gerhardt, L; Klein, S; Stezelberger, T; Barwick, S; Dookayka, K; Hanson, J; Nichol, R</t>
  </si>
  <si>
    <t>Gerhardt, Lisa; Klein, Spencer; Stezelberger, Thorsten; Barwick, Steve; Dookayka, Kamlesh; Hanson, Jordan; Nichol, Ryan</t>
  </si>
  <si>
    <t>A prototype station for ARIANNA A detector for cosmic neutrinos</t>
  </si>
  <si>
    <t>GZK neutrinos; Cosmic neutrinos; Radio detection; Antarctica</t>
  </si>
  <si>
    <t>ASTRONOMY; AMANDA</t>
  </si>
  <si>
    <t>The Antarctic Ross Ice Shelf Antenna Neutrino Array (ARIANNA) is a proposed detector for ultra-high energy astrophysical neutrinos It will detect coherent radio Cherenkov emission from the particle showers produced by neutrinos with energies above about 10(17) eV ARIANNA will be built on the Ross Ice Shelf just off the coast of Antarctica where it will eventually cover about 900 km(2) in surface area There the ice-water interface below the shelf reflects radio waves giving ARIANNA sensitivity to downward-going neutrinos and improving its sensitivity to horizontally incident neutrinos ARIANNA detector stations each will contain 4-8 antennas which search for pulses of 50 MHz to 1 GHz radio emission from neutrino interactions We describe a prototype station for ARIANNA which was deployed in Moore s Bay on the Ross Ice Shelf in December 2009 discuss the design and deployment and present some initial figures on performance The ice shelf thickness was measured to be 572 6 m at the deployment site (C) 2010 Elsevier B V All rights reserved</t>
  </si>
  <si>
    <t>[Gerhardt, Lisa; Klein, Spencer; Stezelberger, Thorsten] Lawrence Berkeley Natl Lab, Div Nucl Sci, Berkeley, CA 94720 USA; [Barwick, Steve; Dookayka, Kamlesh; Hanson, Jordan] Univ Calif Irvine, Dept Phys, Irvine, CA 92697 USA; [Nichol, Ryan] UCL, Dept Phys &amp; Astron, London WC1E 6BT, England</t>
  </si>
  <si>
    <t>United States Department of Energy (DOE); Lawrence Berkeley National Laboratory; University of California System; University of California Irvine; University of London; University College London</t>
  </si>
  <si>
    <t>Klein, S (corresponding author), Lawrence Berkeley Natl Lab, Div Nucl Sci, Berkeley, CA 94720 USA.</t>
  </si>
  <si>
    <t>Nichol, Ryan/0000-0003-0557-0443; Klein, Spencer/0000-0003-2841-6553; Hanson, Jordan/0000-0003-4055-4553</t>
  </si>
  <si>
    <t>National Science Foundation [0653266]; Department of Energy [DE-AC-76SF-00098]; Royal Society; Directorate For Geosciences [0839133] Funding Source: National Science Foundation; Office of Polar Programs (OPP) [0839133] Funding Source: National Science Foundation</t>
  </si>
  <si>
    <t>National Science Foundation(National Science Foundation (NSF)); Department of Energy(United States Department of Energy (DOE)); Royal Society(Royal Society); Directorate For Geosciences(National Science Foundation (NSF)NSF - Directorate for Geosciences (GEO)); Office of Polar Programs (OPP)(National Science Foundation (NSF)NSF - Directorate for Geosciences (GEO))</t>
  </si>
  <si>
    <t>We thank Martha Story for Invaluable help with camp management and David Saltzberg for useful conversations Gary Varner and Larry Ruckman developed much of the data acquisition system We thank the National Science Foundation Office of Polar Programs for major logistical support This work was funded in part by the National Science Foundation under grant number 0653266 by the Department of Energy under contract number DE-AC-76SF-00098 and by the Royal Society</t>
  </si>
  <si>
    <t>10.1016/j.nima.2010.09.032</t>
  </si>
  <si>
    <t>681IC</t>
  </si>
  <si>
    <t>WOS:000284303600011</t>
  </si>
  <si>
    <t>Dybas, CL</t>
  </si>
  <si>
    <t>Dybas, C. L.</t>
  </si>
  <si>
    <t>Mirror Images-Identical Species Thrive in Antarctic, Arctic Seas</t>
  </si>
  <si>
    <t>OCEANOGRAPHY</t>
  </si>
  <si>
    <t>OCEANOGRAPHY SOC</t>
  </si>
  <si>
    <t>ROCKVILLE</t>
  </si>
  <si>
    <t>P.O. BOX 1931, ROCKVILLE, MD USA</t>
  </si>
  <si>
    <t>1042-8275</t>
  </si>
  <si>
    <t>697DS</t>
  </si>
  <si>
    <t>WOS:000285493400003</t>
  </si>
  <si>
    <t>Koshlyakov, MN; Gladyshev, SV; Tarakanov, RY; Ryzhikov, NI</t>
  </si>
  <si>
    <t>Koshlyakov, M. N.; Gladyshev, S. V.; Tarakanov, R. Yu.; Ryzhikov, N. I.</t>
  </si>
  <si>
    <t>Deep Currents in the Central Part of the Drake Passage Based on the Data of the 2008 Hydrographic Survey</t>
  </si>
  <si>
    <t>The currents within the junction of the Shackleton and West-Scotia ridges in the central part of the Drake Passage are studied using the data of the hydrographic survey carried out in October-November of 2008. The absolute geostrophic currents were computed by matching the CTD and LADCP data. As a result, the complicated system of deep currents conditioned by the ocean bottom's topography was revealed and described. A new path of propagation of the Antarctic Bottom Water has been revealed.</t>
  </si>
  <si>
    <t>[Koshlyakov, M. N.; Gladyshev, S. V.; Tarakanov, R. Yu.; Ryzhikov, N. I.] Russian Acad Sci, PP Shirshov Oceanol Inst, Moscow, Russia</t>
  </si>
  <si>
    <t>Koshlyakov, MN (corresponding author), Russian Acad Sci, PP Shirshov Oceanol Inst, Moscow, Russia.</t>
  </si>
  <si>
    <t>mnkoshl@ocean.ru</t>
  </si>
  <si>
    <t>Gladyshev, Sergey/N-6508-2017; Tarakanov, Roman/R-3325-2016</t>
  </si>
  <si>
    <t>Tarakanov, Roman/0000-0002-8711-1859</t>
  </si>
  <si>
    <t>Russian Foundation for Basic Research [09-05-00242a]; Russian Academy of Sciences [17]; Foundation for the Promotion of Domestic Science</t>
  </si>
  <si>
    <t>Russian Foundation for Basic Research(Russian Foundation for Basic Research (RFBR)Spanish Government); Russian Academy of Sciences(Russian Academy of Sciences); Foundation for the Promotion of Domestic Science</t>
  </si>
  <si>
    <t>This work was supported by the Russian Foundation for Basic Research (project no. 09-05-00242a), by the Russian Academy of Sciences (basic research program no. 17), and by the Foundation for the Promotion of Domestic Science.</t>
  </si>
  <si>
    <t>1531-8508</t>
  </si>
  <si>
    <t>10.1134/S0001437010060019</t>
  </si>
  <si>
    <t>WOS:000288430600001</t>
  </si>
  <si>
    <t>Lorenzini, S; Baroni, C; Fallick, AE; Baneschi, I; Salvatore, MC; Zanchetta, G; Dallai, L</t>
  </si>
  <si>
    <t>Lorenzini, Sandra; Baroni, Carlo; Fallick, Anthony E.; Baneschi, Ilaria; Salvatore, Maria Cristina; Zanchetta, Giovanni; Dallai, Luigi</t>
  </si>
  <si>
    <t>Stable isotopes reveal Holocene changes in the diet of Ad,lie penguins in Northern Victoria Land (Ross Sea, Antarctica)</t>
  </si>
  <si>
    <t>OECOLOGIA</t>
  </si>
  <si>
    <t>Adelie penguins; Stable isotopes; Paleodiet; Holocene</t>
  </si>
  <si>
    <t>TERRA-NOVA BAY; ADELIE PENGUINS; CLIMATE; CARBON; DELTA-N-15; HISTORY; FRACTIONATION; DELTA-C-13; ROOKERIES; EGGSHELL</t>
  </si>
  <si>
    <t>Ad,lie penguin (Pygoscelis adeliae) modern and fossil eggshells and guano samples collected from ornithogenic soils in Terra Nova Bay (Victoria Land, Ross Sea) were processed for carbon and nitrogen isotopic ratios with the aim of detecting past penguin dietary changes. A detailed and greatly expanded Ad,lie penguin dietary record dated back to 7,200 years BP has been reconstructed for the investigated area. Our data indicate a significant dietary shift between fish and krill, with a gradual decrease from past to present time in the proportion of fish compared to krill in Ad,lie penguin diet. From 7,200 to 2,000 years BP, delta C-13 and delta N-15 values indicate fish as the most eaten prey. The dietary contribution of lower-trophic prey in penguin diet started becoming evident not earlier than 2,000 years BP, when the delta C-13 values reveal a change in the penguin feeding behavior. Modern eggshell and guano samples reveal a major dietary contribution of krill but not a krill-dominated diet, since delta C-13 values remain much too high if krill prevail in the diet. According to the Holocene environmental background attested for Victoria Land, Ad,lie penguin dietary shifts between fish and krill seem to reflect penguin paleoecological responses to different paleoenvironmental settings with different conditions of sea-ice extension and persistence. Furthermore, Ad,lie penguin diet appears to be particularly affected by environmental changes in a very specific period within the breeding season, namely the egg-laying period when penguin dietary and feeding habit shifts are clearly documented by the delta C-13 of eggshell carbonate.</t>
  </si>
  <si>
    <t>[Lorenzini, Sandra; Baroni, Carlo; Zanchetta, Giovanni] Univ Pisa, Dipartimento Sci Terra, I-56126 Pisa, Italy; [Baroni, Carlo; Baneschi, Ilaria; Zanchetta, Giovanni; Dallai, Luigi] CNR, Ist Geosci &amp; Georisorse, I-56124 Pisa, Italy; [Fallick, Anthony E.] Scottish Univ Environm Res Ctr, E Kilbride G75 0QF, Lanark, Scotland; [Salvatore, Maria Cristina] Univ Roma La Sapienza, Dipartimento Sci Terra, I-00185 Rome, Italy</t>
  </si>
  <si>
    <t>University of Pisa; Consiglio Nazionale delle Ricerche (CNR); Istituto di Geoscienze e Georisorse (IGG-CNR); Scottish Universities Research &amp; Reactor Center; Sapienza University Rome</t>
  </si>
  <si>
    <t>Lorenzini, S (corresponding author), Univ Pisa, Dipartimento Sci Terra, Via S Maria 53, I-56126 Pisa, Italy.</t>
  </si>
  <si>
    <t>lorenzini@dst.unipi.it</t>
  </si>
  <si>
    <t>Lorenzini, Sandra/B-8963-2013; Baroni, Carlo/D-8184-2012; Baneschi, Ilaria/AAC-1935-2021; Salvatore, Maria Cristina/AAS-4000-2020</t>
  </si>
  <si>
    <t>Baroni, Carlo/0000-0001-5905-4650; Baneschi, Ilaria/0000-0001-6924-1599; Salvatore, Maria Cristina/0000-0002-1590-7284; Fallick, Anthony/0000-0002-7649-6167; Dallai, Luigi/0000-0002-1514-5013; Zanchetta, Giovanni/0000-0002-7080-9599</t>
  </si>
  <si>
    <t>Italian National Program on Antarctic Research (PNRA); PhD School in Earth Sciences of the University of Pisa</t>
  </si>
  <si>
    <t>Italian National Program on Antarctic Research (PNRA)(Ministry of Education, Universities and Research (MIUR)); PhD School in Earth Sciences of the University of Pisa</t>
  </si>
  <si>
    <t>This work was executed under the financial support of the Italian National Program on Antarctic Research (PNRA) and of the PhD School in Earth Sciences of the University of Pisa. Isotopic analyses were performed at the SUERC of East Kilbride (Scotland) and at the IGG-CNR of Pisa (Italy). We particularly thank Julie Dougans and Andrew Tait for their irreplaceable technical support and supervision in stable isotope analyses at SUERC. New radiocarbon dates on penguin remains reported here were performed at the National Ocean Sciences Accelerator Mass Spectrometry Facility (NOSAMS) at the Woods Hole Oceanographic Institution (USA). We finally thank S. McWilliams, D. Ainley and a third anonymous reviewer for their careful readings and constructive suggestions.</t>
  </si>
  <si>
    <t>0029-8549</t>
  </si>
  <si>
    <t>1432-1939</t>
  </si>
  <si>
    <t>Oecologia</t>
  </si>
  <si>
    <t>10.1007/s00442-010-1790-2</t>
  </si>
  <si>
    <t>680XX</t>
  </si>
  <si>
    <t>WOS:000284271900007</t>
  </si>
  <si>
    <t>Maalouf, PD; Lambion, A; Zakhia, F; Fernandez-Carazo, R; De Wever, A; Verleyen, E; Vyverman, W; Wilmotte, A</t>
  </si>
  <si>
    <t>Maalouf, P. De Carvalho; Lambion, A.; Zakhia, F.; Fernandez-Carazo, R.; De Wever, A.; Verleyen, E.; Vyverman, W.; Wilmotte, A.</t>
  </si>
  <si>
    <t>Cyanobacterial Diversity in Antarctic Lakes Assessed by Denaturating Gradient Gel Electrophoresis (DGGE)</t>
  </si>
  <si>
    <t>ORIGINS OF LIFE AND EVOLUTION OF BIOSPHERES</t>
  </si>
  <si>
    <t>[Maalouf, P. De Carvalho; Lambion, A.; Zakhia, F.; Fernandez-Carazo, R.; Wilmotte, A.] Univ Liege, Ctr Prot Engn, B-4000 Liege, Belgium; [De Wever, A.; Verleyen, E.; Vyverman, W.] Univ Ghent, Dept Biol, Res Grp Protistol &amp; Aquat Ecol, B-9000 Ghent, Belgium</t>
  </si>
  <si>
    <t>University of Liege; Ghent University</t>
  </si>
  <si>
    <t>Wilmotte, Annick/H-1686-2011; De Wever, Aaike/A-4691-2009</t>
  </si>
  <si>
    <t>0169-6149</t>
  </si>
  <si>
    <t>ORIGINS LIFE EVOL B</t>
  </si>
  <si>
    <t>Orig. Life Evol. Biosph.</t>
  </si>
  <si>
    <t>691GX</t>
  </si>
  <si>
    <t>WOS:000285069400037</t>
  </si>
  <si>
    <t>Namsaraev, Z; Mano, MJ; Fernandez, R; Simon, P; Wilmotte, A</t>
  </si>
  <si>
    <t>Namsaraev, Z.; Mano, M. J.; Fernandez, R.; Simon, P.; Wilmotte, A.</t>
  </si>
  <si>
    <t>The Sor Rondane Mountains (Dronning Maud Land) as a Possible Refuge for Antarctic Cyanobacterial Communities</t>
  </si>
  <si>
    <t>[Namsaraev, Z.; Mano, M. J.; Fernandez, R.; Simon, P.; Wilmotte, A.] Univ Liege, Ctr Prot Engn, B-4000 Liege, Belgium; [Namsaraev, Z.] Winogradsky Inst Microbiol RAS, Moscow 117312, Russia</t>
  </si>
  <si>
    <t>University of Liege; Research Center of Biotechnology RAS; Russian Academy of Sciences</t>
  </si>
  <si>
    <t>Wilmotte, Annick/H-1686-2011; Namsaraev, Zorigto/A-3696-2014</t>
  </si>
  <si>
    <t>Namsaraev, Zorigto/0000-0002-9701-5721</t>
  </si>
  <si>
    <t>WOS:000285069400038</t>
  </si>
  <si>
    <t>Moreau, S; Ferreyra, GA; Mercier, B; Lemarchand, K; Lionard, M; Roy, S; Mostajir, B; Roy, S; van Hardenberg, B; Demers, S</t>
  </si>
  <si>
    <t>Moreau, Sebastien; Ferreyra, Gustavo A.; Mercier, Bernard; Lemarchand, Karine; Lionard, Marie; Roy, Suzanne; Mostajir, Behzad; Roy, Sebastien; van Hardenberg, Bon; Demers, Serge</t>
  </si>
  <si>
    <t>Variability of the microbial community in the western Antarctic Peninsula from late fall to spring during a low ice cover year</t>
  </si>
  <si>
    <t>Microbial food web; Antarctica; Sea-ice; Ozone hole; UV radiations</t>
  </si>
  <si>
    <t>ULTRAVIOLET-B RADIATION; NUCLEIC-ACID CONTENT; SEA-ICE; PHYTOPLANKTON BIOMASS; MARINE-PHYTOPLANKTON; FLOW-CYTOMETRY; CLIMATE-CHANGE; UV-RADIATION; MERIDIONAL TRANSECT; SEASONAL-CHANGES</t>
  </si>
  <si>
    <t>Although winter conditions play a major role in determining the productivity of the western Antarctic Peninsula (WAP) waters for the following spring and summer, a few studies have dealt with the seasonal variability of microorganisms in the WAP in winter. Moreover, because of regional warming, sea-ice retreat is happening earlier in spring, at the onset of the production season. In this context, this study describes the dynamics of the marine microbial community in the Melchior Archipelago (WAP) from fall to spring 2006. Samples were collected monthly to biweekly at four depths from the surface to the aphotic layer. The abundance and carbon content of bacteria, phytoplankton and microzooplankton were analyzed using flow cytometry and inverted microscopy, and bacterial richness was examined by PCR-DGGE. As expected, due to the extreme environmental conditions, the microbial community abundance and biomass were low in fall and winter. Bacterial abundance ranged from 1.2 to 2.8 x 10(5) cells ml(-1) showing a slight increase in spring. Phytoplankton biomass was low and dominated by small cells (&lt; 2 mu m) in fall and winter (average chlorophyll a concentration, Chl-a, of, respectively, 0.3 and 0.13 mu g l(-1)). Phytoplankton biomass increased in spring (Chl-a up to 1.13 mu g l(-1)), and, despite potentially adequate growth conditions, this rise was small and phytoplankton was still dominated by small cells (2-20 mu m). In addition, the early disappearing of sea-ice in spring 2006 let the surface water exposed to ultraviolet B radiations (UVBR, 280-320 nm), which seemed to have a negative impact on the microbial community in surface waters.</t>
  </si>
  <si>
    <t>[Moreau, Sebastien; Ferreyra, Gustavo A.; Mercier, Bernard; Lemarchand, Karine; Lionard, Marie; Roy, Suzanne; Roy, Sebastien; Demers, Serge] Univ Quebec, Inst Sci Mer Rimouski, Rimouski, PQ G5L 3A1, Canada; [Ferreyra, Gustavo A.] Inst Antartico Argentino, RA-1010 Buenos Aires, DF, Argentina; [van Hardenberg, Bon] Inst Ocean Sci, Dept Fisheries &amp; Oceans, Sidney, BC V8L 4B, Canada; [Mostajir, Behzad] Univ Montpellier 2, CNRS, UMR 5119, Lab Ecosyst Lagunaires,IFREMER,IRD, F-34095 Montpellier 05, France</t>
  </si>
  <si>
    <t>University of Quebec; Instituto Antartico Argentino; Fisheries &amp; Oceans Canada; Ifremer; Universite de Montpellier; Institut de Recherche pour le Developpement (IRD); Centre National de la Recherche Scientifique (CNRS)</t>
  </si>
  <si>
    <t>Moreau, S (corresponding author), Univ Quebec, Inst Sci Mer Rimouski, 310 Allee Ursulines, Rimouski, PQ G5L 3A1, Canada.</t>
  </si>
  <si>
    <t>sebastien.moreau@uqar.qc.ca</t>
  </si>
  <si>
    <t>Ferreyra, Gustavo Adolfo/0000-0003-1953-5067; Moreau, Sebastien/0000-0001-9446-812X</t>
  </si>
  <si>
    <t>NSERC [nr. 334876-2005]</t>
  </si>
  <si>
    <t>NSERC(Natural Sciences and Engineering Research Council of Canada (NSERC))</t>
  </si>
  <si>
    <t>This research was funded by the NSERC Special Research Opportunity Program grant nr. 334876-2005 conceded to Serge Demers. Daily stratospheric ozone concentrations over the study site were obtained from http://toms.gsfc.nasa.gov/. The 2006 SMMR-SSM/I sea-ice concentration data were obtained from the EOS Distributed Active Archive Center (DAAC) at the National Snow and Ice Data Center, University of Colorado in Boulder, Colorado (http://nsidc.org). We would like to thank Sylvie Lessard for her help in identifying microorganisms under an inverted microscope. We would also like to thank Damian Lopez, as well as the Sedna IV crew and his leader Jean Lemire, for their strong support during the field sampling in Antarctica.</t>
  </si>
  <si>
    <t>10.1007/s00300-010-0806-z</t>
  </si>
  <si>
    <t>708VN</t>
  </si>
  <si>
    <t>WOS:000286392500002</t>
  </si>
  <si>
    <t>Schlosser, E; Powers, JG; Duda, MG; Manning, KW; Reijmer, CH; van den Broeke, MR</t>
  </si>
  <si>
    <t>Schlosser, Elisabeth; Powers, Jordan G.; Duda, Michael G.; Manning, Kevin W.; Reijmer, Carleen H.; van den Broeke, Michiel R.</t>
  </si>
  <si>
    <t>An extreme precipitation event in Dronning Maud Land, Antarctica: a case study with the Antarctic Mesoscale Prediction System</t>
  </si>
  <si>
    <t>Antarctica; climate; ice cores; precipitation</t>
  </si>
  <si>
    <t>SURFACE MASS-BALANCE; EAST ANTARCTICA; KOHNEN STATION; DOME-FUJI; VARIABILITY; CLIMATE; ACCUMULATION; REASSESSMENT; OSCILLATION; SNOWFALL</t>
  </si>
  <si>
    <t>An extreme precipitation event that influenced almost the whole polar plateau of Dronning Maud Land, Antarctica, is investigated using Antarctic Mesoscale Prediction System archive data. For the first time a high-resolution atmospheric model especially adapted for polar regions was used for such a study in Dronning Maud Land. The outstanding event of 21-25 February 2003 was connected to a strong north-westerly flow, caused by a blocking high above eastern Dronning Maud Land, that persisted for several days and brought unusually large levels of moisture to the Antarctic Plateau. This weather situation is most effective in bringing precipitation to high-altitude interior Antarctic ice-core drilling sites, where precipitation in the form of diamond dust usually dominates. However, a few such precipitation events per year can account for a large percentage of the annual accumulation, which can cause a strong bias in ice-core data. Additionally, increased temperatures and wind speeds during these events need to be taken into account for the correct climatic interpretation of ice cores. A better understanding of the frequency of occurrence of intermittent precipitation in the interior of Antarctica in past and future climates is necessary for both palaeoclimatological studies and estimates of future sea-level change.</t>
  </si>
  <si>
    <t>[Schlosser, Elisabeth] Univ Innsbruck, Inst Meteorol &amp; Geophys, AT-6020 Innsbruck, Austria; [Powers, Jordan G.; Duda, Michael G.; Manning, Kevin W.] Natl Ctr Atmospher Res, Mesoscale &amp; Microscale Div, NCAR Earth Syst Lab, Boulder, CO 80307 USA; [Reijmer, Carleen H.; van den Broeke, Michiel R.] Univ Utrecht, Inst Marine &amp; Atmospher Res, NL-3584 CC Utrecht, Netherlands</t>
  </si>
  <si>
    <t>University of Innsbruck; National Center Atmospheric Research (NCAR) - USA; Utrecht University</t>
  </si>
  <si>
    <t>Schlosser, E (corresponding author), Univ Innsbruck, Inst Meteorol &amp; Geophys, Innrain 52, AT-6020 Innsbruck, Austria.</t>
  </si>
  <si>
    <t>Reijmer, Carleen H/G-8736-2011; Van den Broeke, Michiel R./F-7867-2011</t>
  </si>
  <si>
    <t>Reijmer, Carleen H/0000-0001-8299-3883; Van den Broeke, Michiel R./0000-0003-4662-7565</t>
  </si>
  <si>
    <t>Austrian Science Funds [V31-N10]; US National Science Foundation, Office of Polar Programs; University Corporation for Atmospheric Research and Lower Atmosphere Facilities Oversight Section</t>
  </si>
  <si>
    <t>Austrian Science Funds(Austrian Science Fund (FWF)); US National Science Foundation, Office of Polar Programs(National Science Foundation (NSF)); University Corporation for Atmospheric Research and Lower Atmosphere Facilities Oversight Section</t>
  </si>
  <si>
    <t>This study is financed by Austrian Science Funds under grant V31-N10. AMPS is supported by the US National Science Foundation, Office of Polar Programs, and the University Corporation for Atmospheric Research and Lower Atmosphere Facilities Oversight Section. Satellite images were provided by the Antarctic Meteorological Research Center, Space Science Engineering Center, University of Wisconsin-Madison, and we thank Dr Matthew Lazzara for his kind assistance. We thank Gert Konig-Langlo for providing the meteorological data from Neumayer Station.</t>
  </si>
  <si>
    <t>10.1111/j.1751-8369.2010.00164.x</t>
  </si>
  <si>
    <t>WOS:000285685000008</t>
  </si>
  <si>
    <t>Lin, XZ; Cui, SS; Xu, GY; Wang, SA; Du, N; Shen, JH</t>
  </si>
  <si>
    <t>Lin Xuezheng; Cui Shuoshuo; Xu Guoying; Wang Shuai; Du Ning; Shen Jihong</t>
  </si>
  <si>
    <t>Cloning and heterologous expression of two cold-active lipases from the Antarctic bacterium Psychrobacter sp G</t>
  </si>
  <si>
    <t>Antarctic; cold-active lipase; gene cloning; gene expression; Psychrobacter</t>
  </si>
  <si>
    <t>ESCHERICHIA-COLI; LIPOLYTIC ENZYMES; ADAPTED ESTERASE; PSEUDOMONAS; GENE</t>
  </si>
  <si>
    <t>Antarctic bacteria producing extracellular lipolytic enzymes with activity at low temperature were isolated, and the most promising strain, named G, was identified as a Psychrobacter species based on 16S rDNA sequence alignment. The genomic DNA of this bacterium was used to construct its plasmid genomic library into pUC118 plasmid vectors, and to screen the cold-active lipolytic enzyme genes. Two genes encoding for cold-active lipolytic enzymes, Lip-1452 (with an open reading frame of 1452 bp in length) and Lip-948 (with an open reading frame of 948 bp in length), were screened. The primary structure of the two lipases deduced from the nucleotide sequence showed a consensus pentapeptide containing the active serine (Lip-1452, GDSAG, and Lip-948, GNSMG) and a conserved His-Gly dipeptide in the N-terminal part of the enzyme. Protein sequence alignment and conserved regions analysis indicated that the two lipases probably belonged to family IV and family V of the bacterial lipolytic enzymes, respectively. The upstream and downstream sequences of the two lipolytic lipases were also obtained. The two lipase genes were cloned into the expression vector pCold III and integrated into Escherichia coli BL21 (DE3). The functional expression of both lipase genes by E. coli BL21 (DE3) cells was observed as the formation of clear haloes around colonies on a 1% (vol/vol) tributyrin plate upon induction with isopropyl-beta-D-thiogalactopyranoside at 5 degrees C. A lipase activity assay showed that the specific activity of the pCold III+Lip-948 expression system was up to 3.7 U ml(-1), whereas that of pCold III+Lip-1452 was very low.</t>
  </si>
  <si>
    <t>[Lin Xuezheng; Cui Shuoshuo; Wang Shuai; Du Ning; Shen Jihong] SOA, Key Lab Marine Bioact Subst, Inst Oceanog 1, Qingdao 266061, Peoples R China; [Xu Guoying] Shandong Univ, Ocean Coll, Weihai 264209, Shandong, Peoples R China</t>
  </si>
  <si>
    <t>First Institute of Oceanography, Ministry of Natural Resources; Shandong University</t>
  </si>
  <si>
    <t>Lin, XZ (corresponding author), SOA, Key Lab Marine Bioact Subst, Inst Oceanog 1, 6 Xianxialing Rd, Qingdao 266061, Peoples R China.</t>
  </si>
  <si>
    <t>linxz@fio.org.cn</t>
  </si>
  <si>
    <t>Wang, Shuai/HZJ-7466-2023</t>
  </si>
  <si>
    <t>China's National High-Tech R D Program [2007AA091905]; Basic Scientific Research Operation Fund of China [GY02-2007-T11]</t>
  </si>
  <si>
    <t>China's National High-Tech R D Program; Basic Scientific Research Operation Fund of China</t>
  </si>
  <si>
    <t>This work was financially supported by China's National High-Tech R &amp; D Program (2007AA091905) and the Basic Scientific Research Operation Fund of China (GY02-2007-T11).</t>
  </si>
  <si>
    <t>10.1111/j.1751-8369.2010.00189.x</t>
  </si>
  <si>
    <t>WOS:000285685000016</t>
  </si>
  <si>
    <t>Ozaki, M; Yagitani, S; Nagano, I; Kasahara, Y; Yamagishi, H; Sato, N; Kadokura, A</t>
  </si>
  <si>
    <t>Ozaki, M.; Yagitani, S.; Nagano, I.; Kasahara, Y.; Yamagishi, H.; Sato, N.; Kadokura, A.</t>
  </si>
  <si>
    <t>Simultaneous ground-based and satellite observations of natural VLF waves in Antarctica: A case study of downward ionospheric penetration of whistler-mode waves</t>
  </si>
  <si>
    <t>Downward ionospheric penetration; VLF whistler-mode waves; Akebono satellite; Full-wave analysis</t>
  </si>
  <si>
    <t>To investigate downward ionospheric-penetration characteristics of VLF (several hundred Hz to 17.8 kHz) whistler-mode waves, we conducted simultaneous observations (in 2006) of natural VLF waves using both ground stations in Antarctica and the Japanese Akebono satellite. The ground-based and satellite observations included an interesting event for which both observed similar VLF waves. In this study, we theoretically calculate down-going whistler-mode wave propagation based on ground-satellite observations using the full-wave analysis. In a case study, the observed wave-normal angles were approximately 140-160 degrees for a dayside chorus event on 15 March 2006. The theoretical calculation showed that the wave-normal angles for ionospheric penetration should be around 155.6 degrees, with its angular width of approximately 2 degrees. Moreover, the wave-energy loss due to ionospheric penetration is estimated at 20.4 dB based on our theoretical calculation, in accordance with the observed 17-19 dB. (C) 2010 Elsevier B.V. and NIPR. All rights reserved.</t>
  </si>
  <si>
    <t>[Ozaki, M.; Yagitani, S.; Nagano, I.; Kasahara, Y.] Kanazawa Univ, Kanazawa, Ishikawa 9201192, Japan; [Yamagishi, H.; Sato, N.; Kadokura, A.] Natl Inst Polar Res, Tachikawa, Tokyo 1908518, Japan</t>
  </si>
  <si>
    <t>Kanazawa University; Research Organization of Information &amp; Systems (ROIS); National Institute of Polar Research (NIPR) - Japan</t>
  </si>
  <si>
    <t>Ozaki, M (corresponding author), Kanazawa Univ, Kanazawa, Ishikawa 9201192, Japan.</t>
  </si>
  <si>
    <t>ozaki@reg.is.t.kanazawa-u.ac.jp</t>
  </si>
  <si>
    <t>YAGITANI, Satoshi/E-7072-2015; OZAKI, Mitsunori/E-7076-2015; Kasahara, Yoshiya/E-7073-2015</t>
  </si>
  <si>
    <t>Kasahara, Yoshiya/0000-0002-9304-8235</t>
  </si>
  <si>
    <t>47th Japanese Antarctic Research Expedition</t>
  </si>
  <si>
    <t>We wish to thank the 47th Japanese Antarctic Research Expedition, which supported our ground-based observations of natural VLF waves in Antarctica. We also acknowledge the Japanese Aerospace Exploration Agency for data acquisition with the Akebono satellite.</t>
  </si>
  <si>
    <t>10.1016/j.polar.2010.04.008</t>
  </si>
  <si>
    <t>V39ZZ</t>
  </si>
  <si>
    <t>WOS:000209450200001</t>
  </si>
  <si>
    <t>Nakamura, K; Doi, K; Shibuya, K</t>
  </si>
  <si>
    <t>Nakamura, Kazuki; Doi, Koichiro; Shibuya, Kazuo</t>
  </si>
  <si>
    <t>Fluctuations in the flow velocity of the Antarctic Shirase Glacier over an 11-year period</t>
  </si>
  <si>
    <t>Shirase Glacier; Image correlation; Flow velocity; Annual change; ALOS PALSAR</t>
  </si>
  <si>
    <t>PINE ISLAND GLACIER; WEST ANTARCTICA; MASS-BALANCE; SATELLITE; SURFACE; BAY</t>
  </si>
  <si>
    <t>Temporal fluctuations in the flow velocity of Shirase Glacier in Antarctica were studied using 15 synthetic aperture radar (SAR) scenes obtained by the Japanese Earth Resources Satellite-1 (JERS-1) in 1996-1998 and 9 phased-array-type L-band SAR (PALSAR) scenes obtained by the Advanced Land Observing Satellite (ALOS) in 2007-2008. The scenes were analyzed using image correlation. The relative accuracy of the determined velocities was +/- 0.03 km/a for JERS-1 and +/- 0.02 km/a for ALOS. No marked temporal changes in ice-flow velocity at the grounding line (GL) were noted during either period; the ice velocity varied from 2.33 km/a (1996) to 2.27 km/a (2007). However, a marked difference between the two periods was found upstream from the GL on the central streamline, as a function of distance from the GL. Between the GL and the point 30 km downstream, ice velocities tended to be lower in 2007-2008 than in 1996-1998. Upstream from the GL, the velocities were higher in 2007-2008 than in 1996-1998, increasingly so with distance upstream, reaching a maximum of approximately 0.54 km/a at around 17-18 km upstream from the GL before diminishing again to a value of similar to 0.25 km/a at 30 km upstream. No clear seasonal variations in flow velocity were observed at 17-18 km upstream from the GL in 1996-1998; however, in 2007-2008, the summer (December 2007-February 2008) velocity was 1.27 km/a, whereas the winter (June-August 2008) velocity was 1.06 km/a, representing a marked difference of 0.21 km/a. A larger difference between these seasons (0.38 km/a) was found at 20 km above the GL. (C) 2010 Elsevier B.V. and NIPR. All rights reserved.</t>
  </si>
  <si>
    <t>[Nakamura, Kazuki] Natl Inst Adv Ind Sci &amp; Technol, Tsukuba, Ibaraki 3058568, Japan; [Doi, Koichiro; Shibuya, Kazuo] Natl Inst Polar Res, Tachikawa, Tokyo 1908518, Japan; [Doi, Koichiro; Shibuya, Kazuo] SOKENDAI, Tachikawa, Tokyo 1908518, Japan</t>
  </si>
  <si>
    <t>National Institute of Advanced Industrial Science &amp; Technology (AIST); Research Organization of Information &amp; Systems (ROIS); National Institute of Polar Research (NIPR) - Japan</t>
  </si>
  <si>
    <t>Nakamura, K (corresponding author), Natl Inst Adv Ind Sci &amp; Technol, Cent 2,1-1-1 Umezono, Tsukuba, Ibaraki 3058568, Japan.</t>
  </si>
  <si>
    <t>nakamura-kazuki@aist.go.jp</t>
  </si>
  <si>
    <t>Ministry of Education, Culture, Sports, Science and Technology of Japan [19710017]; Grants-in-Aid for Scientific Research [19710017] Funding Source: KAKEN</t>
  </si>
  <si>
    <t>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</si>
  <si>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JERS-1 SAR data were collected at Syowa Station by JARE members and raw data were provided by JAXA. The JERS-1 scenes employed in this study were archived and analyzed under an agreement between NIPR and JAXA. ALOS PALSAR data were made available by ERSDAC. We extend our deepest thanks to these organizations for their assistance. Our research was supported by a Grant-in-Aid for Young Scientists (B) 19710017 (P.I. K. Nakamura) from the Ministry of Education, Culture, Sports, Science and Technology of Japan. The Ministry of International Trade and Industry (since reorganized as the Ministry of Economy, Trade and Industry; METI) and NASDA/JAXA retain ownership of the original JERS-1 SAR and ALOS PALSAR data. This research used ASTER data beta processed by the GEO Grid at the National Institute of Advanced Industrial Science and Technology from ASTER data owned by METI. The authors also express sincere thanks to two anonymous reviewers for critically reading and improving the manuscript.</t>
  </si>
  <si>
    <t>10.1016/j.polar.2010.04.010</t>
  </si>
  <si>
    <t>WOS:000209450200002</t>
  </si>
  <si>
    <t>Nedzarek, A; Pociecha, A</t>
  </si>
  <si>
    <t>Nedzarek, Arkadiusz; Pociecha, Agnieszka</t>
  </si>
  <si>
    <t>Limnological characterization of freshwater systems of the Thomas Point Oasis (Admiralty Bay, King George Island, West Antarctica)</t>
  </si>
  <si>
    <t>Antarctica; Freshwater bodies; Trophic status; Algae; Invertebrates</t>
  </si>
  <si>
    <t>Hydrochemical research into the small, shallow water bodies and wetland areas around the Henryk Arctowski Polish Antarctic Station (King George Island) is presented. Concentrations of nitrite, nitrate, ammonium, and total nitrogen in these waters were determined, as were those of reactive and total phosphorous, inorganic carbon, organic carbon, total carbon, silicate, and chloride and sulfate ions. Conductivity and pH were also measured. Average concentrations ranged widely, e.g., total nitrogen 0.176-29.21 mg L-1, total phosphorus 0.022-18.35 mg L-1, total carbon 1.38-26.90 mg L-1, Cl- 30.17-850 mg L-1, and SO42- 2.11-236 mg L-1. The trophic status was influenced by influxes of nitrogen and phosphorus from penguin rookeries. Selected water bodies supported 31 taxa of algae and 11 invertebrate taxa, with Euglenophyta dominating in waters with high concentrations of ammonium-nitrogen, whereas diatoms characterized Lake Wujka, with low ammonium concentrations. All water bodies studied had rotifers, but crustaceans were only represented in Lake Wujka. (C) 2010 Elsevier B.V. and NIPR. All rights reserved.</t>
  </si>
  <si>
    <t>[Nedzarek, Arkadiusz] West Pomeranian Univ Technol, Dept Hydrochem &amp; Water Protect, PL-71550 Szczecin, Poland; [Nedzarek, Arkadiusz; Pociecha, Agnieszka] Polish Acad Sci, Dept Antarctic Biol, PL-02141 Warsaw, Poland; [Pociecha, Agnieszka] PAS, Inst Nat Conservat, Dept Freshwater Biol, PL-31120 Krakow, Poland</t>
  </si>
  <si>
    <t>West Pomeranian University of Technology; Polish Academy of Sciences; Polish Academy of Sciences</t>
  </si>
  <si>
    <t>Nedzarek, A (corresponding author), West Pomeranian Univ Technol, Dept Hydrochem &amp; Water Protect, K Krolewicza 4h, PL-71550 Szczecin, Poland.</t>
  </si>
  <si>
    <t>arkadiusz.nedzarek@zut.edu.pl; pociecha@iop.krakow.pl</t>
  </si>
  <si>
    <t>Nędzarek, Arkadiusz/F-3959-2016</t>
  </si>
  <si>
    <t>Nędzarek, Arkadiusz/0000-0002-6094-3647; Pociecha, Agnieszka/0000-0002-0208-8806</t>
  </si>
  <si>
    <t>10.1016/j.polar.2010.05.008</t>
  </si>
  <si>
    <t>WOS:000209450200003</t>
  </si>
  <si>
    <t>Volkov, RA; Kozeretska, IA; Kyryachenko, SS; Andreev, IO; Maidanyuk, DN; Parnikoza, IY; Kunakh, VA</t>
  </si>
  <si>
    <t>Volkov, R. A.; Kozeretska, I. A.; Kyryachenko, S. S.; Andreev, I. O.; Maidanyuk, D. N.; Parnikoza, I. Yu.; Kunakh, V. A.</t>
  </si>
  <si>
    <t>Molecular evolution and variability of ITS1-ITS2 in populations of Deschampsia antarctica from two regions of the maritime Antarctic</t>
  </si>
  <si>
    <t>Molecular taxonomy; 35S rDNA; Deschampsia antarctica; Poaceae</t>
  </si>
  <si>
    <t>INTERNAL TRANSCRIBED SPACERS; PHYLOGENETIC-RELATIONSHIPS; GENETIC-VARIATION; RIBOSOMAL DNA; RDNA; POACEAE; NUCLEAR; ORGANIZATION; DIVERSITY; PLANTS</t>
  </si>
  <si>
    <t>Only two vascular plants, Deschampsia antarctica Desv. (Poaceae) and Colobanthus quitensis Kunth. Bartl. (Caryophyllaceae), inhabit the Antarctic. To clarify the taxonomic position, phylogeographic origin, genetic heterogeneity, and population dynamics of D. antarctica, we comparatively analyzed the ITS1 and ITS2 sequences for several populations from two geographically distant regions of the maritime Antarctic (the South Shetland Islands and the Argentine archipelago). All accessions of D. antarctica formed a strongly supported clade in the phylogenetic dendrograms constructed. Despite the high degree of sequence similarity at ITS1-ITS2 (97%-100%), the populations of D. antarctica in Tierra del Fuego, Falkland Islands and Antarctic can be discriminated at the molecular level. Our data indicate that the majority of D. antarctica populations originated from South America. Different populations may have invaded Antarctic at different times. Genetically distinct plants may coexist within the same or adjacent populations on Antarctic islands. (C) 2010 Elsevier B.V. and NIPR. All rights reserved.</t>
  </si>
  <si>
    <t>[Volkov, R. A.] Yuri Fedkovych Natl Univ Chernivtsi, UA-58012 Chernovtsy, Ukraine; [Kozeretska, I. A.; Kyryachenko, S. S.] Taras Shevchenko Natl Univ Kyiv, UA-01033 Kiev, Ukraine; [Andreev, I. O.; Maidanyuk, D. N.; Parnikoza, I. Yu.; Kunakh, V. A.] Natl Acad Sci Ukraine, Inst Mol Biol &amp; Genet, UA-03143 Kiev, Ukraine</t>
  </si>
  <si>
    <t>Ministry of Education &amp; Science of Ukraine; Yuri Fedkovych Chernivtsi National University; Ministry of Education &amp; Science of Ukraine; Taras Shevchenko National University of Kyiv; National Academy of Sciences Ukraine; Institute of Molecular Biology &amp; Genetics of NASU</t>
  </si>
  <si>
    <t>Kozeretska, IA (corresponding author), Taras Shevchenko Natl Univ Kyiv, Volodymyrska Str 64, UA-01033 Kiev, Ukraine.</t>
  </si>
  <si>
    <t>kozeri@gmail.com</t>
  </si>
  <si>
    <t>Andreev, Igor/G-6194-2016; Parnikoza, Ivan/I-2398-2016; Kunakh, Viktor A./HKV-4993-2023; Volkov, Roman A./E-5262-2016; Ivan, Parnikoza/O-2781-2019; Maidanyuk, Dmitry/G-7993-2014; Kozeretska, Iryna/F-1383-2010</t>
  </si>
  <si>
    <t>Andreev, Igor/0000-0002-3706-8514; Volkov, Roman A./0000-0003-0673-2598; Ivan, Parnikoza/0000-0002-0490-8134; Maidanyuk, Dmitry/0000-0002-5766-9149; Kozeretska, Iryna/0000-0002-6485-1408; Kunakh, Viktor/0000-0002-9418-3172</t>
  </si>
  <si>
    <t>Department of Antarctic Biology of the Polish Academy of Sciences; Ukrainian National Scientific Antarctic Center</t>
  </si>
  <si>
    <t>Our fieldwork was supported by the Department of Antarctic Biology of the Polish Academy of Sciences and the Ukrainian National Scientific Antarctic Center. We are particularly grateful to Prof. S. Rakusa-Suszczewski. We also greatly appreciate the constructive suggestions of the anonymous reviewers. This study contributes to the SCAR Impact of Climate-Induced Glacial Melting on Marine and Terrestrial Coastal Communities on a Gradient along the Western Antarctic Peninsula.</t>
  </si>
  <si>
    <t>10.1016/j.polar.2010.04.011</t>
  </si>
  <si>
    <t>WOS:000209450200004</t>
  </si>
  <si>
    <t>Lu, ZS; Chen, WT; Liu, R; Hu, XJ; Ding, Y</t>
  </si>
  <si>
    <t>Lu, Zhisheng; Chen, Wentao; Liu, Rui; Hu, Xiaojian; Ding, Yu</t>
  </si>
  <si>
    <t>A novel method for high-level production of psychrophilic TAB5 alkaline phosphatase</t>
  </si>
  <si>
    <t>PROTEIN EXPRESSION AND PURIFICATION</t>
  </si>
  <si>
    <t>Psychrophilic TABS alkaline phosphatase; (TAP); Expression; Purification; Dephosphorylation activity</t>
  </si>
  <si>
    <t>CODON USAGE BIAS; SHRIMP PANDALUS-BOREALIS; ESCHERICHIA-COLI; PROTEIN PHOSPHATASES; CRYSTAL-STRUCTURE; ADAPTATION; ENZYMES; MECHANISM; EXPRESSION; BACTERIUM</t>
  </si>
  <si>
    <t>Heat labile alkaline phosphatases (APs) are widely used in biomedical research for they can easily be heat inactivated once they have done their job. Here we reported a novel method for high-level production of recombinant psychrophilic Antarctic bacterium strain TAB5 alkaline phosphatase (TAP) in Escherichia coli. We synthesized the whole TAP gene according to the synonymous codon choice that is optimal for the E. coli translational system. Then the gene was cloned into pT7 expression vector, expressed in BL21 (DE3) pLysS strain by auto-induction system. The recombinant protein was purified by Ni-NTA affinity chromatography and anion exchange chromatography. The typical yield was 90.9 mg protein from 16.2 g wet cells in 1 L culture medium with the purity over 99%, 340 times as many mg/L (and 21 times the mg/g cells) compared to previous methods. The dephosphorylation activity assay showed that the purified recombinant TAP has similar activity to calf intestinal alkaline phosphatase in room temperature, and it can be totally inactivated by treatment at 60 C for 15 min. Our research provides a novel method for high-level expression, purification and characterization of TAP which is sufficient for high throughput genome analysis and may replace the widely used shrimp AP because of its low cost. (C) 2010 Elsevier Inc. All rights reserved.</t>
  </si>
  <si>
    <t>[Lu, Zhisheng; Chen, Wentao; Liu, Rui; Hu, Xiaojian; Ding, Yu] Fudan Univ, Dept Physiol &amp; Biophys, Sch Life Sci, Shanghai 200433, Peoples R China</t>
  </si>
  <si>
    <t>Fudan University</t>
  </si>
  <si>
    <t>Ding, Y (corresponding author), Fudan Univ, Dept Physiol &amp; Biophys, Sch Life Sci, Shanghai 200433, Peoples R China.</t>
  </si>
  <si>
    <t>yuding@fudan.edu.cn</t>
  </si>
  <si>
    <t>Lin, Kuan-Yu/JXM-6653-2024; Ding, Yu/F-9346-2015</t>
  </si>
  <si>
    <t>Ding, Yu/0000-0001-7772-6449</t>
  </si>
  <si>
    <t>National Natural Science Foundation of China [30600107, 30500113, 30670499]; Shanghai Leading Academic Discipline Project [B111]; Basic Research of China [J0630643]; Fudan University [08067]</t>
  </si>
  <si>
    <t>National Natural Science Foundation of China(National Natural Science Foundation of China (NSFC)); Shanghai Leading Academic Discipline Project(Shanghai Leading Academic Discipline Project); Basic Research of China(National Basic Research Program of China); Fudan University</t>
  </si>
  <si>
    <t>We especially thank Professor Zhihong Zhang for the critical reviews, editing, and useful suggestions on manuscript drafts. The work was supported by the Grants (Nos. 30600107, 30500113 and 30670499) from the National Natural Science Foundation of China, Shanghai Leading Academic Discipline Project (Project number B111), National Talent Training Fund in Basic Research of China (No. J0630643) and Wangdao Scholar Project of Fudan University (No. 08067).</t>
  </si>
  <si>
    <t>1046-5928</t>
  </si>
  <si>
    <t>1096-0279</t>
  </si>
  <si>
    <t>PROTEIN EXPRES PURIF</t>
  </si>
  <si>
    <t>Protein Expr. Purif.</t>
  </si>
  <si>
    <t>10.1016/j.pep.2010.06.010</t>
  </si>
  <si>
    <t>Biochemical Research Methods; Biochemistry &amp; Molecular Biology; Biotechnology &amp; Applied Microbiology</t>
  </si>
  <si>
    <t>Biochemistry &amp; Molecular Biology; Biotechnology &amp; Applied Microbiology</t>
  </si>
  <si>
    <t>667PS</t>
  </si>
  <si>
    <t>WOS:000283206700012</t>
  </si>
  <si>
    <t>Dowdeswell, JA; Evans, J; Cofaigh, CO</t>
  </si>
  <si>
    <t>Dowdeswell, J. A.; Evans, J.; Cofaigh, C. O.</t>
  </si>
  <si>
    <t>Submarine landforms and shallow acoustic stratigraphy of a 400 km-long fjord-shelf-slope transect, Kangerlussuaq margin, East Greenland</t>
  </si>
  <si>
    <t>ANTARCTIC ICE-SHEET; TROUGH-MOUTH FANS; SEA-FLOOR; CONTINENTAL-MARGIN; SCORESBY-SUND; BARENTS SEA; SEDIMENTARY PROCESSES; SOUTHEAST GREENLAND; DEBRIS FLOWS; ROSS SEA</t>
  </si>
  <si>
    <t>Kangerlussuaq Fjord is a relatively uniform, steep-walled basin, whose floor has an almost smooth surface. Debris is supplied mainly from icebergs from the fast-flowing Kangerlussuaq Glacier. Sedimentation after iceberg release from multi-year sea ice is mainly by rain-out of fine-grained englacial debris. Streamlined glacial lineations and drumlins were produced at the sedimentary bed of an ice sheet that expanded into Kangerlussuaq Trough at the Last Glacial Maximum (LGM). Bedrock channels and crescentic overdeepenings indicate warm-based ice and free water beneath parts of the former ice sheet. Cross-cutting iceberg scour marks, which characterise outer Kangerlussuaq shelf, were produced not only during deglaciation, but also occasionally through the Holocene by deep-keeled icebergs from further north in East Greenland. The outward-convex contours of the shelf edge and slope beyond Kangerlussuaq Trough, and debris flows on the slope, suggest a glacier-influenced high-latitude fan. The distribution of streamlined subglacial landforms demonstrates that the Greenland Ice Sheet extended throughout Kangerlussuaq Fjord and reached at least 200 km across the shelf in Kangerlussuaq Trough at the LGM. Streamlined landform orientation indicates ice flow from the interior of Greenland down the axis of Kangerlussuaq Trough. There is little evidence for discrete sedimentary depocentres in the trough, implying that ice probably retreated rapidly from the outer and mid shelf during deglaciation. (C) 2010 Elsevier Ltd. All rights reserved.</t>
  </si>
  <si>
    <t>[Dowdeswell, J. A.] Univ Cambridge, Scott Polar Res Inst, Cambridge CB2 1ER, England; [Evans, J.] Univ Loughborough, Dept Geog, Loughborough LE11 3TU, Leics, England; [Cofaigh, C. O.] Univ Durham, Dept Geog, Durham DH1 3LE, England</t>
  </si>
  <si>
    <t>University of Cambridge; Loughborough University; Durham University</t>
  </si>
  <si>
    <t>Dowdeswell, JA (corresponding author), Univ Cambridge, Scott Polar Res Inst, Cambridge CB2 1ER, England.</t>
  </si>
  <si>
    <t>jd16@cam.ac.uk</t>
  </si>
  <si>
    <t>Evans, Jeffrey/F-5548-2010; Ó Cofaigh, Colm/D-9131-2012</t>
  </si>
  <si>
    <t>Dowdeswell, Julian/0000-0003-1369-9482</t>
  </si>
  <si>
    <t>UK Natural Environment Research Council [NER/T/S/2000/00986]; Natural Environment Research Council [NER/T/S/2000/00986, NER/T/S/2000/01415] Funding Source: researchfish</t>
  </si>
  <si>
    <t>UK Natural Environment Research Council(UK Research &amp; Innovation (UKRI)Natural Environment Research Council (NERC)); Natural Environment Research Council(UK Research &amp; Innovation (UKRI)Natural Environment Research Council (NERC))</t>
  </si>
  <si>
    <t>Work from the RRS James Clark Ross was funded by UK Natural Environment Research Council Grant NER/T/S/2000/00986 to JAD as part of the 'Autosub under Ice' Thematic Programme. We thank Anne Jennings and Paul Knutz for useful comments on the manuscript.</t>
  </si>
  <si>
    <t>25-26</t>
  </si>
  <si>
    <t>10.1016/j.quascirev.2010.06.006</t>
  </si>
  <si>
    <t>686VK</t>
  </si>
  <si>
    <t>WOS:000284724400002</t>
  </si>
  <si>
    <t>Colleoni, F; Krinner, G; Jakobsson, M</t>
  </si>
  <si>
    <t>Colleoni, F.; Krinner, G.; Jakobsson, M.</t>
  </si>
  <si>
    <t>The role of an Arctic ice shelf in the climate of the MIS 6 glacial maximum (140 ka)</t>
  </si>
  <si>
    <t>CHUKCHI BORDERLAND; SHEET; OCEAN; LAURENTIDE; ICEBERGS; SURFACE; ORIGIN; IMPACT; MODEL; LAKES</t>
  </si>
  <si>
    <t>During the last decade, Arctic icebreaker and nuclear submarine expeditions have revealed large-scale Pleistocene glacial erosion on the Lomonosov Ridge, Chukchi Borderland and along the Northern Alaskan margin indicating that the glacial Arctic Ocean hosted large Antarctic-style ice shelves. Dating of sediment cores indicates that the most extensive and deepest ice grounding occurred during Marine Isotope Stage (MIS) 6. The precise extents of Pleistocene ice shelves in the Arctic Ocean are unknown but seem comparable to present existing Antarctic ice shelves. How would an Antarctic-style ice shelf in the MIS 6 Arctic Ocean influence the Northern Hemisphere climate? Could it have impacted on the surface mass balance (SMB) of the MIS 6 Eurasian ice sheet and contributed to its large southward extent? We use an Atmospheric General Circulation Model (AGCM) to investigate the climatic impacts of both a limited MIS 6 ice shelf covering portions of the Canada Basin and a fully ice shelf covered Arctic Ocean. The AGCM results show that both ice shelves cause a temperature cooling of about 3 degrees C over the Arctic Ocean mainly due to the combined effect of ice elevation and isolation from the underlying ocean heat fluxes stopping the snow cover from melting during summer. The calculated SMB of the ice shelves are positive. The ice front horizontal velocity of the Canada Basin ice shelf is estimated to approximate to 1 km yr(-1) which is comparable to the recent measurements of the Ross ice shelf, Antarctica. The existence of a large continuous ice shelf covering the entire Arctic Ocean would imply a mean annual velocity of icebergs of approximate to 12 km yr(-1) through the Fram Strait. Our modeling results show that both ice shelf configurations could be viable under the MIS 6 climatic conditions. However, the cooling caused by these ice shelves only affects the Arctic margins of the continental ice sheets and is not strong enough to significantly influence the surface mass balance of the entire MIS 6 Eurasian ice sheet. (C) 2010 Elsevier Ltd. All rights reserved.</t>
  </si>
  <si>
    <t>[Colleoni, F.; Krinner, G.] CNRS, Lab Glaciol &amp; Geophys Environm, UJF, F-38402 St Martin Dheres, France; [Colleoni, F.; Jakobsson, M.] Stockholm Univ, Dept Geol Sci, S-10691 Stockholm, Sweden; [Krinner, G.] Alfred Wegener Inst Polar &amp; Marine Res, D-14473 Potsdam, Germany</t>
  </si>
  <si>
    <t>Centre National de la Recherche Scientifique (CNRS); Communaute Universite Grenoble Alpes; Universite Grenoble Alpes (UGA); Stockholm University; Helmholtz Association; Alfred Wegener Institute, Helmholtz Centre for Polar &amp; Marine Research</t>
  </si>
  <si>
    <t>Colleoni, F (corresponding author), Ctr Euro Mediterraneo &amp; Cambiamenti Climat, I-40167 Bologna, Italy.</t>
  </si>
  <si>
    <t>flocolleoni@gmail.com</t>
  </si>
  <si>
    <t>Jakobsson, Martin/F-6214-2010; Jakobsson, Martin/JAN-6828-2023; Colleoni, Florence/JMQ-7847-2023; Krinner, Gerhard/A-6450-2011; Krinner, Gerhard/AAB-8837-2022</t>
  </si>
  <si>
    <t>Colleoni, Florence/0000-0003-4582-812X; Krinner, Gerhard/0000-0002-2959-5920; Jakobsson, Martin/0000-0002-9033-3559</t>
  </si>
  <si>
    <t>Agence Nationale de la Recherche; Region Rhone Alpes; Ministere des Affaires Etrangeres Francais; The Bert Bolin Centre for Climate Research (Stockholm University); Alexander von Humboldt Foundation</t>
  </si>
  <si>
    <t>Agence Nationale de la Recherche(Agence Nationale de la Recherche (ANR)); Region Rhone Alpes(Region Auvergne-Rhone-Alpes); Ministere des Affaires Etrangeres Francais; The Bert Bolin Centre for Climate Research (Stockholm University); Alexander von Humboldt Foundation(Alexander von Humboldt Foundation)</t>
  </si>
  <si>
    <t>The authors acknowledge support by the Agence Nationale de la Recherche (project IDEGLACE), the Region Rhone Alpes (programme Explora'Doc), the Ministere des Affaires Etrangeres Francais, The Bert Bolin Centre for Climate Research (Stockholm University) and the Alexander von Humboldt Foundation for their support The climate simulations were carried out at IDRIS/CNRS and on the Mirage scientific computing plateform in Grenoble (France).</t>
  </si>
  <si>
    <t>10.1016/j.quascirev.2010.06.023</t>
  </si>
  <si>
    <t>WOS:000284724400018</t>
  </si>
  <si>
    <t>Jouzel, J; Masson-Delmotte, V</t>
  </si>
  <si>
    <t>Jouzel, Jean; Masson-Delmotte, Valerie</t>
  </si>
  <si>
    <t>Deep ice cores: the need for going back in time</t>
  </si>
  <si>
    <t>CARBON-DIOXIDE CONCENTRATION; DOME-C; PLEISTOCENE TRANSITION; GLACIAL TERMINATIONS; ANTARCTIC CLIMATE; SOUTHERN; RECORD; EPICA; VARIABILITY; INSOLATION</t>
  </si>
  <si>
    <t>After the success of EPICA, the European Project for Ice coring in Antarctica which, at Dome C (East Antarctica) has provided access to climate and environmental records covering the last 800 ka (thousands of years), the ice core community is now engaged in the challenge to obtain older records. Obtaining a 1.5 million year (Ma) record of climate and greenhouse gases is one of the priorities of the International Partnerships in Ice Core Sciences (IPICS) largely motivated by the yet unexplained shift in climate cyclicity around the Mid-Pleistocene transition (MPT) around 1.2 Ma ago. From EPICA results and recently published articles, we further examine how such a 1.5 Ma old ice core will help, and is indeed indispensable, to depict and understand this transition. (C) 2010 Elsevier Ltd. All rights reserved.</t>
  </si>
  <si>
    <t>[Jouzel, Jean; Masson-Delmotte, Valerie] CEA Saclay, LSCE IPSL, CEA CNRS UVSQ, UMR 8212, F-91191 Gif Sur Yvette, France</t>
  </si>
  <si>
    <t>CEA; Centre National de la Recherche Scientifique (CNRS); Universite Paris Saclay; CNRS - National Institute for Earth Sciences &amp; Astronomy (INSU)</t>
  </si>
  <si>
    <t>Masson-Delmotte, V (corresponding author), CEA Saclay, LSCE IPSL, CEA CNRS UVSQ, UMR 8212, F-91191 Gif Sur Yvette, France.</t>
  </si>
  <si>
    <t>valerie.masson@lsce.ipsl.fr</t>
  </si>
  <si>
    <t>Masson-Delmotte, Valerie L/G-1995-2011</t>
  </si>
  <si>
    <t>Masson-Delmotte, Valerie L/0000-0001-8296-381X</t>
  </si>
  <si>
    <t>NR</t>
  </si>
  <si>
    <t>This viewpoint has largely benefited from the work conducted in the frame of the EPICA project and from the ongoing discussions taking place in IPICS and from the plans defined as part of this initiative. We acknowledge support from ANR Dome A project. We would like to thank all our colleagues from the ice core community and, in particular, Emilie Capron, Amaelle Landais and Jeff Severinghaus for their inputs, Tim Herbert and Aradhna Tripati for providing their marine data and Franck Pattyn for providing an updated version of Fig. 4. This is LSCE publication 4062.</t>
  </si>
  <si>
    <t>27-28</t>
  </si>
  <si>
    <t>10.1016/j.quascirev.2010.10.002</t>
  </si>
  <si>
    <t>693KC</t>
  </si>
  <si>
    <t>WOS:000285222000002</t>
  </si>
  <si>
    <t>Denis, D; Crosta, X; Barbara, L; Massé, G; Renssen, H; Ther, O; Giraudeau, J</t>
  </si>
  <si>
    <t>Denis, Delphine; Crosta, Xavier; Barbara, Loic; Masse, Guillaume; Renssen, Hans; Ther, Olivier; Giraudeau, Jacques</t>
  </si>
  <si>
    <t>Sea ice and wind variability during the Holocene in East Antarctica: insight on middle-high latitude coupling</t>
  </si>
  <si>
    <t>SOUTHERN-OCEAN SEDIMENTS; DEUTERIUM EXCESS RECORDS; MAJOR DIATOM TAXA; EPICA DOME-C; SURFACE TEMPERATURE; ADELIE LAND; CLIMATE VARIABILITY; LATE QUATERNARY; HEMISPHERE WESTERLIES; DEGLACIAL OCEAN</t>
  </si>
  <si>
    <t>Micropaleontological and biomarker data from two high-accumulation marine sites from the Coastal and Continental Shelf Zone (CCSZ) off East Antarctica (Adelie Land at similar to 140 degrees E and eastern Prydz Bay at similar to 77 degrees E) are used to reconstruct Holocene changes in sea ice and wind stress at the basin-wide scale. These data demonstrate congruent increase in sea-ice concentration/persistence and wind stress-related sea-surface turbulence in the two regions since 7 cal ka BP, with a particularly strong signal since 4.5-3.5 cal ka BP. Comparison of these high latitude records with sea ice and turbulence records from the southern mid-latitudes highlights distinctive climatic evolutions according to the different latitudinal bands. Sea-ice persistence and turbulence increase in East Antarctica CCSZ are opposite to sea-surface warming and sea-ice retreat recorded after 4.5-3.5 cal ka BP in the East Atlantic and Indian sector between 55 and 45 S. At the same period, paleodata suggest SST cooling in all major coastal upwelling systems of the southern hemisphere, caused by the northward transport of subpolar surface waters as a response to southern Westerlies reinforcement. We therefore propose, as suggested for the northern hemisphere, that Holocene changes in the latitudinal insolation gradient, primarily forced by obliquity and precession and amplified by sea-ice and glacial-ice expansions in the Antarctic realm, are responsible for the observed contrasted latitudinal patterns of southern latitudes. (C) 2010 Elsevier Ltd. All rights reserved.</t>
  </si>
  <si>
    <t>[Denis, Delphine; Crosta, Xavier; Barbara, Loic; Ther, Olivier; Giraudeau, Jacques] Univ Bordeaux 1, EPOC, UMR CNR5 5805, F-33405 Talence, France; [Masse, Guillaume] Univ Paris 06, LOCEAN, UMR 7159, F-75252 Paris 05, France; [Masse, Guillaume] Univ Plymouth, SoGEES, Plymouth PL4 8AA, Devon, England; [Renssen, Hans] Vrije Univ Amsterdam, Fac Earth &amp; Life Sci, NL-1081 HV Amsterdam, Netherlands</t>
  </si>
  <si>
    <t>Universite de Bordeaux; Centre National de la Recherche Scientifique (CNRS); Museum National d'Histoire Naturelle (MNHN); Sorbonne Universite; Centre National de la Recherche Scientifique (CNRS); CNRS - National Institute for Earth Sciences &amp; Astronomy (INSU); University of Plymouth; Vrije Universiteit Amsterdam</t>
  </si>
  <si>
    <t>Crosta, X (corresponding author), Univ Bordeaux 1, EPOC, UMR CNR5 5805, Ave Fac, F-33405 Talence, France.</t>
  </si>
  <si>
    <t>x.crosta@epoc.u-bordeaux1.fr</t>
  </si>
  <si>
    <t>Barbara, Loic JB/D-2607-2013; Giraudeau, Jacques/AAF-5764-2019</t>
  </si>
  <si>
    <t>Barbara, Loic/0000-0003-1519-5835; Giraudeau, Jacques/0000-0002-5069-4667</t>
  </si>
  <si>
    <t>NSF [NBP0101]; INSU-CNRS; ERC [203441]; European Research Council (ERC) [203441] Funding Source: European Research Council (ERC)</t>
  </si>
  <si>
    <t>NSF(National Science Foundation (NSF)); INSU-CNRS(Centre National de la Recherche Scientifique (CNRS)); ERC(European Research Council (ERC)); European Research Council (ERC)(European Research Council (ERC)Spanish Government)</t>
  </si>
  <si>
    <t>We warmly thank Frank Lamy for providing his data, and Valerie Masson-Delmotte and Bruno Malaize for constructive discussions. We also thank Giuseppe Cortese and Nalan Koc for their helpful reviews. We personally thank scientists and crew members from Images X (CADO) cruise and from NSF-funded NBP0101 cruise for data and suggestions concerning the Dumont d'Urville Trough. Financial support for this study was provided by TARDHOL project through the National LEFE-EVE program (INSU-CNRS) and the ERC StG ICEPROXY project (Grant number: 203441). Logistic support was obtained from the French IPEV (Institut Paul Emile Victor) and the International Marine Past Global Change Study (IMAGES). This is an EPOC contribution No 1790.</t>
  </si>
  <si>
    <t>10.1016/j.quascirev.2010.08.007</t>
  </si>
  <si>
    <t>WOS:000285222000004</t>
  </si>
  <si>
    <t>Hodell, DA; Evans, HF; Channell, JET; Curtis, JH</t>
  </si>
  <si>
    <t>Hodell, David A.; Evans, Helen F.; Channell, James E. T.; Curtis, Jason H.</t>
  </si>
  <si>
    <t>Phase relationships of North Atlantic ice-rafted debris and surface-deep climate proxies during the last glacial period</t>
  </si>
  <si>
    <t>MILLENNIAL-SCALE EVENTS; MARINE ISOTOPE STAGE-3; SEA-LEVEL; TIME-SCALES; GLOBAL CLIMATE; ABUNDANCE VARIATIONS; ICEBERG DISCHARGES; WATER TEMPERATURE; ATMOSPHERIC CO2; HEINRICH EVENTS</t>
  </si>
  <si>
    <t>We report stable isotope, core scanning XRF, and ice-rafted detritus (IRD) data in glacial-aged sediments from piston Core KN166-14-JPC-13 (hereafter referred to as JPC-13) retrieved at 53.1 degrees N 33.5 degrees W on the southern Gardar Drift, North Atlantic. A chronology was established by correlating millennial-scale features in the benthic delta(18)Orecord to Portuguese Margin Core MD95-2042. Once the alignment of benthic delta O-18 of JPC-13 to MD95-2042 is fixed, the relative timing of proxy variables is used to determine the phasing of changes in IRD and surface-deep hydrography. Each peak in North Atlantic IRD coincided with a decrease in benthic delta O-18 that, in turn, has been linked to warming in Antarctica (Events A1-A7). The IRD pulses are followed shortly thereafter by abrupt decreases in planktonic delta O-18, indicating warming and increased heat transport to the subpolar North Atlantic associated with Greenland interstadials (GIS) 8, 12,14, and 16-17. Grain-size and elemental (K/Ti) variations indicate that Iceland Scotland Overflow Water (ISOW) was stronger during these long, warm interstadial periods of Marine Isotope Stage (MIS) 3. The results are consistent with interhemispheric phase relationships inferred from Iberian Margin sediment cores and with methane synchronization of Greenland and Antarctic ice cores. Crown Copyright (C) 2010 Published by Elsevier Ltd. All rights reserved.</t>
  </si>
  <si>
    <t>[Hodell, David A.] Univ Cambridge, Dept Earth Sci, Godwin Lab Paleoclimate Res, Cambridge CB2 3EQ, England; [Evans, Helen F.] Columbia Univ, Borehole Res Grp, Lamont Doherty Earth Observ, Palisades, NY 10964 USA; [Channell, James E. T.; Curtis, Jason H.] Univ Florida, Dept Geol Sci, Gainesville, FL 32611 USA</t>
  </si>
  <si>
    <t>University of Cambridge; Columbia University; State University System of Florida; University of Florida</t>
  </si>
  <si>
    <t>Hodell, DA (corresponding author), Univ Cambridge, Dept Earth Sci, Godwin Lab Paleoclimate Res, Downing St, Cambridge CB2 3EQ, England.</t>
  </si>
  <si>
    <t>dah73@cam.ac.uk</t>
  </si>
  <si>
    <t>Hodell, David/0000-0001-8537-1588</t>
  </si>
  <si>
    <t>NERC [NE/H009930/1]; NERC [NE/H009930/1, NE/H014292/1] Funding Source: UKRI; Natural Environment Research Council [NE/H009930/1, NE/H014292/1] Funding Source: researchfish</t>
  </si>
  <si>
    <t>We thank Gianna Browne for technical assistance and Jim Wright and Greg Mountain for collecting Core KN166-14-13JPC and providing samples. We thank Peter Clark and an anonymous referee whose thoughtful reviews significantly improved the quality of the manuscript. This research was supported by NERC grant NE/H009930/1.</t>
  </si>
  <si>
    <t>10.1016/j.quascirev.2010.09.006</t>
  </si>
  <si>
    <t>WOS:000285222000014</t>
  </si>
  <si>
    <t>Dickson, AJ; Leng, MJ; Maslin, MA; Röhl, U</t>
  </si>
  <si>
    <t>Dickson, Alexander J.; Leng, Melanie J.; Maslin, Mark A.; Roehl, Ursula</t>
  </si>
  <si>
    <t>Oceanic, atmospheric and ice-sheet forcing of South East Atlantic Ocean productivity and South African monsoon intensity during MIS-12 to 10</t>
  </si>
  <si>
    <t>BENGUELA UPWELLING SYSTEM; ANTARCTIC SEA-ICE; ORGANIC-MATTER; SURFACE-WATER; THERMOHALINE CIRCULATION; PLANKTON DELTA-C-13; LATE PLEISTOCENE; EARLY HOLOCENE; GROWTH-RATE; CLIMATE</t>
  </si>
  <si>
    <t>Variations in the strength of coastal upwelling in the South East Atlantic Ocean and summer monsoonal rains over South Africa are controlled by the regional atmospheric circulation regime. Although information about these parameters exists for the last glacial period, little detailed information exists for older time periods. New information from ODP Site 1085 for Marine Isotope Stages (MIS) 12-10 shows that glacial interglacial productivity trends linked to upwelling variability followed a pattern similar to the last glacial cycle, with maximums shortly before glacial maxima, and minimums shortly before glacial terminations. During the MIS-11/10 transition, several periodic oscillations in productivity and monsoonal proxies are best explained by southwards shifts in the southern sub-tropical high-pressure cells followed by abrupt northwards shifts. Comparison to coeval sea-surface temperature measurements suggests that these monsoonal cycles were tightly coupled to anti-phased hemispheric climate change, with an intensified summer monsoon during periods of Northern (Southern) Hemisphere cooling (warming). The timing of these events suggests a pacing by insolation over precession periods. A lack of similar regional circulation shifts during the MIS-13/12 transition is likely due to the large equatorwards shift in the tropical convection zone that occurred during this extreme glaciation. (C) 2010 Elsevier Ltd. All rights reserved.</t>
  </si>
  <si>
    <t>[Dickson, Alexander J.; Maslin, Mark A.] UCL, Environm Change Res Ctr, Dept Geog, London WC1E 6BT, England; [Leng, Melanie J.] Kingsley Dunham Ctr, NERC Isotope Geosci Lab, Nottingham NG12 5GG, England; [Roehl, Ursula] Univ Bremen, MARUM, D-28359 Bremen, Germany</t>
  </si>
  <si>
    <t>University of London; University College London; UK Research &amp; Innovation (UKRI); Natural Environment Research Council (NERC); NERC British Geological Survey; University of Bremen</t>
  </si>
  <si>
    <t>Dickson, AJ (corresponding author), Open Univ, Dept Earth &amp; Environm Sci, Walton Hall, Milton Keynes MK7 6AA, Bucks, England.</t>
  </si>
  <si>
    <t>a.j.dickson@dunelm.org.uk</t>
  </si>
  <si>
    <t>Dickson, Alexander/A-6763-2011; Röhl, Ursula/G-5986-2011</t>
  </si>
  <si>
    <t>Röhl, Ursula/0000-0001-9469-7053; Maslin, Mark/0000-0001-9957-3463; Leng, Melanie/0000-0003-1115-5166</t>
  </si>
  <si>
    <t>NERC [NER/A/A/2005/13226]; NIGSF [IP/894/0506]; Natural Environment Research Council [nigl010001] Funding Source: researchfish; NERC [nigl010001] Funding Source: UKRI</t>
  </si>
  <si>
    <t>NERC(UK Research &amp; Innovation (UKRI)Natural Environment Research Council (NERC)); NIGSF; Natural Environment Research Council(UK Research &amp; Innovation (UKRI)Natural Environment Research Council (NERC)); NERC(UK Research &amp; Innovation (UKRI)Natural Environment Research Council (NERC))</t>
  </si>
  <si>
    <t>We would like to thank Hilary Sloane and Joanne Green for their assistance with stable isotope measurements and Janet Hope for laboratory support. This work was funded by a NERC PhD studentship awarded to AJD (NER/A/A/2005/13226) and NIGSF allocation IP/894/0506. Data will be archived in the NOAA National Climatic Datacenter (http://www.ncdc.noaa.gov/paleo/paleo.html).</t>
  </si>
  <si>
    <t>10.1016/j.quascirev.2010.09.014</t>
  </si>
  <si>
    <t>WOS:000285222000019</t>
  </si>
  <si>
    <t>Rodriguez, AB; Simms, AR; Anderson, JB</t>
  </si>
  <si>
    <t>Rodriguez, Antonio B.; Simms, Alexander R.; Anderson, John B.</t>
  </si>
  <si>
    <t>Bay-head deltas across the northern Gulf of Mexico back step in response to the 8.2 ka cooling event</t>
  </si>
  <si>
    <t>LAST GLACIAL MAXIMUM; ANTARCTIC ICE-SHEET; CATASTROPHIC DRAINAGE; INCISED-VALLEY; SEA; EVOLUTION; RETREAT; ESTUARY; TEXAS; SEDIMENTATION</t>
  </si>
  <si>
    <t>Estuaries along the northern Gulf of Mexico show rapid landward shifts in estuarine environments (back-stepping) around 8200 cal yr BP. Paleogeographic maps of the estuaries based on seismic data and cores, and constrained chronologically by radiocarbon dates, depict bay-head delta retreat in excess of 25 m/yr. During these events the sub-aerial delta plain flooded to create sub-tidal upper- and middle-bay environments. Abrupt sea-level rise associated with the 8200 cal yr BP climate-change event caused these estuaries and others around the world to reorganize abruptly. In the northern Gulf of Mexico, the sea-level rise associated with the event was only similar to 0.1 m over a sub-decadal time period. This rise was superimposed on a background decelerating rate of sea-level rise of similar to 1.0-0.5 m/century. The widespread bay-head delta back-stepping, documented here, may be an appropriate analog for possible abrupt future climate change in response to global warming. It also shows that estuaries fringed by low-gradient shorelines are highly sensitive to low-amplitude and sudden sea-level rise. (C) 2010 Elsevier Ltd. All rights reserved.</t>
  </si>
  <si>
    <t>[Rodriguez, Antonio B.] Univ N Carolina Chapel Hill, Inst Marine Sci, Morehead City, NC 28557 USA; [Simms, Alexander R.] Univ Calif Santa Barbara, Dept Earth Sci, Santa Barbara, CA 93106 USA; [Anderson, John B.] Rice Univ, Dept Earth Sci, Houston, TX 77005 USA</t>
  </si>
  <si>
    <t>University of North Carolina; University of North Carolina Chapel Hill; University of California System; University of California Santa Barbara; Rice University</t>
  </si>
  <si>
    <t>Rodriguez, AB (corresponding author), Univ N Carolina Chapel Hill, Inst Marine Sci, Morehead City, NC 28557 USA.</t>
  </si>
  <si>
    <t>abrodrig@email.unc.edu</t>
  </si>
  <si>
    <t>Anderson, John/B-1011-2012; Simms, Alexander R/E-5609-2012</t>
  </si>
  <si>
    <t>Simms, Alexander/0000-0001-5034-2189</t>
  </si>
  <si>
    <t>National Science Foundation [EAR-0107650]; American Chemical Society</t>
  </si>
  <si>
    <t>National Science Foundation(National Science Foundation (NSF)); American Chemical Society(American Chemical Society)</t>
  </si>
  <si>
    <t>This research was funded by a National Science Foundation Grant EAR-0107650 to ABR and JBA and the Donors of the American Chemical Society Petroleum Research Fund through a grant to ARS. We would also like to thank Joe Lambert, Craig Meyer, Scott Meyers, David Heroy, Chip Anderson, Timothy Phillips, Jess Malicoate, Niranjan Aryal, Greg Federko, Matin Alari, Lauren Miller and Julia Smith Wellner for their help with field and laboratory work. Thanks are also to Yusuke Yokoyama for 14C dating some of the samples from Baffin Bay. Jack Kindinger kindly provided copies of USGS seismic data collected with the help of Mike Blum in Nueces and Corpus Christi Bays.</t>
  </si>
  <si>
    <t>10.1016/j.quascirev.2010.10.004</t>
  </si>
  <si>
    <t>WOS:000285222000023</t>
  </si>
  <si>
    <t>González-Guillot, M; Acevedo, R; Escayola, M</t>
  </si>
  <si>
    <t>Gonzalez-Guillot, Mauricio; Acevedo, Rogelio; Escayola, Monica</t>
  </si>
  <si>
    <t>The Rancho Lata Gabbro: Mesozoic off-axis magmatism in the Rocas Verdes marginal basin, Argentinean Fuegian Andes</t>
  </si>
  <si>
    <t>REVISTA MEXICANA DE CIENCIAS GEOLOGICAS</t>
  </si>
  <si>
    <t>gabbro; marginal basin; mid-ocean ridge basalt; Mesozoic; Tierra del Fuego; Argentina; Chile</t>
  </si>
  <si>
    <t>BACK-ARC BASIN; SARMIENTO OPHIOLITE COMPLEX; SOUTHERNMOST SOUTH-AMERICA; GONDWANA BREAK-UP; PATAGONIAN-ANDES; CHILEAN OPHIOLITES; SOUTHWESTERN GONDWANALAND; TECTONIC IMPLICATIONS; ANTARCTIC PENINSULA; SEA-FLOOR</t>
  </si>
  <si>
    <t>The Rocas. Verdes marginal basin originated during an extensional tectonic event in the Late Jurassic-Early Cretaceous, which finally led to the break-up of the Gondwana supercontinent. It is composed of mafic tholeiitic rocks with mid-ocean ridge basalt (MORB) affinity, exposed at the southernmost tip of South America. Magmatism occurred at spreading centers and was coeval with a calc-alkaline volcanic arc built on continental crust to the pacific side of the basin. Mafic dykes that also intrude continental crust on both sides of the marginal basin are related to the initial stages of basin development. In this contribution we present new field, petrographic, geochemical and microchemical data from gabbroic stocks and sills (the Rancho Lata Gabbro, GRL) emplaced in the northern flank of the southern tip of the marginal basin. The rocks exhibit phaneritic (gabbros) and subvolcanic (dolerites) textures. The GRL experienced greenschist facies metamorphism and mylonitic deformation. Chemical and mineralogical composition of GRL suggest that dolerites and gabbros could derive from a common parental magma, by crystal fractionation, where dolerites represent more differentiated liquids and gabbros the cumulus fraction. The GRL has tholeiitic affinity, moderate enrichment in LILE and LREE compared with normal (N)-MORB and chondrite, respectively, and high LREE/HREE ratios similar to those of enriched (E)-MORBs. On the basis of mineralogical and chemical composition, metamorphism and ductile deformation, the GRL is correlationed to other mafic dykes flanking the ophiolites reported in literature, and to the ophiolites itself from the least evolved part of the marginal basin. Therefore, the GRL most probably generated during the initial stages of basin development in an enriched upper mantle. The Nb-Ta-Ti troughs seen on normalized trace element diagrams indicate contribution of subduction components to the source.</t>
  </si>
  <si>
    <t>[Gonzalez-Guillot, Mauricio; Acevedo, Rogelio] Ctr Austral Invest Cient CADIC CONICET, Ushuaia, Tierra Fuego, Argentina; [Escayola, Monica] Univ Buenos Aires, CONICET, Lab Tecton Andina, Buenos Aires, DF, Argentina</t>
  </si>
  <si>
    <t>Consejo Nacional de Investigaciones Cientificas y Tecnicas (CONICET); Consejo Nacional de Investigaciones Cientificas y Tecnicas (CONICET); University of Buenos Aires</t>
  </si>
  <si>
    <t>González-Guillot, M (corresponding author), Ctr Austral Invest Cient CADIC CONICET, Av Houssay 200,V9410BPD, Ushuaia, Tierra Fuego, Argentina.</t>
  </si>
  <si>
    <t>g_guillot@cadic-conicet.gob.ar</t>
  </si>
  <si>
    <t>Acevedo Fernandez, Rogelio Daniel/0000-0001-6224-3030</t>
  </si>
  <si>
    <t>CENTRO GEOCIENCIAS UNAM</t>
  </si>
  <si>
    <t>QUERETARO</t>
  </si>
  <si>
    <t>CENTRO GEOCIENCIAS, UNAM, CAMPUS JURIQUILLA, QUERETARO, QRO 76230, MEXICO</t>
  </si>
  <si>
    <t>1026-8774</t>
  </si>
  <si>
    <t>REV MEX CIENC GEOL</t>
  </si>
  <si>
    <t>Rev. Mex. Cienc. Geol.</t>
  </si>
  <si>
    <t>694RS</t>
  </si>
  <si>
    <t>WOS:000285315900003</t>
  </si>
  <si>
    <t>Tassone, A; Santomauro, M; Menichetti, M; Cerredo, ME; Remesal, MB; Lippai, H; Lodolo, E; Vilas, JF</t>
  </si>
  <si>
    <t>Tassone, Alejandro; Santomauro, Melina; Menichetti, Marco; Elena Cerredo, Maria; Beatriz Remesal, Marcela; Lippai, Horacio; Lodolo, Emanuele; Francisco Vilas, Juan</t>
  </si>
  <si>
    <t>Imaging subsurface lithological and structural features by resistivity tomography: North Beagle Channel (Tierra del Fuego, Argentina)</t>
  </si>
  <si>
    <t>electrical resistivity tomography; Fuegian Andes; Argentina</t>
  </si>
  <si>
    <t>DARWIN METAMORPHIC COMPLEX; ELECTRICAL-RESISTIVITY; ANTARCTIC PENINSULA; ACTIVE TECTONICS; ANDES; FAULT; BASIN; DEFORMATION; AMERICA; GEOLOGY</t>
  </si>
  <si>
    <t>Worldwide, the study of fold and thrust belts and characterization of structures are mainly carried out through superficial geological observations and seismic reflection, as the main geophysical prospecting method. In this study we show how the resistivity method is a useful tool for identification of shallow structures (upper 80 m) when combined with the knowledge of the local geology. This is a relative low cost and easily applicable method, which can contribute to image both lithological boundaries and subsurface structures. The Andes Fueguinos in the area of the Beagle Channel are characterized by a sequence of NNE-verging thrusts stacks of basement emplaced during the middle Cretaceous-Tertiary Andean orogenesis, combined with a strong left lateral strike-slip component. An electric resistivity survey to obtain a 2D electric resistive tomography (ERT) was carried out in the northern shore of the Beagle Channel, west of Ushuaia, in order to better understand the geometric relationships between the basement and cover units in this part of the thrust belt. The method employed, integrated with a field geological survey, allowed to differentiate the electrical signatures of different thin sheets of the thrust belt, where the major faults are recognized by a decrease in resistivity values and sharp lateral variations. Furthermore, the resistivity section shows a good spatial correspondence with a geological section of the study area, where the continuity of the tectonic boundary between the basement (Lapataia Formation) and synrift units (Lemaire Formation) could be followed at depth.</t>
  </si>
  <si>
    <t>[Tassone, Alejandro; Santomauro, Melina; Lippai, Horacio; Francisco Vilas, Juan] Univ Buenos Aires, Fac Ciencias Exactas &amp; Nat, Dept Ciencias Geol, CONICET,Inst Geofis Daniel A Valencio, RA-1053 Buenos Aires, DF, Argentina; [Menichetti, Marco] Univ Urbino, Ist Sci Terra, I-61029 Urbino, Italy; [Lodolo, Emanuele] Ist Nazl Oceanog &amp; Geofis Sperimentale Borgo Grot, I-34010 Trieste, Italy</t>
  </si>
  <si>
    <t>University of Buenos Aires; Consejo Nacional de Investigaciones Cientificas y Tecnicas (CONICET); University of Urbino; Istituto Nazionale di Oceanografia e di Geofisica Sperimentale</t>
  </si>
  <si>
    <t>Tassone, A (corresponding author), Univ Buenos Aires, Fac Ciencias Exactas &amp; Nat, Dept Ciencias Geol, CONICET,Inst Geofis Daniel A Valencio, RA-1053 Buenos Aires, DF, Argentina.</t>
  </si>
  <si>
    <t>tassoneale@yahoo.com.ar</t>
  </si>
  <si>
    <t>MENICHETTI, Marco/0000-0003-2901-0715; LODOLO, Emanuele/0000-0002-4706-2095</t>
  </si>
  <si>
    <t>CONICET; Agencia Nacional de Promocion Cientifica, Tecnologica y de Innovacion; Universidad de Buenos Aires</t>
  </si>
  <si>
    <t>CONICET(Consejo Nacional de Investigaciones Cientificas y Tecnicas (CONICET)); Agencia Nacional de Promocion Cientifica, Tecnologica y de Innovacion(ANPCyT); Universidad de Buenos Aires(University of Buenos Aires)</t>
  </si>
  <si>
    <t>We acknowledge those people who contributed to the field work in Tierra del Fuego: Gerardo Connon, Luis Barber y Carlos Ferrer of the EARG for their support during data acquisition in the field, Parques Nacionales of Argentina by providing facilities for the survey of the National Park of Tierra del Fuego. Augusto Rapalini is thanked for timely and constructive reviews which significantly improved the original manuscript. Funds of this study were partly provided by the CONICET and the Agencia Nacional de Promocion Cientifica, Tecnologica y de Innovacion and the Universidad de Buenos Aires.</t>
  </si>
  <si>
    <t>WOS:000285315900012</t>
  </si>
  <si>
    <t>Rodionov, AV; Nosov, NN; Kim, ES; Machs, EM; Punina, EO; Probatova, NS</t>
  </si>
  <si>
    <t>Rodionov, A. V.; Nosov, N. N.; Kim, E. S.; Machs, E. M.; Punina, E. O.; Probatova, N. S.</t>
  </si>
  <si>
    <t>The origin of polyploid genomes of bluegrasses Poa L. and Gene flow between northern pacific and sub-Antarctic Islands</t>
  </si>
  <si>
    <t>RUSSIAN JOURNAL OF GENETICS</t>
  </si>
  <si>
    <t>NUCLEAR RIBOSOMAL DNA; PHYLOGENETIC ANALYSIS; CONCERTED EVOLUTION; CHROMOSOME-NUMBERS; CONTACT SITES; NEW-ZEALAND; POACEAE; GRASSES; POOIDEAE; RNA</t>
  </si>
  <si>
    <t>The involvement of present-day diploid bluegrass species in the formation of polyploid genomes was investigated using comparison of sequences of internal transcribed spacers ITS1 and ITS2, and the 5.8S rRNA sequence. It was demonstrated that highly polyploid New Zealand bluegrasses, P. cita (2n = 84; ca. 96 to 100), P. chathamica (2n = 112), and P. litorosa (2n 263-266) formed separate highly supported clade together with tetraploids (2n = 28) P. intrusa, P. anceps, and P. triodioides (Austrofestuca littoralis). Among the diploid species (2n = 14), the closest relatives of these species, as well as of the polyploid species of section Poa, are the genomes of Eurasian species P. remota, P. chaixii (sect. Homalopoa), P. densa (sect. Bolbophorum), and P. sibirica (sect. Macropoa). Nuclear genomes of polyploid Stenopoa, Tichopoa, Oreinos, and Secundae are definitely related to the genome of Arctic species P. pseudoabbreviata (sect. Abbreviatae). On the contrary, judging by the genes for nuclear 45S rRNA, genomes of diploid P. trivialis (sect. Pandemos), P. annua, and P. supina (sect. Ochlopoa both) are only remotely related to the genomes of highly polyploid species (p-distances between them and other bluegrass species from different sections of subgenus Poa constitute 6-10% and 11-15%, respectively). The conclusion on the relationships between highly polyploid and diploid bluegrass species was tested using analysis of synapomorphic mutations in the 5.8S rRNA gene. It was demonstrated that genomes of Poa eminens (2n = 42) and P. schischkinii (2n = 70) (sect. Arctopoa both) were noticeably different in ITS regions from the genomes of the members of the type subgenus Poa. A comparison of the Arctopoa ITS regions showed that the differences between them constituted only 0.2%. At the same time, p-distances between the Arctopoa ITS and those from the species belonging to other sections of the genus Poa varied from 5 to 14%. South American species P. chonotica (sect. Andinae) (= Nicoraepoa chonotica) (2n = 42) was found to be related to Arctagrostis, Festucella, and Hookerochloa, being at the same time quite distant from the other species of the genus Poa. Polymorphic in chromosome number highly polyploid species of Northern Hemisphere, P. arctica (2n = 42 to 106), P. turneri (2n = 42, 63 to 64), and P. smirnowii (2n = 42, 70) (sect. Malacanthae) are relative to a large group of tetraploid (2n = 28) endemic bluegrass species from New Zealand and sub-Antarctic islands (P. novaezelandiae and allied species).</t>
  </si>
  <si>
    <t>[Rodionov, A. V.; Nosov, N. N.; Kim, E. S.; Machs, E. M.; Punina, E. O.] Russian Acad Sci, Komarov Bot Inst, St Petersburg 197376, Russia; [Probatova, N. S.] Russian Acad Sci, Inst Biol &amp; Soil Sci, Vladivostok 690022, Russia</t>
  </si>
  <si>
    <t>Russian Academy of Sciences; Komarov Botanical Institute, Russian Academy of Sciences; Russian Academy of Sciences; Federal Scientific Center of the East Asia Terrestrial Biodiversity, Far Eastern Branch of the Russian Academy of Sciences</t>
  </si>
  <si>
    <t>Rodionov, AV (corresponding author), Russian Acad Sci, Komarov Bot Inst, St Petersburg 197376, Russia.</t>
  </si>
  <si>
    <t>avrodionov@mail.ru; probatova@ibss.dvo.ru</t>
  </si>
  <si>
    <t>Rodionov, Alexander/AAH-9256-2019; Punina, Elizaveta Olgerdovna/JCE-5036-2023; Punina, Elizaveta Olgerdovna/J-8347-2018; Machs, Eduard M/J-4970-2018; Rodionov, Alexander/J-2492-2013</t>
  </si>
  <si>
    <t>Punina, Elizaveta/0000-0001-9745-4604; Probatova, Nina/0000-0002-3279-4824; Rodionov, Alexander/0000-0003-1146-1622</t>
  </si>
  <si>
    <t>Russian Foundation for Basic Research [09-04-01469]; Presidium of the Russian Academy of Sciences Dynamics of the Gene Pools</t>
  </si>
  <si>
    <t>Russian Foundation for Basic Research(Russian Foundation for Basic Research (RFBR)Spanish Government); Presidium of the Russian Academy of Sciences Dynamics of the Gene Pools</t>
  </si>
  <si>
    <t>This work was supported by the Russian Foundation for Basic Research (grant no. 09-04-01469) and by the Program of the Presidium of the Russian Academy of Sciences Dynamics of the Gene Pools.</t>
  </si>
  <si>
    <t>PLEIADES HOUSE, 7 W 54 ST, NEW YORK, NY, UNITED STATES</t>
  </si>
  <si>
    <t>1022-7954</t>
  </si>
  <si>
    <t>1608-3369</t>
  </si>
  <si>
    <t>RUSS J GENET+</t>
  </si>
  <si>
    <t>Russ. J. Genet.</t>
  </si>
  <si>
    <t>10.1134/S1022795410120021</t>
  </si>
  <si>
    <t>Genetics &amp; Heredity</t>
  </si>
  <si>
    <t>695NQ</t>
  </si>
  <si>
    <t>WOS:000285378600002</t>
  </si>
  <si>
    <t>Ucha, IR; González-Davila, M; Santana-Casiano, M; Rueda, MJ; Llinás, O</t>
  </si>
  <si>
    <t>Ucha, Ivan R.; Gonzalez-Davila, Melchor; Santana-Casiano, Magdalena; Jose Rueda, Maria; Llinas, Octavio</t>
  </si>
  <si>
    <t>Carbonate system distribution south of the Canary Islands in spring 2000</t>
  </si>
  <si>
    <t>SCIENTIA MARINA</t>
  </si>
  <si>
    <t>14th Iberian Seminar on Marine Chemistry</t>
  </si>
  <si>
    <t>SEP 22-24, 2008</t>
  </si>
  <si>
    <t>Cadiz, SPAIN</t>
  </si>
  <si>
    <t>carbonate chemistry; water masses; eddies; nutrients; oxygen; Canary Islands</t>
  </si>
  <si>
    <t>NORTH-ATLANTIC OCEAN; WATER MASSES; INORGANIC CARBON; TRANSITION ZONE; MIXING ANALYSIS; CIRCULATION; NUTRIENTS; SEAWATER; EDDIES; OXYGEN</t>
  </si>
  <si>
    <t>The measurement of the surface molar fraction of CO2 (atmosphere and sea water) and water column pH(T) total alkalinity A(T) nutrients and oxygen were carried out in spring 2000 at the European Station for Time Series in the Ocean at the Canary Islands (ESTOC) and in the area located south of the Canary Islands The significant eddy field strongly affecting the pattern of the chemical and carbonate system variables is presented and discussed A mixing model based on the thermohaline properties of the water masses was established The model explained over 97% of the variability found in the distribution of the chemical variables Intermediate waters to the south of the Canary Islands show a high contribution of Antarctic waters with about 5% of pure Antarctic Intermediate Water Moreover the surface structure affected the atmosphere ocean carbon dioxide exchange making the area act as a CO2 sink taking up 9 1 mmol m (2) week (1) corresponding to 0 03 Mt of CO2 which were taken up by the area in a week at the end of March 2000</t>
  </si>
  <si>
    <t>[Ucha, Ivan R.; Gonzalez-Davila, Melchor; Santana-Casiano, Magdalena] Univ Las Palmas Gran Canaria, Dept Quim, Las Palmas Gran Canaria 35017, Spain; [Jose Rueda, Maria; Llinas, Octavio] Inst Canario Ciencias Marinas, Las Palmas Gran Canaria, Spain</t>
  </si>
  <si>
    <t>Universidad de Las Palmas de Gran Canaria</t>
  </si>
  <si>
    <t>Ucha, IR (corresponding author), Univ Las Palmas Gran Canaria, Dept Quim, Campus Tafira, Las Palmas Gran Canaria 35017, Spain.</t>
  </si>
  <si>
    <t>DAVILA, MELCHOR GONZALEZ/K-4958-2014; CASIANO, JUANA MAGDALENA SANTANA/K-5058-2014; GONZALEZ-DAVILA, MELCHOR/K-5058-2014</t>
  </si>
  <si>
    <t>CASIANO, JUANA MAGDALENA SANTANA/0000-0002-7930-7683; GONZALEZ-DAVILA, MELCHOR/0000-0003-3230-8985</t>
  </si>
  <si>
    <t>CONSEJO SUPERIOR INVESTIGACIONES CIENTIFICAS-CSIC</t>
  </si>
  <si>
    <t>VITRUVIO 8, 28006 MADRID, SPAIN</t>
  </si>
  <si>
    <t>0214-8358</t>
  </si>
  <si>
    <t>1886-8134</t>
  </si>
  <si>
    <t>SCI MAR</t>
  </si>
  <si>
    <t>Sci. Mar.</t>
  </si>
  <si>
    <t>10.3989/scimar.2010.74s1033</t>
  </si>
  <si>
    <t>692PI</t>
  </si>
  <si>
    <t>WOS:000285164400004</t>
  </si>
  <si>
    <t>Fan, K</t>
  </si>
  <si>
    <t>Fan, Ke</t>
  </si>
  <si>
    <t>A Prediction Model for Atlantic Named Storm Frequency Using a Year-by-Year Increment Approach</t>
  </si>
  <si>
    <t>WEATHER AND FORECASTING</t>
  </si>
  <si>
    <t>WESTERN NORTH PACIFIC; TROPICAL CYCLONE ACTIVITY; ANTARCTIC OSCILLATION; HURRICANE FREQUENCY; FORECAST MODEL; ANNULAR MODES; CHINA; PRESSURE</t>
  </si>
  <si>
    <t>This paper presents a year-by-year incremental approach to forecasting the Atlantic named storm frequency (ATSF) for the hurricane season (1 June-30 November). The year-by-year increase or decrease in the ATSF is first forecasted to yield a net ATSF prediction. Six key predictors for the year-by-year increment in the number of Atlantic named tropical storms have been identified that are available before 1 May. The forecast model for the year-by-year increment of the ATSF is first established using a multilinear regression method based on data taken from the years 1965-99, and the forecast model of the ATSF is then derived. The prediction model for the ATSF shows good prediction skill. Compared to the climatological average mean absolute error (MAE) of 4.1, the percentage improvement in the MAE is 29% for the hindcast period of 200409 and 46% for the cross-validation test from 1985 to 2009 (26 yr). This work demonstrates that the year-by-year incremental approach has the potential to improve the operational forecasting skill for the ATSF.</t>
  </si>
  <si>
    <t>[Fan, Ke] Chinese Acad Sci, Inst Atmospher Phys, Nansen Zhu Int Res Ctr, Beijing 100029, Peoples R China; [Fan, Ke] Chinese Acad Sci, Key Lab Reg Climate Environm Res Temperate E Asia, Beijing 100029, Peoples R China</t>
  </si>
  <si>
    <t>Chinese Academy of Sciences; Institute of Atmospheric Physics, CAS; Chinese Academy of Sciences</t>
  </si>
  <si>
    <t>Fan, K (corresponding author), Chinese Acad Sci, Inst Atmospher Phys, Nansen Zhu Int Res Ctr, Beijing 100029, Peoples R China.</t>
  </si>
  <si>
    <t>fanke@mail.iap.ac.cn</t>
  </si>
  <si>
    <t>Fan, Ke/AAJ-2315-2020; Fan, K/GXH-3734-2022</t>
  </si>
  <si>
    <t>National Natural Science Foundation of China [40775049]; Major State Basic Research Development Program of China (973 Program) [2009CB421406]</t>
  </si>
  <si>
    <t>National Natural Science Foundation of China(National Natural Science Foundation of China (NSFC)); Major State Basic Research Development Program of China (973 Program)(National Basic Research Program of China)</t>
  </si>
  <si>
    <t>The author would like to thank three reviewers and Prof. Huijun Wang and Prof. Dalin Zhang for good comments, and thank Dr. Qing Yan and Dr. Donglin Guo for assistance with nonlinear Poisson regression procedure. This research was jointly supported by the National Natural Science Foundation of China (Grant 40775049) and the Major State Basic Research Development Program of China (973 Program) under Grant 2009CB421406, and the research program for the National and Chinese Academy of Science excellent Ph.D. dissertation in China.</t>
  </si>
  <si>
    <t>0882-8156</t>
  </si>
  <si>
    <t>1520-0434</t>
  </si>
  <si>
    <t>WEATHER FORECAST</t>
  </si>
  <si>
    <t>Weather Forecast.</t>
  </si>
  <si>
    <t>10.1175/2010WAF2222406.1</t>
  </si>
  <si>
    <t>702AS</t>
  </si>
  <si>
    <t>WOS:000285867000014</t>
  </si>
  <si>
    <t>Nomura, D; Eicken, H; Gradinger, R; Shirasawa, K</t>
  </si>
  <si>
    <t>Nomura, Daiki; Eicken, Hajo; Gradinger, Rolf; Shirasawa, Kunio</t>
  </si>
  <si>
    <t>Rapid physically driven inversion of the air-sea ice CO2 flux in the seasonal landfast ice off Barrow, Alaska after onset of surface melt</t>
  </si>
  <si>
    <t>CONTINENTAL SHELF RESEARCH</t>
  </si>
  <si>
    <t>Sea ice; Brine; CO2 flux; pCO(2); Chukchi sea; Arctic ocean</t>
  </si>
  <si>
    <t>CARBONATE CHEMISTRY DYNAMICS; INORGANIC CARBON; SEAWATER; DIOXIDE; WATER; DISSOCIATION; ACID; GAS; THERMODYNAMICS; CONSTANTS</t>
  </si>
  <si>
    <t>The air-sea ice CO2 flux was measured over landfast sea ice in the Chukchi Sea, off Barrow, Alaska in late May 2008 with a chamber technique. The ice cover transitioned from a cold early spring to a warm late spring state, with an increase in air temperature and incipient surface melt. During melt, brine salinity and brine dissolved inorganic carbon concentration (DIC) decreased from 67.3 to 18.7 and 3977.6 to 1163.5 mu mol kg(-1), respectively. In contrast, the salinity and DIC of under-ice water at depths of 3 and 5 m below the ice surface remained almost constant with average values of 32.4 +/- 0.3 (standard deviation) and 2163.1 +/- 16.8 mu mol kg(-1), respectively. The air-sea ice CO2 flux decreased from +0.7 to -1.0 mmol m(-2) day(-1) (where a positive value indicates CO2 being released to the atmosphere from the ice surface). During this early to late spring transition, brought on by surface melt, sea ice shifted from a source to a sink for atmospheric CO2, with a rapid decrease of brine DIC likely associated with a decrease in the partial pressure of CO2 of brine from a supersaturated to an undersaturated state compared to the atmosphere. Formation of superimposed ice coincident with melt was not sufficient to shut down ice-air gas exchange. (C) 2010 Elsevier Ltd. All rights reserved.</t>
  </si>
  <si>
    <t>[Nomura, Daiki] Natl Inst Polar Res, Tokyo 1908518, Japan; [Nomura, Daiki; Shirasawa, Kunio] Hokkaido Univ, Inst Low Temp Sci, Kita Ku, Sapporo, Hokkaido 0600819, Japan; [Nomura, Daiki] Hokkaido Univ, Grad Sch Environm Sci, Sapporo, Hokkaido 0600810, Japan; [Nomura, Daiki] Hokkaido Univ, Fac Environm Earth Sci, Sapporo, Hokkaido 0600810, Japan; [Eicken, Hajo] Univ Alaska Fairbanks, Inst Geophys, Fairbanks, AK 99775 USA; [Gradinger, Rolf] Univ Alaska Fairbanks, Sch Fisheries &amp; Ocean Sci, Fairbanks, AK 99775 USA</t>
  </si>
  <si>
    <t>Research Organization of Information &amp; Systems (ROIS); National Institute of Polar Research (NIPR) - Japan; Hokkaido University; Hokkaido University; Hokkaido University; University of Alaska System; University of Alaska Fairbanks; University of Alaska System; University of Alaska Fairbanks</t>
  </si>
  <si>
    <t>Nomura, D (corresponding author), Natl Inst Polar Res, 10-3 Midori Cho, Tokyo 1908518, Japan.</t>
  </si>
  <si>
    <t>nomura.daiki@nipr.ac.jp</t>
  </si>
  <si>
    <t>Gradinger, Rolf/E-4965-2015</t>
  </si>
  <si>
    <t>Gradinger, Rolf/0000-0001-6035-3957</t>
  </si>
  <si>
    <t>Japan Society for the Promotion of Science [195968]; University of Alaska Fairbanks; International Antarctic Institute (IAI) of Hokkaido University; National Science Foundation [OPP-0632398, 0805703]; Directorate For Geosciences; Office of Polar Programs (OPP) [0856867] Funding Source: National Science Foundation</t>
  </si>
  <si>
    <t>Japan Society for the Promotion of Science(Ministry of Education, Culture, Sports, Science and Technology, Japan (MEXT)Japan Society for the Promotion of Science); University of Alaska Fairbanks; International Antarctic Institute (IAI) of Hokkaido University; National Science Foundation(National Science Foundation (NSF)); Directorate For Geosciences; Office of Polar Programs (OPP)(National Science Foundation (NSF)NSF - Directorate for Geosciences (GEO))</t>
  </si>
  <si>
    <t>Prof. J. L. Tison and two anonymous referees are thanked for their constructive comments that improved the paper. This study was supported by the Research Fellowship of the Japan Society for the Promotion of Science (#195968) and funds from University of Alaska Fairbanks and International Antarctic Institute (IAI) of Hokkaido University. Support by the National Science Foundation (OPP-0632398 and 0805703) is gratefully acknowledged. We express heartfelt thanks to all the members of the GEOS/MSL 695 field techniques in the interdisciplinary sea-ice research, jointly with University of Alaska Fairbanks and Hokkaido University for sampling assistance and for analyzing samples. Thanks also to Prof. H. Y. Inoue, Prof. M. Fukuchi, Prof. T. Odate, Dr. T. Toyota and Dr. S. Aoki for providing measurement devices and for their useful comments.</t>
  </si>
  <si>
    <t>0278-4343</t>
  </si>
  <si>
    <t>1873-6955</t>
  </si>
  <si>
    <t>CONT SHELF RES</t>
  </si>
  <si>
    <t>Cont. Shelf Res.</t>
  </si>
  <si>
    <t>NOV 30</t>
  </si>
  <si>
    <t>10.1016/j.csr.2010.09.014</t>
  </si>
  <si>
    <t>699KU</t>
  </si>
  <si>
    <t>WOS:000285663100002</t>
  </si>
  <si>
    <t>Ronconi, RA; Ryan, PG; Ropert-Coudert, Y</t>
  </si>
  <si>
    <t>Ronconi, Robert A.; Ryan, Peter G.; Ropert-Coudert, Yan</t>
  </si>
  <si>
    <t>Diving of Great Shearwaters (Puffinus gravis) in Cold and Warm Water Regions of the South Atlantic Ocean</t>
  </si>
  <si>
    <t>FORAGING ECOLOGY; DIVE DEPTH; TASMANIA; FISHERY; DIET</t>
  </si>
  <si>
    <t>Background: Among the most widespread seabirds in the world, shearwaters of the genus Puffinus are also some of the deepest diving members of the Procellariiformes. Maximum diving depths are known for several Puffinus species, but dive depths or diving behaviour have never been recorded for great shearwaters (P. gravis), the largest member of this genus. This study reports the first high sampling rate (2 s) of depth and diving behaviour for Puffinus shearwaters. Methodology/Principal Findings: Time-depth recorders (TDRs) were deployed on two female great shearwaters nesting on Inaccessible Island in the South Atlantic Ocean, recording 10 consecutive days of diving activity. Remote sensing imagery and movement patterns of 8 males tracked by satellite telemetry over the same period were used to identify probable foraging areas used by TDR-equipped females. The deepest and longest dive was to 18.9 m and lasted 40 s, but most (&gt;50%) dives were &lt;2 m deep. Diving was most frequent near dawn and dusk, with &lt;0.5% of dives occurring at night. The two individuals foraged in contrasting oceanographic conditions, one in cold (8 to 10 degrees C) water of the Sub-Antarctic Front, likely 1000 km south of the breeding colony, and the other in warmer (10 to 16 degrees C) water of the Sub-tropical Frontal Zone, at the same latitude as the colony, possibly on the Patagonian Shelf, 4000 km away. The cold water bird spent fewer days commuting, conducted four times as many dives as the warm water bird, dived deeper on average, and had a greater proportion of bottom time during dives. Conclusions/Significance: General patterns of diving activity were consistent with those of other shearwaters foraging in cold and warm water habitats. Great shearwaters are likely adapted to forage in a wide range of oceanographic conditions, foraging mostly with shallow dives but capable of deep diving.</t>
  </si>
  <si>
    <t>[Ronconi, Robert A.] Dalhousie Univ, Dept Biol, Halifax, NS, Canada; [Ryan, Peter G.] Univ Cape Town, Percy Fitzpatrick Inst African Ornithol, DST NRF Ctr Excellence, ZA-7700 Rondebosch, South Africa; [Ropert-Coudert, Yan] Inst Pluridisciplinaire Hubert Curien, Dept Ecol Physiol &amp; Ethol, Strasbourg, France</t>
  </si>
  <si>
    <t>Dalhousie University; National Research Foundation - South Africa; University of Cape Town</t>
  </si>
  <si>
    <t>Ronconi, RA (corresponding author), Dalhousie Univ, Dept Biol, Halifax, NS, Canada.</t>
  </si>
  <si>
    <t>rronconi@dal.ca</t>
  </si>
  <si>
    <t>European Commission; BirdLife International; United States Fish and Wildlife Service; University of Cape Town; Killam Trust; Dalhousie University</t>
  </si>
  <si>
    <t>European Commission(European Union (EU)European Commission Joint Research Centre); BirdLife International; United States Fish and Wildlife Service(US Fish &amp; Wildlife Service); University of Cape Town; Killam Trust; Dalhousie University</t>
  </si>
  <si>
    <t>Financial support was provided by South African National Antarctic Programme, the European Commission's EDF-9 through the South Atlantic Invasive Species project, BirdLife International, the United States Fish and Wildlife Service, and the University of Cape Town. R. A. R. was supported by the Killam Trust, Dalhousie University. The funders had no role in study design, data collection and analysis, decision to publish, or preparation of the manuscript.</t>
  </si>
  <si>
    <t>e15508</t>
  </si>
  <si>
    <t>10.1371/journal.pone.0015508</t>
  </si>
  <si>
    <t>687DK</t>
  </si>
  <si>
    <t>WOS:000284755100088</t>
  </si>
  <si>
    <t>Silver, MW; Bargu, S; Coale, SL; Benitez-Nelson, CR; Garcia, AC; Roberts, KJ; Sekula-Wood, E; Bruland, KW; Coale, KH</t>
  </si>
  <si>
    <t>Silver, Mary W.; Bargu, Sibel; Coale, Susan L.; Benitez-Nelson, Claudia R.; Garcia, Ana C.; Roberts, Kathryn J.; Sekula-Wood, Emily; Bruland, Kenneth W.; Coale, Kenneth H.</t>
  </si>
  <si>
    <t>Toxic diatoms and domoic acid in natural and iron enriched waters of the oceanic Pacific</t>
  </si>
  <si>
    <t>carbon sequestration; toxicity; harmful algal blooms</t>
  </si>
  <si>
    <t>PSEUDO-NITZSCHIA BACILLARIOPHYCEAE; LINKED-IMMUNOSORBENT-ASSAY; PHYTOPLANKTON; CALIFORNIA; SHELLFISH; BLOOMS; GROWTH; GENUS; IDENTIFICATION; FERTILIZATION</t>
  </si>
  <si>
    <t>Near-surface waters ranging from the Pacific subarctic (58 degrees N) to the Southern Ocean (66 degrees S) contain the neurotoxin domoic acid (DA), associated with the diatom Pseudo-nitzschia. Of the 35 stations sampled, including ones from historic iron fertilization experiments (SOFeX, IronEx II), we found Pseudo-nitzschia at 34 stations and DA measurable at 14 of the 26 stations analyzed for DA. Toxin ranged from 0.3 fg.cell(-1) to 2 pg.cell(-1), comparable with levels found in similar-sized cells from coastal waters. In the western subarctic, descent of intact Pseudo-nitzschia likely delivered significant amounts of toxin (up to 4 mu g of DA.m(-2).d(-1)) to underlying mesopelagic waters (150-500 m). By reexamining phytoplankton samples from SOFeX and IronEx II, we found substantial amounts of DA associated with Pseudo-nitzschia. Indeed, at SOFeX in the Antarctic Pacific, DA reached 220 ng.L-1, levels at which animal mortalities have occurred on continental shelves. Iron ocean fertilization also occurs naturally and may have promoted blooms of these ubiquitous algae over previous glacial cycles during deposition of iron-rich aerosols. Thus, the neurotoxin DA occurs both in coastal and oceanic waters, and its concentration, associated with changes in Pseudo-nitzschia abundance, likely varies naturally with climate cycles, as well as with artificial iron fertilization. Given that iron fertilization in iron-depleted regions of the sea has been proposed to enhance phytoplankton growth and, thereby, both reduce atmospheric CO2 and moderate ocean acidification in surface waters, consideration of the potentially serious ecosystem impacts associated with DA is prudent.</t>
  </si>
  <si>
    <t>[Silver, Mary W.; Coale, Susan L.; Roberts, Kathryn J.; Bruland, Kenneth W.] Univ Calif Santa Cruz, Inst Marine Sci, Santa Cruz, CA 95064 USA; [Bargu, Sibel; Garcia, Ana C.] Louisiana State Univ, Dept Oceanog &amp; Coastal Sci, Sch Coast &amp; Environm, Baton Rouge, LA 70803 USA; [Benitez-Nelson, Claudia R.; Sekula-Wood, Emily] Univ S Carolina, Marine Sci Program, Columbia, SC 29208 USA; [Benitez-Nelson, Claudia R.; Sekula-Wood, Emily] Univ S Carolina, Dept Earth &amp; Ocean Sci, Columbia, SC 29208 USA; [Coale, Kenneth H.] Moss Landing Marine Labs, Moss Landing, CA 95039 USA</t>
  </si>
  <si>
    <t>University of California System; University of California Santa Cruz; Louisiana State University System; Louisiana State University; University of South Carolina System; University of South Carolina Columbia; University of South Carolina System; University of South Carolina Columbia; Moss Landing Marine Laboratories</t>
  </si>
  <si>
    <t>Silver, MW (corresponding author), Univ Calif Santa Cruz, Inst Marine Sci, Santa Cruz, CA 95064 USA.</t>
  </si>
  <si>
    <t>msilver@ucsc.edu</t>
  </si>
  <si>
    <t>Benitez-Nelson, Claudia/0000-0002-1004-5048</t>
  </si>
  <si>
    <t>GOA-NSF [OCE-0741481]; Vertigo-NSF [OCE-0327640]; SOFeX-National Science Foundation [OCE-9911481, OCE-9530762]; Department of Energy [DE-FG03-01ER63093]; IronEx II-US Office of Naval Research [N00014-94-1-0125]; National Science Foundation [OCE-90-9217518]; [6491879]</t>
  </si>
  <si>
    <t>GOA-NSF; Vertigo-NSF; SOFeX-National Science Foundation; Department of Energy(United States Department of Energy (DOE)); IronEx II-US Office of Naval Research(Office of Naval Research); National Science Foundation(National Science Foundation (NSF));</t>
  </si>
  <si>
    <t>Invaluable help was provided by S. Bates, who reviewed the manuscript; N. Lundholm, who confirmed Pseudonitzschia species in Iron-Ex II and SOFeX samples; K. Buessler for his leading role on VERTIGO cruises; and S. Tanner, S. Smith, and T. Coale for invaluable assistance at sea on Vertigo and GOA cruises. We acknowledge helpful comments of four anonymous reviewers of this manuscript. Funding sources included GOA-NSF OCE-0741481; Vertigo-NSF OCE-0327640; SOFeX-National Science Foundation OCE-9911481 (to K.H.C.) and OCE-9530762 (to K.H.C.); the Department of Energy DE-FG03-01ER63093 and Subcontract 6491879 (to K.H.C.); IronEx II-US Office of Naval Research Grant N00014-94-1-0125 (to K.H.C.), and by National Science Foundation Grant OCE-90-9217518 (to K.H.C.).</t>
  </si>
  <si>
    <t>10.1073/pnas.1006968107</t>
  </si>
  <si>
    <t>687ET</t>
  </si>
  <si>
    <t>WOS:000284762400035</t>
  </si>
  <si>
    <t>Clarke, A; Crame, JA</t>
  </si>
  <si>
    <t>Clarke, Andrew; Crame, J. Alistair</t>
  </si>
  <si>
    <t>Evolutionary dynamics at high latitudes: speciation and extinction in polar marine faunas</t>
  </si>
  <si>
    <t>PHILOSOPHICAL TRANSACTIONS OF THE ROYAL SOCIETY B-BIOLOGICAL SCIENCES</t>
  </si>
  <si>
    <t>biogeography; diversity; ice-sheet; latitude; Milankovitch; temperature</t>
  </si>
  <si>
    <t>CLIMATE-CHANGE; BENTHIC FAUNA; SEA; PATTERNS; BIODIVERSITY; BIOGEOGRAPHY; ANTARCTICA; DIVERSITY; ORIGIN; INVERTEBRATES</t>
  </si>
  <si>
    <t>Ecologists have long been fascinated by the flora and fauna of extreme environments. Physiological studies have revealed the extent to which lifestyle is constrained by low temperature but there is as yet no consensus on why the diversity of polar assemblages is so much lower than many tropical assemblages. The evolution of marine faunas at high latitudes has been influenced strongly by oceanic cooling during the Cenozoic and the associated onset of continental glaciations. Glaciation eradicated many shallow-water habitats, especially in the Southern Hemisphere, and the cooling has led to widespread extinction in some groups. While environmental conditions at glacial maxima would have been very different from those existing today, fossil evidence indicates that some lineages extend back well into the Cenozoic. Oscillations of the ice-sheet on Milankovitch frequencies will have periodically eradicated and exposed continental shelf habitat, and a full understanding of evolutionary dynamics at high latitude requires better knowledge of the links between the faunas of the shelf, slope and deep-sea. Molecular techniques to produce phylogenies, coupled with further palaeontological work to root these phylogenies in time, will be essential to further progress.</t>
  </si>
  <si>
    <t>[Clarke, Andrew; Crame, J. Alistair] British Antarctic Survey, Cambridge CB3 0ET, England</t>
  </si>
  <si>
    <t>Clarke, A (corresponding author), British Antarctic Survey, Madingley Rd, Cambridge CB3 0ET, England.</t>
  </si>
  <si>
    <t>accl@bas.ac.uk</t>
  </si>
  <si>
    <t>0962-8436</t>
  </si>
  <si>
    <t>1471-2970</t>
  </si>
  <si>
    <t>PHILOS T R SOC B</t>
  </si>
  <si>
    <t>Philos. Trans. R. Soc. B-Biol. Sci.</t>
  </si>
  <si>
    <t>NOV 27</t>
  </si>
  <si>
    <t>10.1098/rstb.2010.0270</t>
  </si>
  <si>
    <t>673LU</t>
  </si>
  <si>
    <t>WOS:000283665200007</t>
  </si>
  <si>
    <t>Anilkumar, N; Mohan, R; Shukla, SK; Pednekar, SM; Sudhakar, M; Ravindra, R</t>
  </si>
  <si>
    <t>Anilkumar, N.; Mohan, Rahul; Shukla, Sunil Kumar; Pednekar, S. M.; Sudhakar, M.; Ravindra, R.</t>
  </si>
  <si>
    <t>Signature of coastal upwelling in Prydz Bay, East Antarctica during austral summer 2006</t>
  </si>
  <si>
    <t>Austral summer; coastal upwelling; East Antarctica; melt water; Prydz Bay; water mass; winter water</t>
  </si>
  <si>
    <t>SOUTHEASTERN WEDDELL SEA; OCEAN; WATER; REGION; DEPTH; ICE</t>
  </si>
  <si>
    <t>This study discusses the upwelling observed in Prydz Bay, coastal waters of East Antarctica. In February 2006, as a part of expedition to Larsemann Hills (East Antarctica) three hourly conductivity, temperature, depth (CTD) observations were carried out for three consecutive days in Prydz Bay coastal waters. This helped to understand temporal variability of hydrographic parameters in this region. An upward movement of subsurface waters was identified at around 13:30 h on 24 and 08:00 h on 26 February 2006. In situ micro algal concentration indicated maximum chlorophyll, diatom and green algal concentration at 13:03 h on 24 February. This study suggests that major cause for upward movement of water in the Prydz Bay area could be the influence of local wind forcing. XBT observations made outside the Prydz Bay showed temperature variations from -1.7 degrees C to 0.4 degrees C between 50 and 150 m. At 64 degrees S 70 degrees E in the north south transect, a temperature minimum of similar to-1.68 degrees C was observed at 97 m. This could probably be due to remnants of the previous winter water. Circum polar deep water was identified outside the Prydz Bay area whereas features of high salinity shelf water were identified inside the Bay.</t>
  </si>
  <si>
    <t>[Anilkumar, N.; Mohan, Rahul; Shukla, Sunil Kumar; Pednekar, S. M.; Sudhakar, M.; Ravindra, R.] Natl Ctr Antarctic &amp; Ocean Res, Headland Sada 403804, Goa, India</t>
  </si>
  <si>
    <t>Anilkumar, N (corresponding author), Natl Ctr Antarctic &amp; Ocean Res, Headland Sada 403804, Goa, India.</t>
  </si>
  <si>
    <t>anil3321@yahoo.co.in</t>
  </si>
  <si>
    <t>Shukla, Sunil/GLR-0323-2022</t>
  </si>
  <si>
    <t>Shukla, Sunil/0000-0002-7517-5564</t>
  </si>
  <si>
    <t>Ministry of Earth Sciences</t>
  </si>
  <si>
    <t>We are grateful to the Ministry of Earth Sciences for their support in the implementation of this programme. All scientists, officers and crew of the expedition onboard A.A. Boris Petrov are acknowledged for their cooperation and help. This is NCAOR contribution no. 039/2010.</t>
  </si>
  <si>
    <t>NOV 25</t>
  </si>
  <si>
    <t>691LN</t>
  </si>
  <si>
    <t>WOS:000285081400027</t>
  </si>
  <si>
    <t>Srivastava, R; Ramesh, R; Jani, RA; Anilkumar, N; Sudhakar, M</t>
  </si>
  <si>
    <t>Srivastava, Rohit; Ramesh, R.; Jani, R. A.; Anilkumar, N.; Sudhakar, M.</t>
  </si>
  <si>
    <t>Stable oxygen, hydrogen isotope ratios and salinity variations of the surface Southern Indian Ocean waters</t>
  </si>
  <si>
    <t>Global meteoric water line; mass spectrometry; Southern Indian Ocean; stable oxygen and hydrogen isotopes</t>
  </si>
  <si>
    <t>TEMPERATURE; ANTARCTICA; CARBON; MASSES; SECTOR; ICE</t>
  </si>
  <si>
    <t>Stable isotope (delta O-18 and delta D) and salinity measurements were made on the surface waters collected from the Southern Indian Ocean during the austral summer (25 January to 1 April 2006) onboard R/V Akademik Boris Petrov to study the relative dominance of various hydrological processes, viz, evaporation, precipitation, melting and freezing over different latitudes. The region between 41 degrees S and 45 degrees S is a transition zone: the region lying north of 41 degrees S is dominated by evaporation/precipitation process whereas that south of 45 degrees S (up to Antarctica) is dominated by melting/freezing processes. Further, the combined study of stable oxygen and hydrogen isotope (delta O-18 and delta D) confirms that the Southern Indian Ocean evaporates in non-equilibrium conditions.</t>
  </si>
  <si>
    <t>[Srivastava, Rohit; Ramesh, R.; Jani, R. A.] Phys Res Lab, Ahmadabad 380009, Gujarat, India; [Anilkumar, N.; Sudhakar, M.] Natl Ctr Antarctic &amp; Ocean Res, Vasco Da Gama 403804, Goa, India</t>
  </si>
  <si>
    <t>Department of Space (DoS), Government of India; Physical Research Laboratory - India; Ministry of Earth Sciences (MoES) - India; National Centre for Polar and Ocean Research (NCPOR)</t>
  </si>
  <si>
    <t>Ramesh, R (corresponding author), Phys Res Lab, Ahmadabad 380009, Gujarat, India.</t>
  </si>
  <si>
    <t>Srivastava, Rohit/AAE-1631-2019</t>
  </si>
  <si>
    <t>Srivastava, Rohit/0000-0002-9040-3764</t>
  </si>
  <si>
    <t>WOS:000285081400028</t>
  </si>
  <si>
    <t>Prakash, S; Ramesh, R; Sheshshayee, MS; Mohan, R; Sudhakar, M</t>
  </si>
  <si>
    <t>Prakash, Satya; Ramesh, R.; Sheshshayee, M. S.; Mohan, Rahul; Sudhakar, M.</t>
  </si>
  <si>
    <t>Effect of high level iron enrichment on potential nitrogen uptake by marine plankton in the Southern Ocean</t>
  </si>
  <si>
    <t>Iron enrichment; marine plankton; nitrogen uptake; Southern Ocean</t>
  </si>
  <si>
    <t>PHYTOPLANKTON COMMUNITY STRUCTURE; PRIMARY PRODUCTIVITY; INDIAN SECTOR; UPTAKE REGIME; FERTILIZATION; GROWTH</t>
  </si>
  <si>
    <t>Iron fertilization of the Southern Ocean is believed to counter the increasing CO2 concentration in the atmosphere and the consequent global warming. Though a number of large scale iron enrichment experiments have been done in the recent past in different parts of the world ocean, little effort has been made to understand the effect of iron enrichment on nitrogen uptake rates and f-ratios. Here we assess the effect of iron addition on N-uptake rates and f-ratio in the Indian sector of the Southern Ocean. This study shows, in contrast to the earlier belief, that iron addition enhances not only nitrate uptake (similar to 3x) but it causes a significant increase in ammonium (similar to 2x) and urea (similar to 3x) uptakes as well. Also, since iron enrichment caused significant increase in the uptake of all N-substrates, its effect on f-ratio was insignificant.</t>
  </si>
  <si>
    <t>[Sheshshayee, M. S.] Univ Agr Sci, Dept Crop Physiol, Bangalore 560065, Karnataka, India; [Mohan, Rahul; Sudhakar, M.] Natl Ctr Antarctic &amp; Ocean Res, Vasco Da Gama 403804, Goa, India; [Prakash, Satya; Ramesh, R.] Phys Res Lab, Ahmadabad 380009, Gujarat, India</t>
  </si>
  <si>
    <t>University of Agricultural Sciences Bangalore; Ministry of Earth Sciences (MoES) - India; National Centre for Polar and Ocean Research (NCPOR); Department of Space (DoS), Government of India; Physical Research Laboratory - India</t>
  </si>
  <si>
    <t>Prakash, S (corresponding author), Indian Natl Ctr Ocean Informat Serv, Hyderabad 500055, Andhra Pradesh, India.</t>
  </si>
  <si>
    <t>satyap@incois.gov.in</t>
  </si>
  <si>
    <t>Prakash, Satya/HNS-9397-2023</t>
  </si>
  <si>
    <t>Sreeman, Sheshshayee/0000-0002-2634-8596</t>
  </si>
  <si>
    <t>ISRO-GBP</t>
  </si>
  <si>
    <t>We thank all the participants and crew of R/V Akedemik Boris Petrov (ABP-15) for their assistance. We also thank the Department of Ocean Development (DOD, now the Ministry of Earth Sciences), New Delhi for providing ship time for this work. We thank ISRO-GBP for funding. We also thank two anonymous reviewers for their critical comments.</t>
  </si>
  <si>
    <t>WOS:000285081400029</t>
  </si>
  <si>
    <t>Mishra, R; Sudhakar, M; Pednekar, SM; Tyagi, A</t>
  </si>
  <si>
    <t>Mishra, Ravi; Sudhakar, M.; Pednekar, S. M.; Tyagi, Abhishek</t>
  </si>
  <si>
    <t>Seabed morphology of the Approach Channel of Larsemann Hills, Prydz Bay, East Antarctica</t>
  </si>
  <si>
    <t>Antarctica; glacial erosion; Larsemann Hills; seabed topography; Swath bathymetry</t>
  </si>
  <si>
    <t>HYDROSWEEP</t>
  </si>
  <si>
    <t>Seabed topography of the Approach Channel to the Larsemann Hills in the Prydz Bay is important to understand the Prydz Bay drainage basin and inter-linkage between its major topographic features. As India proposes to establish her third permanent station in Larsemann Hills, East Antarctica, the access to the site by safe navigation of vessels necessitated a bathymetric survey of the Approach Channel. The survey was divided into two blocks, a part of the Prydz Bay (latitudes 69 degrees 10'S to 69 degrees 22'S, longitudes 75 degrees 45'E to 76 degrees 15'E) and the Larsemann Hill Approach Channel (latitudes 69 degrees 22.00'S to 69 degrees 25.14'S, longitudes 76 degrees 04.00'E to 76 degrees 16.00'E). A total area of 55 km in length and 19 km in width was covered with 155 lines-km bathymetric data which was collected by deploying a boat-mounted shallow water multibeam echo-sounder system. Hull mounted multibeam system of R. V. Akademik Boris Petrov was used for the survey of the Prydz Bay and a total of about 410 lines-km of bathymetric data was collected. The survey area is a part of the Svenner Channel and maximum depth in the Prydz Bay was found to be 800 m. The maximum depth in the Approach Channel was found as 450 m. The area has variable morphological features and interlinks the Four Ladies Bank, Amery Ice Shelf and Amery Depression. Results indicate the glacial erosion in the channel. The Larsemann Hills Approach Channel was found to be in the depth range of 25-450 m, with a safe navigational passage up to the NE-SW boundary of the Larsemann Hills.</t>
  </si>
  <si>
    <t>[Mishra, Ravi; Sudhakar, M.; Pednekar, S. M.; Tyagi, Abhishek] Natl Ctr Antarctic &amp; Ocean Res, Headland Sada 403804, Goa, India</t>
  </si>
  <si>
    <t>Mishra, R (corresponding author), Natl Ctr Antarctic &amp; Ocean Res, Headland Sada 403804, Goa, India.</t>
  </si>
  <si>
    <t>ravimishra@ncaor.org</t>
  </si>
  <si>
    <t>WOS:000285081400030</t>
  </si>
  <si>
    <t>Ingole, B; Singh, R</t>
  </si>
  <si>
    <t>Ingole, Baban; Singh, Ravail</t>
  </si>
  <si>
    <t>Biodiversity and community structure of free-living, marine nematodes from the Larsemann Ice Shelf, East Antarctica</t>
  </si>
  <si>
    <t>East Antarctica; Larsemann Ice Shelf; nematodes; Paralinhomoeus sp.; Sabatieria sp.; subtidal meiofauna</t>
  </si>
  <si>
    <t>DEEP-SEA; VERTICAL-DISTRIBUTION; SPECIES-DIVERSITY; SIZE STRUCTURE; ASSEMBLAGES; MEIOBENTHOS; ATLANTIC; OCEAN</t>
  </si>
  <si>
    <t>Subtidal (500-700 m) meiofaunal assemblage of the Larsemann Ice Shelf, East Antarctica, is described with special emphasis on the free-living marine nematodes. The sampling was conducted with a 25 x 25 x 40 cm VSNL Spade Box corer and sub-sampling was performed with an acrylic core (4.5 cm dia.). The meiofauna comprised of eight taxa dominated by nematodes. A total of 75 nematode genera and 4 species were identified. They were randomly distributed and showed a significant difference (P &lt; 0.05) between the sampling stations. The total density varied from 239 to 639/20 cm(2) and maximum density was recorded at a water depth of 722 m. Nematodes constituted &gt;82% of the total meiofauna. A total of 1053 nematodes were isolated from the three cores. Vertically, similar to 90% nematodes were in the surface (0-2 cm) sediment, and their abundance decreased with sediment depth. Among the nematodes, selective feeder and non-selective deposit feeder were most abundant at the surface sediment, whereas omnivores and predators were higher at depth. Sabatieria and Paralinhomoeus were the most common genera. The higher nematode abundance at the surface was possibly due to their preferences to the freshly arriving food particles in the sediment-water interface. Availability of predatory omnivores in the deeper layers was perhaps due to their adaptation to the sedimentary conditions and could be their part of survival strategy in the harsh Antarctic environment.</t>
  </si>
  <si>
    <t>[Ingole, Baban; Singh, Ravail] Natl Inst Oceanog, Div Biol Oceanog, Panaji 403004, Goa, India</t>
  </si>
  <si>
    <t>Ingole, B (corresponding author), Natl Inst Oceanog, Div Biol Oceanog, Panaji 403004, Goa, India.</t>
  </si>
  <si>
    <t>baban@nio.org</t>
  </si>
  <si>
    <t>Ingole, Baban Shravan/GLR-9722-2022</t>
  </si>
  <si>
    <t>Ingole, Baban Shravan/0000-0001-6096-6980</t>
  </si>
  <si>
    <t>WOS:000285081400031</t>
  </si>
  <si>
    <t>Narayana, AC; Mohan, R; Mishra, R</t>
  </si>
  <si>
    <t>Narayana, A. C.; Mohan, Rahul; Mishra, Ravi</t>
  </si>
  <si>
    <t>Morphology and surface textures of quartz grains from freshwater lakes of McLeod Island, Larsemann Hills, East Antarctica</t>
  </si>
  <si>
    <t>Antarctic lakes; erosion; quartz grains; surface texture</t>
  </si>
  <si>
    <t>SALINE LAKES; RAUER ISLANDS; MICROMORPHOLOGY</t>
  </si>
  <si>
    <t>The Larsemann Hills area in the eastern Antarctica constitutes a few of the small islands apart from the mainland. Many freshwater lakes are identified in the main land of the Larsemann Hills and in the McLeod Island. We have collected sediment samples from the exposed freshwater lakebeds during the special expedition of February-April 2006. In this article, we discuss the micro-textures of quartz grains studied under scanning electron microscope. We have recorded angular, sub-rounded and rounded grains, and varied surface textural features showing flow patterns, fractured/crushed features, etc. We have also analysed grains to understand the possible elemental composition of the grains with the help of energy dispersive spectrometer.</t>
  </si>
  <si>
    <t>[Mohan, Rahul; Mishra, Ravi] Natl Ctr Antarctica &amp; Ocean Res, Headland Sada 403804, Goa, India; [Narayana, A. C.] Cochin Univ Sci &amp; Technol, Dept Marine Geol &amp; Geophys, Kochi 682016, India</t>
  </si>
  <si>
    <t>Ministry of Earth Sciences (MoES) - India; National Centre for Polar and Ocean Research (NCPOR); Cochin University Science &amp; Technology</t>
  </si>
  <si>
    <t>Narayana, AC (corresponding author), Univ Hyderabad, Ctr Earth &amp; Space Sci, Hyderabad 500046, Andhra Pradesh, India.</t>
  </si>
  <si>
    <t>acnes@uohyd.ernet.in</t>
  </si>
  <si>
    <t>WOS:000285081400032</t>
  </si>
  <si>
    <t>De Lauretis, M; Francia, P; Regi, M; Villante, U; Piancatelli, A</t>
  </si>
  <si>
    <t>De Lauretis, M.; Francia, P.; Regi, M.; Villante, U.; Piancatelli, A.</t>
  </si>
  <si>
    <t>Pc3 pulsations in the polar cap and at low latitude</t>
  </si>
  <si>
    <t>SOLAR-WIND; GEOMAGNETIC-PULSATIONS; MAGNETIC-FIELD; DEPENDENCE; POWER; CUSP; MAGNETOSPHERE; GENERATION; IONOSPHERE; SPECTRA</t>
  </si>
  <si>
    <t>We present a statistical analysis of Pc3-4 pulsations during 2005 at two polar cap stations (Terra Nova Bay and Dome C, Antarctica) and, for comparison, at a low-latitude station (L'Aquila). The analysis technique allows to discriminate the signal component from the background noise in the power spectrum and to determine the frequency of such ULF signal, commonly associated to the upstream wave source. The comparison of data makes evident that the characteristics of the ULF pulsations are different at low and high latitudes, and significant differences emerge also between the two polar cap stations. At Dome C the ULF signals are observed during the whole day, while at Terra Nova Bay and at L'Aquila the signals are mainly observed in the dayside sector. The different cone angle dependence at L'Aquila and Dome C, the steeper slope in the frequency dependence on the interplanetary magnetic field strength at Dome C with respect to L'Aquila and Terra Nova Bay and the time dependence of the coherence between pulsations at the Antarctic stations suggest that at low-latitude waves are transmitted to the ground from a region close to the subsolar bow shock, while near the geomagnetic pole waves are mainly transmitted through the magnetotail lobes. At Terra Nova Bay, where the local field lines approach the cusp around noon and are stretched into the magnetotail around midnight, the transmission path seems to be time dependent, with daytime and nighttime pulsations penetrating through the subsolar point and via the magnetotail lobes, respectively.</t>
  </si>
  <si>
    <t>[De Lauretis, M.; Francia, P.; Regi, M.; Villante, U.; Piancatelli, A.] Univ Aquila, Dipartimento Fis, I-67010 Laquila, Italy; [De Lauretis, M.; Francia, P.; Regi, M.; Villante, U.; Piancatelli, A.] Consorzio Area Ric Astrogeofis, Laquila, Italy</t>
  </si>
  <si>
    <t>University of L'Aquila</t>
  </si>
  <si>
    <t>De Lauretis, M (corresponding author), Univ Aquila, Dipartimento Fis, I-67010 Laquila, Italy.</t>
  </si>
  <si>
    <t>marcello.delauretis@aquila.infn.it</t>
  </si>
  <si>
    <t>Regi, Mauro/N-7505-2016; De Lauretis, Marcello/E-1550-2011</t>
  </si>
  <si>
    <t>Regi, Mauro/0000-0003-3626-2419; De Lauretis, Marcello/0000-0002-4088-5689; Villante, Umberto/0000-0002-3630-7958</t>
  </si>
  <si>
    <t>Italian PNRA (Programma Nazionale di Ricerche in Antartide)</t>
  </si>
  <si>
    <t>Italian PNRA (Programma Nazionale di Ricerche in Antartide)(Ministry of Education, Universities and Research (MIUR))</t>
  </si>
  <si>
    <t>This research activity is supported by the Italian PNRA (Programma Nazionale di Ricerche in Antartide). The authors acknowledge J.H. King, N. Papitashvili and CDAWeb for the OMNI data.</t>
  </si>
  <si>
    <t>A11223</t>
  </si>
  <si>
    <t>10.1029/2010JA015967</t>
  </si>
  <si>
    <t>686PX</t>
  </si>
  <si>
    <t>WOS:000284709300003</t>
  </si>
  <si>
    <t>Buesseler, KO; McDonnell, AMP; Schofield, OME; Steinberg, DK; Ducklow, HW</t>
  </si>
  <si>
    <t>Buesseler, Ken O.; McDonnell, Andrew M. P.; Schofield, Oscar M. E.; Steinberg, Deborah K.; Ducklow, Hugh W.</t>
  </si>
  <si>
    <t>High particle export over the continental shelf of the west Antarctic Peninsula</t>
  </si>
  <si>
    <t>ROSS SEA; WATER-COLUMN; BRANSFIELD STRAIT; AQUATIC SYSTEMS; SEDIMENT TRAPS; TWILIGHT ZONE; TIME-SERIES; UPPER OCEAN; LONG-TERM; TH-234</t>
  </si>
  <si>
    <t>Drifting cylindrical traps and the flux proxy Th-234 indicate more than an order of magnitude higher sinking fluxes of particulate carbon and Th-234 in January 2009 than measured by a time-series conical trap used regularly on the shelf of the west Antarctic Peninsula (WAP). The higher fluxes measured in this study have several implications for our understanding of the WAP ecosystem. Larger sinking fluxes result in a revised export efficiency of at least 10% (C flux/net primary production) and a requisite lower regeneration efficiency in surface waters. High fluxes also result in a large supply of sinking organic matter to support subsurface and benthic food webs on the continental shelf. These new findings call into question the magnitude of seasonal and interannual variability in particle flux and reaffirm the difficulty of using moored conical traps as a quantitative flux collector in shallow waters. Citation: Buesseler, K. O., A. M. P. McDonnell, O. M. E. Schofield, D. K. Steinberg, and H. W. Ducklow (2010), High particle export over the continental shelf of the west Antarctic Peninsula, Geophys. Res. Lett., 37, L22606, doi: 10.1029/2010GL045448.</t>
  </si>
  <si>
    <t>[Buesseler, Ken O.; McDonnell, Andrew M. P.] Woods Hole Oceanog Inst, Woods Hole, MA 02543 USA; [Schofield, Oscar M. E.] Rutgers State Univ, Inst Marine &amp; Coastal Sci, New Brunswick, NJ 08901 USA; [Steinberg, Deborah K.] Virginia Inst Marine Sci, Coll William &amp; Mary, Gloucester Point, VA 23062 USA; [Ducklow, Hugh W.] Marine Biol Lab, Ctr Ecosyst, Woods Hole, MA 02543 USA</t>
  </si>
  <si>
    <t>Woods Hole Oceanographic Institution; Rutgers University System; Rutgers University New Brunswick; William &amp; Mary; Virginia Institute of Marine Science; Marine Biological Laboratory - Woods Hole</t>
  </si>
  <si>
    <t>Buesseler, KO (corresponding author), Woods Hole Oceanog Inst, Mail Stop 25, Woods Hole, MA 02543 USA.</t>
  </si>
  <si>
    <t>kbuesseler@whoi.edu</t>
  </si>
  <si>
    <t>; Schofield, Oscar/H-4169-2018</t>
  </si>
  <si>
    <t>McDonnell, Andrew/0000-0003-1408-4869; Schofield, Oscar/0000-0003-2359-4131; Steinberg, Deborah K./0000-0001-9884-4655</t>
  </si>
  <si>
    <t>WHOI; WHOI Coastal Oceans Institute; WHOI Academic Programs Office; NSF Office [OPP 0823101]; FOODBANCS; WAP Flux projects [OPP 0838866]; Directorate For Geosciences; Office of Polar Programs (OPP) [0823101, 0838866] Funding Source: National Science Foundation</t>
  </si>
  <si>
    <t>WHOI; WHOI Coastal Oceans Institute; WHOI Academic Programs Office; NSF Office(National Science Foundation (NSF)); FOODBANCS; WAP Flux projects; Directorate For Geosciences; Office of Polar Programs (OPP)(National Science Foundation (NSF)NSF - Directorate for Geosciences (GEO))</t>
  </si>
  <si>
    <t>We thank our colleagues in the Palmer LTER and FOODBANCS projects, as well as the captain, crew, and RPSC staff aboard the LM Gould. We are grateful to Steve Pike, Steve Manganini, Matthew Erikson, Dave DeMaster, Brian Pointer and the WHOI ICPMS facility for assistance. We appreciate the comments of GRL editors and two reviewers. Funding was provided by the WHOI Rinehart Access to the Sea program, the WHOI Coastal Oceans Institute, WHOI Academic Programs Office, and most significantly, from the NSF Office of Polar Programs for the PAL-LTER (OPP 0823101), FOODBANCS and WAP Flux projects (OPP 0838866).</t>
  </si>
  <si>
    <t>NOV 24</t>
  </si>
  <si>
    <t>L22606</t>
  </si>
  <si>
    <t>10.1029/2010GL045448</t>
  </si>
  <si>
    <t>686NK</t>
  </si>
  <si>
    <t>WOS:000284702800006</t>
  </si>
  <si>
    <t>Karpechko, AY; Gillett, NP; Gray, LJ; Dall'Amico, M</t>
  </si>
  <si>
    <t>Karpechko, Alexey Y.; Gillett, Nathan P.; Gray, Lesley J.; Dall'Amico, Mauro</t>
  </si>
  <si>
    <t>Influence of ozone recovery and greenhouse gas increases on Southern Hemisphere circulation</t>
  </si>
  <si>
    <t>ENVIRONMENTAL-MODEL HADGEM1; CLIMATE MODEL; ANNULAR MODE; STRATOSPHERIC VARIABILITY; ATMOSPHERIC CIRCULATION; PHYSICAL-PROPERTIES; IMPACT; TRENDS; TEMPERATURE; NORTHERN</t>
  </si>
  <si>
    <t>Stratospheric ozone depletion has significantly influenced the tropospheric circulation and climate of the Southern Hemisphere (SH) over recent decades, the largest trends being detected in summer. These circulation changes include acceleration of the extratropical tropospheric westerly jet on its poleward side and lowered Antarctic sea level pressure. It is therefore expected that ozone changes will continue to influence climate during the 21st century when ozone recovery is expected. Here we use two contrasting future ozone projections from two chemistry-climate models (CCMs) to force 21st century simulations of the HadGEM1 coupled atmosphere-ocean model, along with A1B greenhouse gas (GHG) concentrations, and study the simulated response in the SH circulation. According to several studies, HadGEM1 simulates present tropospheric climate better than the majority of other available models. When forced by the larger ozone recovery trends, HadGEM1 simulates significant deceleration of the tropospheric jet on its poleward side in the upper troposphere in summer, but the trends in the lower troposphere are not significant. In the simulations with the smaller ozone recovery trends the zonal mean zonal wind trends are not significant throughout the troposphere. The response of the SH circulation to GHG concentration increases in HadGEM1 includes an increase in poleward eddy heat flux in the stratosphere and positive sea level pressure trends in southeastern Pacific. The HadGEM1-simulated zonal wind trends are considerably smaller than the trends simulated by the CCMs, both in the stratosphere and in the troposphere, despite the fact that the zonal mean ozone trends are the same between these simulations.</t>
  </si>
  <si>
    <t>[Gray, Lesley J.] Univ Reading, Natl Ctr Atmospher Sci, Dept Meteorol, Climate Directorate, Reading RG6 6BB, Berks, England; [Gillett, Nathan P.] Environm Canada, Canadian Ctr Climate Modelling &amp; Anal, Victoria, BC V8W 3V6, Canada; [Karpechko, Alexey Y.] Univ E Anglia, Climat Res Unit, Sch Environm Sci, Norwich NR4 7TJ, Norfolk, England; [Dall'Amico, Mauro] Deutsch Zentrum Luft &amp; Raumfahrt, Inst Phys Atmosphare, Oberpfaffenhofen, Germany</t>
  </si>
  <si>
    <t>University of Reading; UK Research &amp; Innovation (UKRI); Natural Environment Research Council (NERC); NERC National Centre for Atmospheric Science; Environment &amp; Climate Change Canada; Canadian Centre for Climate Modelling &amp; Analysis (CCCma); University of East Anglia; Helmholtz Association; German Aerospace Centre (DLR)</t>
  </si>
  <si>
    <t>Karpechko, AY (corresponding author), Finnish Meteorol Inst, Arctic Res Unit, POB 503, FI-00101 Helsinki, Finland.</t>
  </si>
  <si>
    <t>alexey.karpechko@fmi.fi</t>
  </si>
  <si>
    <t>Gray, Lesley J/D-3610-2009; Karpechko, Alexey/JVN-9414-2024</t>
  </si>
  <si>
    <t>Karpechko, Alexey/0000-0003-0902-0414; Gray, Lesley/0000-0002-7803-9277</t>
  </si>
  <si>
    <t>NERC [NE/E006787/1]; Finnish Academy; NERC [NE/E006787/1] Funding Source: UKRI; Natural Environment Research Council [ncas10009, NE/E006787/1] Funding Source: researchfish</t>
  </si>
  <si>
    <t>NERC(UK Research &amp; Innovation (UKRI)Natural Environment Research Council (NERC)); Finnish Academy(Research Council of Finland); NERC(UK Research &amp; Innovation (UKRI)Natural Environment Research Council (NERC)); Natural Environment Research Council(UK Research &amp; Innovation (UKRI)Natural Environment Research Council (NERC))</t>
  </si>
  <si>
    <t>This work is supported by NERC Project NE/E006787/1. A.K. was also partly supported by Finnish Academy through a personal postdoctoral grant and SAARA project. We acknowledge the GEOSCCM and CMAM modeling groups for making their simulations available for this analysis, the CCMVal activity for WCRP's SPARC project for organizing and coordinating the model data analysis activity, the BADC for collecting and archiving the CCMVal model output, and the Program for Climate Model Diagnosis and Intercomparison (PCMDI) and the WCRP's Working Group on Coupled Modeling (WGCM) for their roles in making available the WCRP CMIP3 multimodel data set. Support of this data set is provided by the Office of Science, U.S. Department of Energy. We thank David Plummer for providing 3-D ozone fields from CMAM simulation, Karen Rosenlof for providing ozone data set, the Met Office for use of HadGEM1, Scott Osprey, Lois Steenman-Clark, and Jeff Cole for help with running the model, and two anonymous reviewers for constructive comments.</t>
  </si>
  <si>
    <t>D22117</t>
  </si>
  <si>
    <t>10.1029/2010JD014423</t>
  </si>
  <si>
    <t>686OC</t>
  </si>
  <si>
    <t>WOS:000284704600010</t>
  </si>
  <si>
    <t>Chen, LJ; Thorne, RM; Jordanova, VK; Horne, RB</t>
  </si>
  <si>
    <t>Chen, Lunjin; Thorne, Richard M.; Jordanova, Vania K.; Horne, Richard B.</t>
  </si>
  <si>
    <t>Global simulation of magnetosonic wave instability in the storm time magnetosphere</t>
  </si>
  <si>
    <t>EQUATORIAL NOISE; PROTON; MODEL; PLASMASPHERE; PROPAGATION; CLUSTER; IONS</t>
  </si>
  <si>
    <t>Coupling between the Rice Convection Model and Ring Current-Atmospheric Interactions Model codes is used to simulate the dynamical evolution of ring current ion phase space density and the thermal electron density distribution for the 22 April 2001 storm. The simulation demonstrates that proton ring distributions (df(perpendicular to)/dv(perpendicular to) &gt; 0) develop over a broad spatial region during the storm main phase, leading to the instability of equatorial magnetosonic waves. Calculations of the convective growth rate of magnetosonic waves for multiples of the proton gyrofrequency from 2 to 42 are performed globally. We find that the ratio between the perpendicular ring velocity and the equatorial Alfven speed determines the frequency range of unstable magnetosonic waves. Low harmonic waves (omega &lt; 10 Omega(H+)) tend to be excited in the high-density nightside plasmasphere and within the duskside plume, whereas higher-frequency waves (omega &gt; 20 Omega(H+)) are excited over a broad spatial region of low density outside the morningside plasmasphere.</t>
  </si>
  <si>
    <t>[Chen, Lunjin; Thorne, Richard M.] Univ Calif Los Angeles, Dept Atmospher Sci, Los Angeles, CA 90095 USA; [Horne, Richard B.] British Antarctic Survey, Nat Environm Res Council, Cambridge CB3 0ET, England; [Jordanova, Vania K.] Los Alamos Natl Lab, Los Alamos, NM 87545 USA</t>
  </si>
  <si>
    <t>University of California System; University of California Los Angeles; UK Research &amp; Innovation (UKRI); Natural Environment Research Council (NERC); NERC British Antarctic Survey; United States Department of Energy (DOE); Los Alamos National Laboratory</t>
  </si>
  <si>
    <t>Chen, LJ (corresponding author), Univ Calif Los Angeles, Dept Atmospher Sci, 405 Hilgard Ave,Box 951565,7127 Math Sci Bldg, Los Angeles, CA 90095 USA.</t>
  </si>
  <si>
    <t>clj@atmos.ucla.edu</t>
  </si>
  <si>
    <t>Jordanova, Vania/AAE-9907-2020; Horne, Richard B/U-3764-2019; Chen, Lunjin/L-1250-2013; Jordanova, Vania/E-3667-2018</t>
  </si>
  <si>
    <t>Horne, Richard B/0000-0002-0412-6407; Chen, Lunjin/0000-0003-2489-3571; Jordanova, Vania/0000-0003-0475-8743</t>
  </si>
  <si>
    <t>NASA [NNX08AQ88G, NNH08AJ01I, NNX08A135G]; NERC [bas0100023] Funding Source: UKRI; Natural Environment Research Council [bas0100023] Funding Source: researchfish; NASA [96860, NNX08AQ88G] Funding Source: Federal RePORTER</t>
  </si>
  <si>
    <t>NASA(National Aeronautics &amp; Space Administration (NASA)); NERC(UK Research &amp; Innovation (UKRI)Natural Environment Research Council (NERC)); Natural Environment Research Council(UK Research &amp; Innovation (UKRI)Natural Environment Research Council (NERC)); NASA(National Aeronautics &amp; Space Administration (NASA))</t>
  </si>
  <si>
    <t>The research was supported by NASA grants NNX08AQ88G, NNH08AJ01I, and NNX08A135G. The authors wish to thank Michelle Thomsen of Los Alamos National Laboratory for many helpful discussions in the course of this study and thank Chih-Ping Wang and Matina Gkioulidou for running RCM simulation for the simulated storm.</t>
  </si>
  <si>
    <t>A11222</t>
  </si>
  <si>
    <t>10.1029/2010JA015707</t>
  </si>
  <si>
    <t>686PS</t>
  </si>
  <si>
    <t>WOS:000284708800005</t>
  </si>
  <si>
    <t>Lear, CH; Mawbey, EM; Rosenthal, Y</t>
  </si>
  <si>
    <t>Lear, Caroline H.; Mawbey, Elaine M.; Rosenthal, Yair</t>
  </si>
  <si>
    <t>Cenozoic benthic foraminiferal Mg/Ca and Li/Ca records: Toward unlocking temperatures and saturation states</t>
  </si>
  <si>
    <t>ATMOSPHERIC CARBON-DIOXIDE; DEEP-OCEAN CIRCULATION; PLANKTONIC-FORAMINIFERA; ANTARCTIC GLACIATION; CALCITE COMPENSATION; ISOTOPE COMPOSITION; SEA TEMPERATURE; ICE VOLUME; CLIMATE; TRANSITION</t>
  </si>
  <si>
    <t>The sensitivities of benthic foraminiferal Mg/Ca and Li/Ca to bottom water temperature and carbonate saturation state have recently been assessed. Here we present a new approach that uses paired Mg/Ca and Li/Ca records to calculate simultaneous changes in temperature and saturation state. Using previously published records, we first use this approach to document a cooling of deep ocean waters associated with the establishment of the Antarctic ice sheet at the Eocene-Oligocene climate transition. We then apply this approach to new records of the Middle Miocene Climate Transition from ODP Site 761 to estimate variations in bottom water temperature and the oxygen isotopic composition of seawater. We estimate that the oxygen isotopic composition of seawater varied by similar to 1 parts per thousand between the deglacial extreme of the Miocene Climatic Optimum and the glacial maximum following the Middle Miocene Climate Transition, indicating large amplitude variations in ice volume. However, the longer-term change between 15.3 and 12.5 Ma is marked by a similar to 1 degrees C cooling of deep waters, and an increase in the oxygen isotopic composition of seawater of similar to 0.6 parts per thousand. We find that bottom water saturation state increased in the lead up to the Middle Miocene Climate Transition and decreased shortly after. This supports decreasing pCO(2) as a driver for global cooling and ice sheet expansion, in agreement with existing boron isotope and leaf stomatal index CO(2) records but in contrast to the published alkenone CO(2) records.</t>
  </si>
  <si>
    <t>[Lear, Caroline H.; Mawbey, Elaine M.] Cardiff Univ, Sch Earth &amp; Ocean Sci, Cardiff CF10 3YE, S Glam, Wales; [Rosenthal, Yair] Rutgers State Univ, Dept Geol Sci, New Brunswick, NJ 08901 USA; [Rosenthal, Yair] Rutgers State Univ, Inst Marine &amp; Coastal Sci, New Brunswick, NJ 08901 USA</t>
  </si>
  <si>
    <t>Cardiff University; Rutgers University System; Rutgers University New Brunswick; Rutgers University System; Rutgers University New Brunswick</t>
  </si>
  <si>
    <t>Lear, CH (corresponding author), Cardiff Univ, Sch Earth &amp; Ocean Sci, Main Bldg,Pk Pl, Cardiff CF10 3YE, S Glam, Wales.</t>
  </si>
  <si>
    <t>learc@cf.ac.uk; mawbeyem@cf.ac.uk</t>
  </si>
  <si>
    <t>Lear, Caroline H/D-2582-2009</t>
  </si>
  <si>
    <t>Lear, Caroline/0000-0002-7533-4430</t>
  </si>
  <si>
    <t>NERC [NE/D000041/1, NE/F016603/1]; NSF [OCE 0341412]; Natural Environment Research Council [NE/D000041/1] Funding Source: researchfish</t>
  </si>
  <si>
    <t>NERC(UK Research &amp; Innovation (UKRI)Natural Environment Research Council (NERC)); NSF(National Science Foundation (NSF)); Natural Environment Research Council(UK Research &amp; Innovation (UKRI)Natural Environment Research Council (NERC))</t>
  </si>
  <si>
    <t>The authors would like to thank Steve Barker and Jim Zachos for some very helpful discussions, Gavin Foster for commenting on an earlier draft of this manuscript, and Huw Boulton, Trevor Bailey, and Jenny Riker for assistance in the laboratory. We thank Ann Holbourn for providing four core top samples collected from the Timor Sea. This work was significantly improved by the constructive and thorough comments of two anonymous reviewers. This research used samples provided by the Integrated Ocean Drilling Program (IODP) and was funded by a NERC grant (NE/D000041/1) to Lear, studentship (NE/F016603/1) to Mawbey, and NSF funding (OCE 0341412) to Rosenthal.</t>
  </si>
  <si>
    <t>PA4215</t>
  </si>
  <si>
    <t>10.1029/2009PA001880</t>
  </si>
  <si>
    <t>686QC</t>
  </si>
  <si>
    <t>WOS:000284709800001</t>
  </si>
  <si>
    <t>Cox, SE; Thomson, SN; Reiners, PW; Hemming, SR; van de Flierdt, T</t>
  </si>
  <si>
    <t>Cox, S. E.; Thomson, S. N.; Reiners, P. W.; Hemming, S. R.; van de Flierdt, T.</t>
  </si>
  <si>
    <t>Extremely low long-term erosion rates around the Gamburtsev Mountains in interior East Antarctica</t>
  </si>
  <si>
    <t>PRINCE-CHARLES-MOUNTAINS; APATITE FISSION-TRACK; SUBGLACIAL MOUNTAINS; GLACIAL EROSION; EVOLUTION; EXHUMATION; HISTORY; ZIRCONS; BENEATH; UPLIFT</t>
  </si>
  <si>
    <t>The high elevation and rugged relief (&gt;3 km) of the Gamburtsev Subglacial Mountains (GSM) have long been considered enigmatic. Orogenesis normally occurs near plate boundaries, not cratonic interiors, and large-scale tectonic activity last occurred in East Antarctica during the Pan-African (480-600 Ma). We sampled detrital apatite from Eocene sands in Prydz Bay at the terminus of the Lambert Graben, which drained a large pre-glacial basin including the northern Gamburtsev Mountains. Apatite fission-track and (U-Th)/He cooling ages constrain bedrock erosion rates throughout the catchment. We double-dated apatites to resolve individual cooling histories. Erosion was very slow, averaging 0.01-0.02 km/Myr for &gt;250 Myr, supporting the preservation of high elevation in interior East Antarctica since at least the cessation of Permian rifting. Long-term topographic preservation lends credence to postulated high-elevation mountain ice caps in East Antarctica since at least the Cretaceous and to the idea that cold-based glaciation can preserve tectonically inactive topography. Citation: Cox, S.E., S.N. Thomson, P.W. Reiners, S.R. Hemming, and T. van de Flierdt (2010), Extremely low long-term erosion rates around the Gamburtsev Mountains in interior East Antarctica, Geophys. Res. Lett., 37, L22307, doi:10.1029/2010GL045106.</t>
  </si>
  <si>
    <t>[Cox, S. E.; Hemming, S. R.; van de Flierdt, T.] Columbia Univ, Dept Earth &amp; Environm Sci, Palisades, NY USA; [Cox, S. E.; Hemming, S. R.; van de Flierdt, T.] Columbia Univ, Lamont Doherty Earth Observ, Earth Inst, Palisades, NY 10964 USA; [Thomson, S. N.; Reiners, P. W.] Univ Arizona, Dept Geosci, Tucson, AZ 85721 USA</t>
  </si>
  <si>
    <t>Columbia University; Columbia University; University of Arizona</t>
  </si>
  <si>
    <t>Cox, SE (corresponding author), CALTECH, Div Geol &amp; Planetary Sci, MC 170-25, Pasadena, CA 91125 USA.</t>
  </si>
  <si>
    <t>scox@caltech.edu</t>
  </si>
  <si>
    <t>Thomson, Stuart N/A-1222-2009; Thomson, Stuart N/IZE-4354-2023</t>
  </si>
  <si>
    <t>Thomson, Stuart N/0000-0003-4331-5654; Hemming, Sidney/0000-0001-8117-2303; Cox, Stephen/0000-0002-8819-887X</t>
  </si>
  <si>
    <t>NSF [ANT0538580, ANT0817163]; NERC [NE/I006257/1, NE/H014144/1] Funding Source: UKRI; Natural Environment Research Council [NE/I006257/1, NE/H014144/1] Funding Source: researchfish; Directorate For Geosciences; Division Of Earth Sciences [0732380] Funding Source: National Science Foundation</t>
  </si>
  <si>
    <t>NSF(National Science Foundation (NSF)); NERC(UK Research &amp; Innovation (UKRI)Natural Environment Research Council (NERC)); Natural Environment Research Council(UK Research &amp; Innovation (UKRI)Natural Environment Research Council (NERC)); Directorate For Geosciences; Division Of Earth Sciences(National Science Foundation (NSF)NSF - Directorate for Geosciences (GEO))</t>
  </si>
  <si>
    <t>This work was supported by NSF-ANT0538580 and -ANT0817163. This work also benefited from discussions with the Earth System Evolution Program of the Canadian Institute for Advanced Research. Analytical assistance from Stefan Nicolescu is appreciated. We thank Stefanie Brachfeld, George Gehrels, Steve Goldstein, and Tom Wagner for samples and discussion. We acknowledge the FSU Antarctic Research Facility and the IODP for core samples. We thank John J. Veevers for extensive review comments.</t>
  </si>
  <si>
    <t>NOV 20</t>
  </si>
  <si>
    <t>L22307</t>
  </si>
  <si>
    <t>10.1029/2010GL045106</t>
  </si>
  <si>
    <t>683ML</t>
  </si>
  <si>
    <t>WOS:000284479800003</t>
  </si>
  <si>
    <t>Sinclair, KE; Bertler, NAN; Trompetter, WJ</t>
  </si>
  <si>
    <t>Sinclair, K. E.; Bertler, N. A. N.; Trompetter, W. J.</t>
  </si>
  <si>
    <t>Synoptic controls on precipitation pathways and snow delivery to high-accumulation ice core sites in the Ross Sea region, Antarctica</t>
  </si>
  <si>
    <t>NINO-SOUTHERN-OSCILLATION; MESOSCALE CYCLOGENESIS; WEDDELL SEA; CLIMATE; SIMULATION; REANALYSIS; ISOTOPES; MCMURDO; SULFUR</t>
  </si>
  <si>
    <t>Dominant storm tracks to two ice core sites on the western margin of the Ross Sea, Antarctica (Skinner Saddle (SKS) and Evans Piedmont Glacier), are investigated to establish key synoptic controls on snow accumulation. This is critical in terms of understanding the seasonality, source regions, and transport pathways of precipitation delivered to these sites. In situ snow depth and meteorological observations are used to identify major accumulation events in 2007-2008, which differ considerably between sites in terms of their magnitude and seasonal distribution. While snowfall at Evans Piedmont Glacier occurs almost exclusively during summer and spring, Skinner Saddle receives precipitation year round with a lull during the months of April and May. Cluster analysis of daily back trajectories reveals that the highest-accumulation days at both sites result from fast-moving air masses, associated with synoptic-scale low-pressure systems. There is evidence that short-duration pulses of snowfall at SKS also originate from mesocyclone development over the Ross Ice Shelf and local moisture sources. Changes in the frequency and seasonal distribution of these mechanisms of precipitation delivery will have a marked impact on annual accumulation over time and will therefore need careful consideration during the interpretation of stable isotope and geochemical records from these ice cores.</t>
  </si>
  <si>
    <t>[Sinclair, K. E.; Bertler, N. A. N.; Trompetter, W. J.] GNS Sci, Natl Isotope Ctr, Lower Hutt 5040, New Zealand; [Bertler, N. A. N.] Victoria Univ Wellington, Antarctic Res Ctr, Wellington, New Zealand</t>
  </si>
  <si>
    <t>GNS Science - New Zealand; Victoria University Wellington</t>
  </si>
  <si>
    <t>Sinclair, KE (corresponding author), GNS Sci, Natl Isotope Ctr, POB 31312, Lower Hutt 5040, New Zealand.</t>
  </si>
  <si>
    <t>k.sinclair@gns.cri.nz</t>
  </si>
  <si>
    <t>Bertler, Nancy A N/F-3967-2011</t>
  </si>
  <si>
    <t>Trompetter, William/0000-0003-2530-5946; Bertler, Nancy/0000-0001-6028-4891</t>
  </si>
  <si>
    <t>Victoria University of Wellington; GNS Science; Foundation for Research, Science and Technology [VICX0704, CO5X0202, CO5X0902]; NSF [ANT-0838834]</t>
  </si>
  <si>
    <t>Victoria University of Wellington; GNS Science; Foundation for Research, Science and Technology(New Zealand Foundation for Research, Science and Technology); NSF(National Science Foundation (NSF))</t>
  </si>
  <si>
    <t>This study was made possible by logistical support from Antarctica New Zealand and Scott Base and funding from Victoria University of Wellington, GNS Science, and the Foundation for Research, Science and Technology (grants VICX0704, CO5X0202, and CO5X0902). The authors would like to acknowledge E. Willmot and M. Lazzara at the Antarctic Meteorological Research Center (Space Science and Engineering Center, University of Wisconsin-Madison) for providing satellite imagery (NSF grant ANT-0838834) and Dougal Townsend (GNS Science) for mapping assistance. Thanks also go to three anonymous reviewers for constructive feedback on the draft manuscript and to S. Pryor for editorial support.</t>
  </si>
  <si>
    <t>D22112</t>
  </si>
  <si>
    <t>10.1029/2010JD014383</t>
  </si>
  <si>
    <t>683ND</t>
  </si>
  <si>
    <t>WOS:000284481600007</t>
  </si>
  <si>
    <t>Rodger, CJ; Clilverd, MA; Seppälä, A; Thomson, NR; Gamble, RJ; Parrot, M; Sauvaud, JA; Ulich, T</t>
  </si>
  <si>
    <t>Rodger, Craig J.; Clilverd, Mark A.; Seppala, Annika; Thomson, Neil R.; Gamble, Rory J.; Parrot, Michel; Sauvaud, Jean-Andre; Ulich, Thomas</t>
  </si>
  <si>
    <t>Radiation belt electron precipitation due to geomagnetic storms: Significance to middle atmosphere ozone chemistry</t>
  </si>
  <si>
    <t>SOLAR-PROTON-EVENTS; OCTOBER-NOVEMBER 2003; D-REGION; MODEL; IONOSPHERE; PERTURBATIONS; ASSOCIATION; TEMPERATURE; IRRADIANCE; DIFFUSION</t>
  </si>
  <si>
    <t>Geomagnetic storms triggered by coronal mass ejections and high-speed solar wind streams can lead to enhanced losses of energetic electrons from the radiation belts into the atmosphere, both during the storm itself and also through the poststorm relaxation of enhanced radiation belt fluxes. In this study we have analyzed the impact of electron precipitation on atmospheric chemistry (30-90 km altitudes) as a result of a single geomagnetic storm. The study conditions were chosen such that there was no influence of solar proton precipitation, and thus we were able to determine the storm-induced outer radiation belt electron precipitation fluxes. We use ground-based subionospheric radio wave observations to infer the electron precipitation fluxes at L = 3.2 during a geomagnetic disturbance which occurred in September 2005. Through application of the Sodankyla Ion and Neutral Chemistry model, we examine the significance of this particular period of electron precipitation to neutral atmospheric chemistry. Building on an earlier study, we refine the quantification of the electron precipitation flux into the atmosphere by using a time-varying energy spectrum determined from the DEMETER satellite. We show that the large increases in odd nitrogen (NOx) and odd hydrogen (HOx) caused by the electron precipitation do not lead to significant in situ ozone depletion in September in the Northern Hemisphere. However, had the same precipitation been deposited into the polar winter atmosphere, it would have led to &gt;20% in situ decreases in O-3 at 65-80 km altitudes through catalytic HOx cycles, with possible additional stratospheric O-3 depletion from descending NOx beyond the model simulation period.</t>
  </si>
  <si>
    <t>[Rodger, Craig J.; Thomson, Neil R.; Gamble, Rory J.] Univ Otago, Dept Phys, Dunedin 9016, New Zealand; [Clilverd, Mark A.; Seppala, Annika] British Antarctic Survey, Cambridge CB3 0ET, England; [Seppala, Annika] Finnish Meteorol Inst, FIN-00101 Helsinki, Finland; [Parrot, Michel] Lab Environm &amp; Espace, F-45071 Orleans 2, France; [Sauvaud, Jean-Andre] Ctr Etud Spatiale Rayonnements, F-31028 Toulouse 4, France; [Ulich, Thomas] Univ Oulu, Sodankyla Geophys Observ, FIN-99600 Sodankyla, Finland</t>
  </si>
  <si>
    <t>University of Otago; UK Research &amp; Innovation (UKRI); Natural Environment Research Council (NERC); NERC British Antarctic Survey; Finnish Meteorological Institute; Universite de Toulouse; Universite Toulouse III - Paul Sabatier; University of Oulu</t>
  </si>
  <si>
    <t>crodger@physics.otago.ac.nz; macl@bas.ac.uk; annika.seppala@bas.ac.uk; thomson@physics.otago.ac.nz; rgamble@physics.otago.ac.nz; mparrot@cnrs-orleans.fr; sauvaud@cesr.fr; thu@sgo.fi</t>
  </si>
  <si>
    <t>Seppälä, Annika/C-8031-2014; Rodger, Craig/A-1501-2011; Ulich, Thomas/G-3727-2018</t>
  </si>
  <si>
    <t>Seppälä, Annika/0000-0002-5028-8220; Ulich, Thomas/0000-0001-8217-022X; Rodger, Craig J./0000-0002-6770-2707; Parrot, Michel/0000-0003-0905-5721</t>
  </si>
  <si>
    <t>LAPBIAT2 program [RITA-CT-2006-025969]; EPPIC [PIEF-GA-2009-237461]; Centre National d'Etudes Spatiales; NERC [bas0100023] Funding Source: UKRI; Natural Environment Research Council [bas0100023] Funding Source: researchfish</t>
  </si>
  <si>
    <t>LAPBIAT2 program; EPPIC; Centre National d'Etudes Spatiales(Centre National D'etudes Spatiales); NERC(UK Research &amp; Innovation (UKRI)Natural Environment Research Council (NERC)); Natural Environment Research Council(UK Research &amp; Innovation (UKRI)Natural Environment Research Council (NERC))</t>
  </si>
  <si>
    <t>C.J.R. would like to thank Jodie Salmond of Auckland for her support. C.R., M.A.C., and A.S. acknowledge the funding of the LAPBIAT2 program (contract RITA-CT-2006-025969) for supporting their time at SGO, where they worked on this manuscript in 2008 and 2009. The work of A.S. was supported by the EPPIC Marie Curie FP7 project (PIEF-GA-2009-237461). The work of J.A.S. and M.P. was supported by the Centre National d'Etudes Spatiales, while C.J.R. is a guest investigator inside the DEMETER program.</t>
  </si>
  <si>
    <t>A11320</t>
  </si>
  <si>
    <t>10.1029/2010JA015599</t>
  </si>
  <si>
    <t>683PR</t>
  </si>
  <si>
    <t>WOS:000284488200004</t>
  </si>
  <si>
    <t>Thomazelli, LM; Araujo, J; Oliveira, DB; Sanfilippo, L; Ferreira, CS; Brentano, L; Pelizari, VH; Nakayama, C; Duarte, R; Hurtado, R; Branco, JO; Walker, D; Durigon, EL</t>
  </si>
  <si>
    <t>Thomazelli, Luciano M.; Araujo, Jansen; Oliveira, Danielle B.; Sanfilippo, Luiz; Ferreira, Carolina S.; Brentano, Liana; Pelizari, Vivian H.; Nakayama, Cristiane; Duarte, Rubens; Hurtado, Renata; Branco, Joaquim O.; Walker, David; Durigon, Edison L.</t>
  </si>
  <si>
    <t>Newcastle disease virus in penguins from King George Island on the Antarctic region</t>
  </si>
  <si>
    <t>VETERINARY MICROBIOLOGY</t>
  </si>
  <si>
    <t>Newcastle disease virus; APMV-1; Antarctic; Serology; Real-time PCR</t>
  </si>
  <si>
    <t>REVERSE-TRANSCRIPTION PCR; GENOTYPE-VII; INFLUENZA; SEQUENCE; GENE</t>
  </si>
  <si>
    <t>Here we report the isolation of Newcastle disease virus (NDV) from cloacal swabs obtained from penguins in the South Atlantic Antarctic region (62 degrees 08S, 58 degrees 25W). Samples of 100 penguins from King George Island were tested by real-time PCR, of which 2 (2%) were positive for NDV. The positive samples were isolated in embryonated chicken eggs and their matrix and fusion proteins genes were partially sequenced. This was complemented by the serological study performed on the blood of the same specimens, which resulted in a 33.3% rate of positivity. (C) 2010 Elsevier B.V. All rights reserved.</t>
  </si>
  <si>
    <t>[Thomazelli, Luciano M.; Araujo, Jansen; Oliveira, Danielle B.; Sanfilippo, Luiz; Ferreira, Carolina S.; Pelizari, Vivian H.; Nakayama, Cristiane; Duarte, Rubens; Hurtado, Renata; Durigon, Edison L.] Univ Sao Paulo, Inst Biomed Sci, Sao Paulo, Brazil; [Brentano, Liana] Brazilian Agr Res Corp EMBRAPA, Concordia, SC, Brazil; [Branco, Joaquim O.] UNIVALI Univ Itajai, Itajai, SC, Brazil; [Walker, David] St Jude Childrens Hosp, Dept Infect Dis, Memphis, TN 38105 USA</t>
  </si>
  <si>
    <t>Universidade de Sao Paulo; Empresa Brasileira de Pesquisa Agropecuaria (EMBRAPA); Universidade do Vale do Itajai; St Jude Children's Research Hospital</t>
  </si>
  <si>
    <t>Durigon, EL (corresponding author), Univ Sao Paulo, Inst Biomed Sci, Sao Paulo, Brazil.</t>
  </si>
  <si>
    <t>eldurigo@usp.br</t>
  </si>
  <si>
    <t>Araujo Jr, Joao Pessoa/Q-3043-2019; Brentano, Liana/N-2523-2016; Araujo, Joao Pessoa/C-2444-2012; Duarte, Rubens/E-3129-2012; Nakayama, Cristina R/R-4318-2017; Duarte, Rubens/AAH-1692-2019; Oliveira, Daniele/JJE-5999-2023; Thomazelli, Luciano/Q-6119-2017; Oliveira, Danielle Bruna Leal/H-8030-2015; Pellizari, Vivian/J-9153-2012</t>
  </si>
  <si>
    <t>Araujo Jr, Joao Pessoa/0000-0002-9153-1485; Brentano, Liana/0000-0002-1227-176X; Nakayama, Cristina R/0000-0001-9428-585X; Thomazelli, Luciano/0000-0002-9157-6122; Oliveira, Danielle Bruna Leal/0000-0002-0534-0886; Araujo, Jansen/0000-0002-7250-3024; Durigon, Edison/0000-0003-4898-6553; Pellizari, Vivian/0000-0003-2757-6352; Duarte, Rubens/0000-0002-9939-3400</t>
  </si>
  <si>
    <t>National Counsel of Technological and Scientific Development (CNPq) [141981/2006-7]; State of Sao Paulo Research Foundation (FAPESP)</t>
  </si>
  <si>
    <t>National Counsel of Technological and Scientific Development (CNPq)(Conselho Nacional de Desenvolvimento Cientifico e Tecnologico (CNPQ)); State of Sao Paulo Research Foundation (FAPESP)(Fundacao de Amparo a Pesquisa do Estado de Sao Paulo (FAPESP))</t>
  </si>
  <si>
    <t>We thank the Brazilian navy for the logistical support (Program PROANTAR), National Counsel of Technological and Scientific Development (CNPq - process 141981/2006-7) and The State of Sao Paulo Research Foundation (FAPESP - VGDN project) for the financial support. We are grateful to Adriano Carrasco for the positive controls provided.</t>
  </si>
  <si>
    <t>0378-1135</t>
  </si>
  <si>
    <t>1873-2542</t>
  </si>
  <si>
    <t>VET MICROBIOL</t>
  </si>
  <si>
    <t>Vet. Microbiol.</t>
  </si>
  <si>
    <t>10.1016/j.vetmic.2010.05.006</t>
  </si>
  <si>
    <t>Microbiology; Veterinary Sciences</t>
  </si>
  <si>
    <t>685YU</t>
  </si>
  <si>
    <t>WOS:000284664800022</t>
  </si>
  <si>
    <t>Buitenhuis, ET; Rivkin, RB; Sailley, S; Le Quéré, C</t>
  </si>
  <si>
    <t>Buitenhuis, Erik T.; Rivkin, Richard B.; Sailley, Sevrine; Le Quere, Corinne</t>
  </si>
  <si>
    <t>Biogeochemical fluxes through microzooplankton</t>
  </si>
  <si>
    <t>PHYTOPLANKTON GROWTH; EXPORT PRODUCTION; SEA-ICE; OCEAN; MODEL; RATES; RESPIRATION; BIOMASS</t>
  </si>
  <si>
    <t>[1] Microzooplankton ingest a significant fraction of primary production in the ocean and thus remineralize nutrients and stimulate regenerated primary production. We synthesized observations on microzooplankton carbon-specific grazing rate, partitioning of grazed material, respiration rate, microzooplankton biomass, microzooplankton-mediated phytoplankton mortality rate, and phytoplankton growth rate. We used these observations to parameterize and evaluate the microzooplankton compartment in a global biogeochemical model that represents five plankton functional types. Microzooplankton biomasses predicted in this simulation are closer to the independently derived evaluation data than in the previous model version. Most rates, including primary production, microzooplankton grazing, and export of sinking detritus are within observational constraints. However, the model underestimates microzooplankton and mesozooplankton biomasses and chlorophyll concentrations. Thus, we propose that sufficient carbon enters the model ecosystem, but insufficient carbon is retained. For microzooplankton, the low retention of carbon could be improved by parameterizing the model with ciliate gross growth efficiency only, indicating that ciliates may contribute more to microzooplankton activity than their biomass contribution suggests. By taking into account the model underestimation of biomass, we estimate that the ocean inventory of microzooplankton biomass is 0.24 Pg C (a range of 0.14-0.33 Pg C), which is similar to the biomass of mesozooplankton.</t>
  </si>
  <si>
    <t>[Buitenhuis, Erik T.; Le Quere, Corinne] Univ E Anglia, Sch Environm Sci, Norwich NR4 7TJ, Norfolk, England; [Rivkin, Richard B.] Mem Univ Newfoundland, St John, NF A1C 5S7, Canada; [Sailley, Sevrine] Alfred Wegener Inst Polar &amp; Marine Res, D-27515 Bremerhaven, Germany; [Le Quere, Corinne] British Antarctic Survey, Cambridge CB3 0ET, England</t>
  </si>
  <si>
    <t>University of East Anglia; Memorial University Newfoundland; Helmholtz Association; Alfred Wegener Institute, Helmholtz Centre for Polar &amp; Marine Research; UK Research &amp; Innovation (UKRI); Natural Environment Research Council (NERC); NERC British Antarctic Survey</t>
  </si>
  <si>
    <t>Buitenhuis, ET (corresponding author), Univ E Anglia, Sch Environm Sci, Norwich NR4 7TJ, Norfolk, England.</t>
  </si>
  <si>
    <t>e.buitenhuis@uea.ac.uk</t>
  </si>
  <si>
    <t>Le Quéré, Corinne/C-2631-2017; Buitenhuis, Erik/A-7692-2012</t>
  </si>
  <si>
    <t>Le Quéré, Corinne/0000-0003-2319-0452; Buitenhuis, Erik/0000-0001-6274-5583</t>
  </si>
  <si>
    <t>NERC [NE/C516079/1]; Natural Science and Engineering Research Council of Canada; EU [511106-2, 511176[GOCE]]; Natural Environment Research Council [NE/C516079/1, bas010013] Funding Source: researchfish; NERC [bas010013] Funding Source: UKRI</t>
  </si>
  <si>
    <t>NERC(UK Research &amp; Innovation (UKRI)Natural Environment Research Council (NERC)); Natural Science and Engineering Research Council of Canada(Natural Sciences and Engineering Research Council of Canada (NSERC)); EU(European Union (EU)); Natural Environment Research Council(UK Research &amp; Innovation (UKRI)Natural Environment Research Council (NERC)); NERC(UK Research &amp; Innovation (UKRI)Natural Environment Research Council (NERC))</t>
  </si>
  <si>
    <t>We thank Clare Enright for making the forcing and restart files and other technical support. We thank Heather Bussey for compiling the grazing database and Candice Way for compiling the biomass database. We thank the Laboratoire d'Oceanographie et du Climat for making the code of the NEMO model available. We thank the members of the Dynamic Green Ocean Project for their input throughout this project. We thank Bablu Sinha for identifying a problem in the previous model version with the closure of the iron budget of zooplankton. We thank the reviewers for their constructive criticism. EB thanks the NERC for financial support through MarQuest NE/C516079/1 and the EU through CarboOcean 511176[GOCE]. RBR thanks the Natural Science and Engineering Research Council of Canada for financial support. SS thanks the EU for financial support through EurOceans 511106-2. The grazing database assembly was supported by the Max Planck Institute for Biogeochemistry, Germany, and the biomass database assembly was supported by EurOceans. For details on the model equations, flux rate and microzooplankton biomass observations, simulation results, and general model documentation see the additional information at http://lgmacweb.env.uea. ac.uk/green_ocean/.micro.html. Simplified flux rate and microzooplankton biomass observations are provided as auxiliary material.</t>
  </si>
  <si>
    <t>NOV 19</t>
  </si>
  <si>
    <t>GB4015</t>
  </si>
  <si>
    <t>10.1029/2009GB003601</t>
  </si>
  <si>
    <t>683MR</t>
  </si>
  <si>
    <t>WOS:000284480400001</t>
  </si>
  <si>
    <t>Nicholson, D; Emerson, S; Caillon, N; Jouzel, J; Hamme, RC</t>
  </si>
  <si>
    <t>Nicholson, David; Emerson, Steven; Caillon, Nicolas; Jouzel, Jean; Hamme, Roberta C.</t>
  </si>
  <si>
    <t>Constraining ventilation during deepwater formation using deep ocean measurements of the dissolved gas ratios 40Ar/36Ar, N2/Ar, and Kr/Ar</t>
  </si>
  <si>
    <t>ANTARCTIC SEA-ICE; ATMOSPHERIC CO2; CARBON-DIOXIDE; BOX MODELS; AIR; EXCHANGE; NEON; SOLUBILITY; CLIMATE; PUMP</t>
  </si>
  <si>
    <t>The concentration of inert gases and their isotopes in the deep ocean are useful as tracers of air-sea gas exchange during deepwater formation. Delta Kr/Ar, Delta N-2/Ar, and delta Ar-40 were measured in deep profiles of samples collected in the northwest Pacific, subtropical North Pacific and tropical Atlantic oceans. For the ocean below 2000 m, we determined a mean Delta Kr/Ar composition of -0.96% +/- 0.16%, a mean Delta N-2/Ar of 1.29% +/- 0.21% relative to equilibrium saturation, and for delta Ar-40 a value of 1.188% +/- 0.055% relative to air. These data are used to constrain high-latitude ventilation processes in the framework of three-box and seven-box ocean models. For the three-box model tracer data, we constrain the appropriate surface area of the high-latitude region in both models to be 3.6% (+2.5%, -1.7%) of ocean surface area and the bubble air injection rate to be 22.7 (+8.8, -7.3) mol air m(-2) yr(-1). Results for the seven-box model were similar, with a high-latitude area of 3.3% (+2.2%, -1.3%). Our results provide geochemical support for suggestions that the effective area of high-latitude ventilation is much smaller than the region of elevated preformed nutrients and demonstrate that noble gases strongly constrain the ocean solubility pump. Reducing high-latitude surface area weakens the CO2 solubility pump in the box models and limits communication between the atmosphere and deep ocean. These tracers should be useful constraints on high-latitude ventilation and the strength of the solubility pump in more complex ocean general circulation models.</t>
  </si>
  <si>
    <t>[Nicholson, David] Woods Hole Oceanog Inst, Dept Marine Chem &amp; Geochem, Woods Hole, MA 02543 USA; [Emerson, Steven] Univ Washington, Sch Oceanog, Seattle, WA 98195 USA; [Caillon, Nicolas; Jouzel, Jean] CE Saclay, UVSQ, CNRS, Lab Sci Climat &amp; Environm,IPSL,CEA, F-91191 Gif Sur Yvette, France; [Hamme, Roberta C.] Univ Victoria, Sch Earth &amp; Ocean Sci, Bob Wright Ctr A405, Victoria, BC V8W 3V6, Canada</t>
  </si>
  <si>
    <t>Woods Hole Oceanographic Institution; University of Washington; University of Washington Seattle; Universite Paris Saclay; CEA; Centre National de la Recherche Scientifique (CNRS); Universite Paris Cite; University of Victoria</t>
  </si>
  <si>
    <t>Nicholson, D (corresponding author), Woods Hole Oceanog Inst, Dept Marine Chem &amp; Geochem, MS 25,266 Woods Hole Rd, Woods Hole, MA 02543 USA.</t>
  </si>
  <si>
    <t>dnicholson@whoi.edu</t>
  </si>
  <si>
    <t>Hamme, Roberta/AAA-4802-2022; Caillon, Nicolas/B-7127-2019</t>
  </si>
  <si>
    <t>Nicholson, David/0000-0003-2653-9349; Caillon, Nicolas/0000-0002-6318-6194</t>
  </si>
  <si>
    <t>[NSF-OCE-0647979]</t>
  </si>
  <si>
    <t>We gratefully acknowledge Taka Ito, Charles Stump, University of Washington oceanography undergraduates, and the captains and crew of the CCGS John P. Tulley, R/V Thomas G. Thompson, R/V Mirai, and R/V Oceanus for aid in collecting samples. We wish to thank Jeff Severinghaus and Michael Bender for lending their technical expertise and Robbie Toggweiler for providing model code. Discussions and comments from Paul Quay, James Murray, and Rachel Stanley were very valuable. Mark Haught provided essential technical help for the mass spectrometry. Funding was provided by NSF-OCE-0647979.</t>
  </si>
  <si>
    <t>C11015</t>
  </si>
  <si>
    <t>10.1029/2010JC006152</t>
  </si>
  <si>
    <t>683NY</t>
  </si>
  <si>
    <t>WOS:000284483700004</t>
  </si>
  <si>
    <t>Ellwood, MJ; Wille, M; Maher, W</t>
  </si>
  <si>
    <t>Ellwood, Michael J.; Wille, Martin; Maher, William</t>
  </si>
  <si>
    <t>Glacial Silicic Acid Concentrations in the Southern Ocean</t>
  </si>
  <si>
    <t>CIRCUMPOLAR DEEP-WATER; DIATOMS; CIRCULATION; FRACTIONATION; NUTRIENTS</t>
  </si>
  <si>
    <t>Reconstruction of nutrient concentrations in the deep Southern Ocean has produced conflicting results. The cadmium/calcium (Cd/Ca) data set suggests little change in nutrient concentrations during the last glacial period, whereas the carbon isotope data set suggests that nutrient concentrations were higher. We determined the silicon isotope composition of sponge spicules from the Atlantic and Pacific sectors of the Southern Ocean and found higher silicic acid concentrations in the Pacific sector during the last glacial period. We propose that this increase results from changes in the stoichiometric uptake of silicic acid relative to nitrate and phosphate by diatoms, thus facilitating a redistribution of nutrients across the Pacific and Southern Oceans. Our results are consistent with the global Cd/Ca data set and support the silicic acid leakage hypothesis.</t>
  </si>
  <si>
    <t>[Ellwood, Michael J.; Wille, Martin] Australian Natl Univ, Res Sch Earth Sci, Canberra, ACT 0200, Australia; [Maher, William] Univ Canberra, Fac Sci Appl, Inst Appl Ecol, Canberra, ACT 2601, Australia</t>
  </si>
  <si>
    <t>Australian National University; University of Canberra</t>
  </si>
  <si>
    <t>Ellwood, MJ (corresponding author), Australian Natl Univ, Res Sch Earth Sci, GPO Box 4, Canberra, ACT 0200, Australia.</t>
  </si>
  <si>
    <t>michael.ellwood@anu.edu.au</t>
  </si>
  <si>
    <t>Wille, Martin/A-1973-2009; Ellwood, Michael J/G-7390-2011; Wille, Martin/AAU-7512-2020</t>
  </si>
  <si>
    <t>Ellwood, Michael/0000-0003-4288-8530; Maher, William A./0000-0001-7564-3383; Wille, Martin/0000-0003-1083-4730</t>
  </si>
  <si>
    <t>Australian Research Council [DP0770820, DP0771519]; Australian Research Council [DP0771519, DP0770820] Funding Source: Australian Research Council</t>
  </si>
  <si>
    <t>We acknowledge the Antarctic Research Facility at Florida State University for E33-22 core samples and the Ocean Drilling Program for ODP177 site 1089 core samples. This research was supported with funds from the Australian Research Council (grants DP0770820 and DP0771519). This manuscript benefited from the thoughtful comments of two anonymous reviewers.</t>
  </si>
  <si>
    <t>10.1126/science.1194614</t>
  </si>
  <si>
    <t>682BU</t>
  </si>
  <si>
    <t>WOS:000284374700039</t>
  </si>
  <si>
    <t>Smith, AK; Garcia, RR; Marsh, DR; Kinnison, DE; Richter, JH</t>
  </si>
  <si>
    <t>Smith, Anne K.; Garcia, Rolando R.; Marsh, Daniel R.; Kinnison, Douglas E.; Richter, Jadwiga H.</t>
  </si>
  <si>
    <t>Simulations of the response of mesospheric circulation and temperature to the Antarctic ozone hole</t>
  </si>
  <si>
    <t>GENERAL-CIRCULATION</t>
  </si>
  <si>
    <t>The loss of ozone that has occurred in the Antarctic lower stratosphere during each spring since 1980 has led to a decrease in the lower stratospheric temperature that persists into the summer season. The temperature changes are accompanied by changes in the zonal wind in the SH stratosphere that affect the filtering of gravity waves propagating into the mesosphere. In simulations with the Whole Atmosphere Community Climate Model (WACCM), the resulting gravity wave changes have led to a weakening of the SH summer upwelling around 65-80 km and of the equatorward flow around 0.01 hPa. The trend occurs primarily in the years 1975-1990. The circulation changes are accompanied by an increase in the SH temperature at 65-85 km and a decrease at 95 km. Comparison of the summer temperatures in the NH and SH indicates a distinctive offset beginning around 1980. The increase in temperature near the SH summer mesopause has implications for the presence of polar mesospheric clouds. Citation: Smith, A. K., R. R. Garcia, D. R. Marsh, D. E. Kinnison, and J. H. Richter (2010), Simulations of the response of mesospheric circulation and temperature to the Antarctic ozone hole, Geophys. Res. Lett., 37, L22803, doi: 10.1029/2010GL045255.</t>
  </si>
  <si>
    <t>[Smith, Anne K.; Garcia, Rolando R.; Marsh, Daniel R.; Kinnison, Douglas E.] Natl Ctr Atmospher Res, Div Atmospher Chem, Boulder, CO 80307 USA</t>
  </si>
  <si>
    <t>National Center Atmospheric Research (NCAR) - USA</t>
  </si>
  <si>
    <t>Smith, AK (corresponding author), Natl Ctr Atmospher Res, Div Atmospher Chem, POB 3000, Boulder, CO 80307 USA.</t>
  </si>
  <si>
    <t>aksmith@ucar.edu</t>
  </si>
  <si>
    <t>Marsh, Daniel/A-8406-2008; Garcia-Herrera, Ricardo/ABE-4731-2020</t>
  </si>
  <si>
    <t>Marsh, Daniel/0000-0001-6699-494X; Smith, Anne/0000-0003-2384-5033</t>
  </si>
  <si>
    <t>National Science Foundation; NASA</t>
  </si>
  <si>
    <t>National Science Foundation(National Science Foundation (NSF)); NASA(National Aeronautics &amp; Space Administration (NASA))</t>
  </si>
  <si>
    <t>The National Center for Atmospheric Research is sponsored by the National Science Foundation. Support for this work was also provided by the NASA Heliospheric Guest Investigator Program.</t>
  </si>
  <si>
    <t>NOV 18</t>
  </si>
  <si>
    <t>L22803</t>
  </si>
  <si>
    <t>10.1029/2010GL045255</t>
  </si>
  <si>
    <t>683MG</t>
  </si>
  <si>
    <t>WOS:000284479300006</t>
  </si>
  <si>
    <t>Golden, DI; Spasojevic, M; Foust, FR; Lehtinen, NG; Meredith, NP; Inan, US</t>
  </si>
  <si>
    <t>Golden, D. I.; Spasojevic, M.; Foust, F. R.; Lehtinen, N. G.; Meredith, N. P.; Inan, U. S.</t>
  </si>
  <si>
    <t>Role of the plasmapause in dictating the ground accessibility of ELF/VLF chorus</t>
  </si>
  <si>
    <t>WHISTLER-MODE CHORUS; RADIATION BELT ELECTRONS; MAGNETOSPHERICALLY REFLECTED WHISTLERS; RELATIVISTIC ENERGIES; SUBSTORM ACTIVITY; MAGNETIC-FIELD; EMISSIONS; FREQUENCY; DENSITY; ACCELERATION</t>
  </si>
  <si>
    <t>This study explores the manner in which the plasmapause is responsible for dictating which magnetospheric source regions of ELF/VLF chorus are able to propagate to and be received by midlatitude stations on the ground. First, we explore the effects of plasmapause extent on ground-based observations of chorus via a 3 month study of ground-based measurements of chorus at Palmer Station, Antarctica (L = 2.4, 50 degrees S geomagnetic latitude), and data on the plasmapause extent from the IMAGE EUV instrument. It is found that chorus normalized occurrence peaks when the plasmapause is at L similar to 2.6, somewhat higher than Palmer's L shell, and that this occurrence peak persists across a range of observed chorus frequencies. Next, reverse ray tracing is employed to evaluate the portion of the equatorial chorus source region, distributed in radial distance and wave normal, from which chorus is able to reach Palmer Station via propagation in a nonducted mode. The results of ray tracing are similar to those of observations, with a peak of expected occurrence when the plasmapause is at L similar to 3. The exact location of the peak is frequency dependent. This supports the conclusion that the ability of chorus to propagate to low altitudes and the ground is a strong function of instantaneous plasmapause extent and that peak occurrence of chorus at a given ground station may occur when the L shell of the plasmapause is somewhat beyond that of the observing station. These results also suggest that chorus observed on the ground at midlatitude stations propagates predominantly in the nonducted mode.</t>
  </si>
  <si>
    <t>[Golden, D. I.; Spasojevic, M.; Foust, F. R.; Lehtinen, N. G.; Inan, U. S.] Stanford Univ, Star Lab, Stanford, CA 94305 USA; [Inan, U. S.] Koc Univ, Dept Elect Engn, TR-34450 Istanbul, Turkey; [Meredith, N. P.] British Antarctic Survey, Nat Environm Res Council, Cambridge CB3 0ET, England</t>
  </si>
  <si>
    <t>Stanford University; Koc University; UK Research &amp; Innovation (UKRI); Natural Environment Research Council (NERC); NERC British Antarctic Survey</t>
  </si>
  <si>
    <t>Golden, DI (corresponding author), Stanford Univ, Star Lab, 350 Serra Mall,Packard Bldg, Stanford, CA 94305 USA.</t>
  </si>
  <si>
    <t>dgolden1@stanford.edu; nmer@bas.ac.uk; inan@stanford.edu</t>
  </si>
  <si>
    <t>Inan, Umran/V-3634-2019; Lehtinen, Nikolai/ABE-5988-2021; Meredith, Nigel P/C-5806-2018; Lehtinen, Nikolai/T-4780-2017</t>
  </si>
  <si>
    <t>Inan, Umran/0000-0001-5837-5807; Lehtinen, Nikolai/0000-0003-1739-0837; Horne, Richard/0000-0002-0412-6407; Spasojevic, Maria/0000-0001-8869-5086; Meredith, Nigel/0000-0001-5032-3463</t>
  </si>
  <si>
    <t>National Science Foundation [0538627]; Office of Naval Research [N00014-09-1-0034, Z882802]; Natural Environment Research Council [bas0100023] Funding Source: researchfish; NERC [bas0100023] Funding Source: UKRI</t>
  </si>
  <si>
    <t>National Science Foundation(National Science Foundation (NSF)); Office of Naval Research(Office of Naval Research); Natural Environment Research Council(UK Research &amp; Innovation (UKRI)Natural Environment Research Council (NERC)); NERC(UK Research &amp; Innovation (UKRI)Natural Environment Research Council (NERC))</t>
  </si>
  <si>
    <t>The work at Stanford University was supported by the National Science Foundation under award 0538627 and the Office of Naval Research under awards N00014-09-1-0034 and Z882802.</t>
  </si>
  <si>
    <t>NOV 17</t>
  </si>
  <si>
    <t>A11211</t>
  </si>
  <si>
    <t>10.1029/2010JA015955</t>
  </si>
  <si>
    <t>683PM</t>
  </si>
  <si>
    <t>Green Accepted, Bronze, Green Published</t>
  </si>
  <si>
    <t>WOS:000284487700002</t>
  </si>
  <si>
    <t>Han, Q; Zender, CS</t>
  </si>
  <si>
    <t>Han, Qin; Zender, Charles S.</t>
  </si>
  <si>
    <t>Desert dust aerosol age characterized by mass-age tracking of tracers</t>
  </si>
  <si>
    <t>RESIDENCE-TIME; STRATOSPHERIC TRANSPORT; ATMOSPHERIC TRANSPORT; HYDROCARBON RATIOS; PHOTOCHEMICAL AGE; TRANSIT-TIME; AIR MASSES; VENTILATION; OCEAN; DISTRIBUTIONS</t>
  </si>
  <si>
    <t>We introduce and apply to dust aerosols an efficient method to track tracer age (time since emission) as a function of space and time in large-scale geophysical models. Our mass-age tracking (MAT) method follows the full tracer lifecycles directly and does not depend on proxy, ensemble, or Green's function techniques. MAT sends a mass-age tracer through the same algorithms that the host models use to predict tracer mass processes and then estimates age as the ratio of mass-age to mass. We apply MAT to size-resolved dust aerosol tracers to study the age of dust that remains in the atmosphere and the age of dust at deposition. The results include the first global distribution maps of aerosol age. Dust age varies with location, time, and particle size and is strongly sensitive to climate, wind and precipitation in particular. The global average age of dust at deposition agrees with residence time at similar to 2.7 days, while dust in the atmosphere is, on average, twice as old. As expected, older dust prevails far from sources, at higher altitudes and in smaller sizes. Dust age exhibits a seasonal cycle, stronger for larger dust particles, that peaks in April-June, the period of maximum Asian and North African emissions. The oldest dust at deposition falls in the Antarctic and South Pacific Convergence Zone about 1 month after emission. The mass-weighted ages provided by MAT are useful for investigating and parameterizing the evolution of aerosol physical and chemical properties.</t>
  </si>
  <si>
    <t>[Han, Qin; Zender, Charles S.] Univ Calif Irvine, Dept Earth Syst Sci, Irvine, CA 92697 USA</t>
  </si>
  <si>
    <t>University of California System; University of California Irvine</t>
  </si>
  <si>
    <t>Han, Q (corresponding author), Univ Calif Irvine, Dept Earth Syst Sci, Irvine, CA 92697 USA.</t>
  </si>
  <si>
    <t>zender@uci.edu</t>
  </si>
  <si>
    <t>Zender, Charles S/D-4485-2012</t>
  </si>
  <si>
    <t>Zender, Charles S/0000-0003-0129-8024</t>
  </si>
  <si>
    <t>NSF [OCE-0452972, ARC-0714088]; NASA [NNX07AR23G]</t>
  </si>
  <si>
    <t>NSF(National Science Foundation (NSF)); NASA(National Aeronautics &amp; Space Administration (NASA))</t>
  </si>
  <si>
    <t>This research was supported by NSF OCE-0452972, NSF ARC-0714088, and NASA NNX07AR23G. We thank F. Primeau and three anonymous reviewers for suggestions and helpful comments.</t>
  </si>
  <si>
    <t>NOV 16</t>
  </si>
  <si>
    <t>D22201</t>
  </si>
  <si>
    <t>10.1029/2010JD014155</t>
  </si>
  <si>
    <t>683MY</t>
  </si>
  <si>
    <t>WOS:000284481100004</t>
  </si>
  <si>
    <t>Gusev, O; Nakahara, Y; Vanyagina, V; Malutina, L; Cornette, R; Sakashita, T; Hamada, N; Kikawada, T; Kobayashi, Y; Okuda, T</t>
  </si>
  <si>
    <t>Gusev, Oleg; Nakahara, Yuichi; Vanyagina, Veronica; Malutina, Ludmila; Cornette, Richard; Sakashita, Tetsuya; Hamada, Nobuyuki; Kikawada, Takahiro; Kobayashi, Yasuhiko; Okuda, Takashi</t>
  </si>
  <si>
    <t>Anhydrobiosis-Associated Nuclear DNA Damage and Repair in the Sleeping Chironomid: Linkage with Radioresistance</t>
  </si>
  <si>
    <t>RADIATION TOLERANCE; POLYPEDILUM-VANDERPLANKI; CHROMATIN-STRUCTURE; BDELLOID ROTIFERS; OXIDATIVE STRESS; ANTARCTIC MIDGE; HEAT-SHOCK; DEHYDRATION; TREHALOSE; APOPTOSIS</t>
  </si>
  <si>
    <t>Anhydrobiotic chironomid larvae can withstand prolonged complete desiccation as well as other external stresses including ionizing radiation. To understand the cross-tolerance mechanism, we have analyzed the structural changes in the nuclear DNA using transmission electron microscopy and DNA comet assays in relation to anhydrobiosis and radiation. We found that dehydration causes alterations in chromatin structure and a severe fragmentation of nuclear DNA in the cells of the larvae despite successful anhydrobiosis. Furthermore, while the larvae had restored physiological activity within an hour following rehydration, nuclear DNA restoration typically took 72 to 96 h. The DNA fragmentation level and the recovery of DNA integrity in the rehydrated larvae after anhydrobiosis were similar to those of hydrated larvae irradiated with 70 Gy of high-linear energy transfer (LET) ions (He-4). In contrast, low-LET radiation (gamma-rays) of the same dose caused less initial damage to the larvae, and DNA was completely repaired within within 24 h. The expression of genes encoding the DNA repair enzymes occurred upon entering anhydrobiosis and exposure to high-and low-LET radiations, indicative of DNA damage that includes double-strand breaks and their subsequent repair. The expression of antioxidant enzymes-coding genes was also elevated in the anhydrobiotic and the gamma-ray-irradiated larvae that probably functions to reduce the negative effect of reactive oxygen species upon exposure to these stresses. Indeed the mature antioxidant proteins accumulated in the dry larvae and the total activity of antioxidants increased by a 3-4 fold in association with anhydrobiosis. We conclude that one of the factors explaining the relationship between radioresistance and the ability to undergo anhydrobiosis in the sleeping chironomid could be an adaptation to desiccation-inflicted nuclear DNA damage. There were also similarities in the molecular response of the larvae to damage caused by desiccation and ionizing radiation.</t>
  </si>
  <si>
    <t>[Gusev, Oleg; Nakahara, Yuichi; Cornette, Richard; Kikawada, Takahiro; Okuda, Takashi] Natl Inst Agrobiol Sci, Anhydrobiosis Res Unit, Tsukuba, Ibaraki, Japan; [Gusev, Oleg; Vanyagina, Veronica; Malutina, Ludmila] Kazan VI Lenin State Univ, Dept Invertebrate Zool, Kazan 420008, Russia; [Sakashita, Tetsuya; Kobayashi, Yasuhiko] Japan Atom Energy Agcy, Microbeam Radiat Biol Grp, Takasaki, Gunma, Japan; [Hamada, Nobuyuki] Cent Res Inst Elect Power Ind, Radiat Safety Res Ctr, Nucl Technol Res Lab, Tokyo 201, Japan</t>
  </si>
  <si>
    <t>National Institute of Agrobiological Sciences - Japan; Kazan Federal University; Japan Atomic Energy Agency; Central Research Institute of Electric Power Industry - Japan</t>
  </si>
  <si>
    <t>Gusev, O (corresponding author), Natl Inst Agrobiol Sci, Anhydrobiosis Res Unit, Tsukuba, Ibaraki, Japan.</t>
  </si>
  <si>
    <t>oku@affrc.go.jp</t>
  </si>
  <si>
    <t>Gusev, Oleg/D-9383-2011; Kikawada, Takahiro/A-1289-2010</t>
  </si>
  <si>
    <t>Gusev, Oleg/0000-0002-6203-9758; Kikawada, Takahiro/0000-0002-2329-9282; CORNETTE, Richard/0000-0002-0185-1443; Hamada, Nobuyuki/0000-0003-2518-6131</t>
  </si>
  <si>
    <t>Ministry of Education, Culture, Sport and Technology of Japan; [21688004]; Grants-in-Aid for Scientific Research [21688004] Funding Source: KAKEN</t>
  </si>
  <si>
    <t>Ministry of Education, Culture, Sport and Technology of Japan(Ministry of Education, Culture, Sports, Science and Technology, Japan (MEXT)); ; Grants-in-Aid for Scientific Research(Ministry of Education, Culture, Sports, Science and Technology, Japan (MEXT)Japan Society for the Promotion of ScienceGrants-in-Aid for Scientific Research (KAKENHI))</t>
  </si>
  <si>
    <t>This study is the result of the Elucidation of mechanisms underlying radiation-tolerance linked to anhydrobiosis project carried under the Strategic Promotion program for basic Nuclear Research by the Ministry of Education, Culture, Sport and Technology of Japan. Funding was provided by the Grant-in-Aid for Young Scientists (A) Kakenhi (21688004). The funders had no role in study design, data collection and analysis, decision to publish, or preparation of the manuscript.</t>
  </si>
  <si>
    <t>e14008</t>
  </si>
  <si>
    <t>10.1371/journal.pone.0014008</t>
  </si>
  <si>
    <t>680TI</t>
  </si>
  <si>
    <t>WOS:000284257400012</t>
  </si>
  <si>
    <t>Park, I; Cho, J</t>
  </si>
  <si>
    <t>Park, Inkyung; Cho, Jaiesoon</t>
  </si>
  <si>
    <t>Partial characterization of extracellular cold-adaptive α-amylolytic activity produced by the Antarctic bacterial isolate, Flavobacterium sp PCK1</t>
  </si>
  <si>
    <t>AFRICAN JOURNAL OF BIOTECHNOLOGY</t>
  </si>
  <si>
    <t>Antarctic; Flavobacterium sp.; amylase; endoamylolytic; biocatalyst</t>
  </si>
  <si>
    <t>ENZYMATIC-PROPERTIES; AMYLASE ACTIVITY; PURIFICATION; ENZYMES; NUCLEOTIDE; ALIGNMENT; SEQUENCE</t>
  </si>
  <si>
    <t>An Antarctic bacterial isolate was found to show extracellular alpha-amylolytic activity. Based on 16S rRNA sequence analysis, the strain was named Flavobacterium sp. PCK1. The optimal activity of the amylase occurred at 30 degrees C and pH 6.0. The enzyme was highly specific for soluble starch with no activity on other polysaccharides tested, and it exhibited endoamylolytic activity on chromogenic substrates such as amylose-azure, amylopectin-azure and non-reducing end blocked p-nitrophenyl maltoheptaoside (BPNPG7). The enzyme activity was significantly stimulated by Ca2+ and strongly inhibited by Ni2+, Zn2+, Cu2+ or ethylenediaminetetraacetic acid (EDTA). The enzyme may offer potential for use as a cold-adaptive biocatalyst in biotechnological applications.</t>
  </si>
  <si>
    <t>[Cho, Jaiesoon] Konkuk Univ, Coll Anim Biosci &amp; Technol, Dept Anim Sci &amp; Environm, Seoul 143701, South Korea; [Park, Inkyung; Cho, Jaiesoon] Konkuk Univ, Coll Anim Biosci &amp; Technol, Anim Resources Res Ctr, Seoul 143701, South Korea</t>
  </si>
  <si>
    <t>Konkuk University; Konkuk University</t>
  </si>
  <si>
    <t>Cho, J (corresponding author), Konkuk Univ, Coll Anim Biosci &amp; Technol, Dept Anim Sci &amp; Environm, 1 Hwayang Dong, Seoul 143701, South Korea.</t>
  </si>
  <si>
    <t>chojs70@konkuk.ac.kr</t>
  </si>
  <si>
    <t>Konkuk University</t>
  </si>
  <si>
    <t>This work was supported by the faculty research fund of Konkuk University in 2008.</t>
  </si>
  <si>
    <t>ACADEMIC JOURNALS</t>
  </si>
  <si>
    <t>VICTORIA ISLAND</t>
  </si>
  <si>
    <t>P O BOX 5170-00200 NAIROBI, VICTORIA ISLAND, LAGOS 73023, NIGERIA</t>
  </si>
  <si>
    <t>1684-5315</t>
  </si>
  <si>
    <t>AFR J BIOTECHNOL</t>
  </si>
  <si>
    <t>Afr. J. Biotechnol.</t>
  </si>
  <si>
    <t>NOV 15</t>
  </si>
  <si>
    <t>683NF</t>
  </si>
  <si>
    <t>WOS:000284481800021</t>
  </si>
  <si>
    <t>Bera, MK; Sarkar, A; Tandon, SK; Samanta, A; Sanyal, P</t>
  </si>
  <si>
    <t>Bera, M. K.; Sarkar, A.; Tandon, S. K.; Samanta, A.; Sanyal, P.</t>
  </si>
  <si>
    <t>Does burial diagenesis reset pristine isotopic compositions in paleosol carbonates?</t>
  </si>
  <si>
    <t>Himalaya; paleosol; stable isotope; diagenesis; paleoclimate</t>
  </si>
  <si>
    <t>HIMALAYAN FORELAND BASIN; OXYGEN-ISOTOPE; STABLE-ISOTOPE; PEDOGENIC CARBONATES; CLAY-MINERALS; LATE EOCENE; DIOXIDE CONCENTRATIONS; PALUSTRINE CARBONATES; INDIAN SUBCONTINENT; C-13-O-18 BONDS</t>
  </si>
  <si>
    <t>Sedimentological study of early Oligocene continental carbonates from the fluvial Dagshai Formation of the Himalayan foreland basin, India resulted in the recognition of four different types namely, soil, palustrine, pedogenically modified palustrine and groundwater carbonates. Stable oxygen and carbon isotopic (delta O-18 and delta C-13) analyses of fabric selective carbonate microsamples show that although the pristine isotopic compositions are largely altered during deep-burial diagenesis, complete isotopic homogenization does not occur. delta O-18 and delta C-13 analyses of similar to 200 calcrete and palustrine carbonates from different stratigraphic horizons and comparison with delta O-18 of more robust bioapatite (fossil vertebrate tooth) phase show that dense micrites (similar to&gt;70% carbonate) invariably preserve the pristine delta O-18 value (mean) of similar to - 9.8 parts per thousand, while altered carbonates show much lower delta O-18 value similar to - 13.8 parts per thousand. Such inhomogeneity causes large intra-sample and intra-soil profile variability as high as &gt;5 parts per thousand, suggesting that soils behave like a closed system where diagenetic overprinting occurs in local domains. A simple fluid-rock interaction model suggests active participation of clay minerals to enhance the effect of fluid-rock ratio in local domains during diagenesis. This places an upper limit of 70% micrite concentration above which the effect of diagenetic alteration is minimal. Careful sampling of dense micritic part of the soil carbonate nodules, therefore, does provide pristine isotopic composition and it is inappropriate, as proposed recently, to reject the paleoclimatic potential of all paleosol carbonates affected by burial diagenesis. Based on pristine delta C-13 value of -8.8 +/- 0.2 parts per thousand in soil carbonates an atmospheric CO2 concentration between similar to 764 and similar to 306 ppmv is estimated for the early Oligocene (similar to 31 Ma) Dagshai time. These data show excellent agreement between two independent proxy records (viz, soil carbonate and marine alkenone) and support early Oligocene survival of the Antarctic ice sheet. (C) 2010 Elsevier B.V. All rights reserved.</t>
  </si>
  <si>
    <t>[Bera, M. K.; Sarkar, A.; Samanta, A.; Sanyal, P.] Indian Inst Technol, Dept Geol &amp; Geophys, Kharagpur 721302, W Bengal, India; [Tandon, S. K.] Univ Delhi, Dept Geol, Delhi 110007, India</t>
  </si>
  <si>
    <t>Indian Institute of Technology System (IIT System); Indian Institute of Technology (IIT) - Kharagpur; University of Delhi</t>
  </si>
  <si>
    <t>Sarkar, A (corresponding author), Indian Inst Technol, Dept Geol &amp; Geophys, Kharagpur 721302, W Bengal, India.</t>
  </si>
  <si>
    <t>anindya@gg.iitkgp.ernet.in</t>
  </si>
  <si>
    <t>Kumar Bera, Melinda/0000-0002-8909-0684; Samanta, Arpita/0000-0002-3331-5952</t>
  </si>
  <si>
    <t>Council of Scientific and Industrial Research (CSIR), New Delhi; Department of Science and Technology (DST), New Delhi; DST</t>
  </si>
  <si>
    <t>Council of Scientific and Industrial Research (CSIR), New Delhi(Council of Scientific &amp; Industrial Research (CSIR) - India); Department of Science and Technology (DST), New Delhi(Department of Science &amp; Technology (India)); DST(Department of Science &amp; Technology (India))</t>
  </si>
  <si>
    <t>This work forms part of the Ph.D. thesis of MKB, who thanks the Council of Scientific and Industrial Research (CSIR), New Delhi, for a fellowship. AS thanks the Department of Science and Technology (DST), New Delhi for funding a research project on Palaeogene sediments of western and northwestern India under which the present work was carried out. All isotope data used in this work were generated in the mass spectrometer laboratory funded by the DST. We thank Prof. A. Sahni and K. Kumar for providing the fossil tooth samples and Dr. N.C. Pant and national EPMA-SEM facility of IIT, Kharagpur for the SEM images. We also thank the editor, Prof. Peggy Delaney and two anonymous reviewers for their critical comments which greatly improved the manuscript.</t>
  </si>
  <si>
    <t>10.1016/j.epsl.2010.09.040</t>
  </si>
  <si>
    <t>692CN</t>
  </si>
  <si>
    <t>WOS:000285129200010</t>
  </si>
  <si>
    <t>Wu, XG; Lam, JCW; Xia, CH; Kang, H; Sun, LG; Xie, ZQ; Lam, PKS</t>
  </si>
  <si>
    <t>Wu, Xiaoguo; Lam, James C. W.; Xia, Chonghuan; Kang, Hui; Sun, Liguang; Xie, Zhouqing; Lam, Paul K. S.</t>
  </si>
  <si>
    <t>Atmospheric HCH Concentrations over the Marine Boundary Layer from Shanghai, China to the Arctic Ocean: Role of Human Activity and Climate Change</t>
  </si>
  <si>
    <t>ENVIRONMENTAL SCIENCE &amp; TECHNOLOGY</t>
  </si>
  <si>
    <t>PERSISTENT ORGANIC POLLUTANTS; GLOBAL CHEMICAL FATE; WATER GAS-EXCHANGE; ORGANOCHLORINE PESTICIDES; HEXACHLOROCYCLOHEXANES HCHS; ALPHA-HEXACHLOROCYCLOHEXANE; GAMMA-HEXACHLOROCYCLOHEXANE; BETA-HEXACHLOROCYCLOHEXANE; CANADIAN ARCHIPELAGO; AIR</t>
  </si>
  <si>
    <t>From July to September 2008, air samples were collected aboard the research expedition icebreaker XueLong (Snow Dragon) as part of the 2008 Chinese Arctic Research Expedition Program. Hexachlorocyclohexane (HCH) concentrations were analyzed in all of the samples. The average concentrations (+/- standard deviation) over the entire period were 33 +/- 16, 5.4 +/- 3.0, and 13 +/- 7.5 pg m(-3) for alpha-, beta- and gamma-HCH, respectively. Compared to previous studies in the same areas, total HCH (Sigma HCH, the sum of alpha-, beta-, and gamma-HCH) levels declined by more than 10x compared to those observed in the 1990s, but were approximately 4x higher than those measured by the 2003 China Arctic Research Expedition, suggesting the increase of atmospheric Sigma HCH recently. Because of the continuing use of lindane, ratios of alpha/gamma-HCH showed an obvious decrease in North Pacific and Arctic region compared with those for 2003 Chinese Arctic Research Expedition. In Arctic, the level of alpha-HCH was found to be linked to sea ice distribution. Geographically, the average concentration of alpha-HCH in air samples from the Chukchi and Beaufort Seas, neither of which contain sea ice, was 23 +/- 4.4 pg m(-3), while samples from the area covered by seasonal ice (similar to 75 degrees N to similar to 83 degrees N), the so-called floating sea ice region, contained the highest average levels of alpha-HCH at 48 +/- 12 pg m(-3), likely due to emission from sea ice and strong air-sea exchange. The lowest concentrations of alpha-HCH were observed in the pack ice region in the high Arctic covered by multiyear sea ice (similar to 83 degrees N to similar to 86 degrees N). This phenomenon implies that the re-emission of HCH trapped in ice sheets and Arctic Ocean may accelerate during the summer as ice coverage in the Arctic Ocean decreases in response to global climate change.</t>
  </si>
  <si>
    <t>[Wu, Xiaoguo; Xia, Chonghuan; Kang, Hui; Sun, Liguang; Xie, Zhouqing] Univ Sci &amp; Technol China, Inst Polar Environm, Sch Earth &amp; Space Sci, Hefei 230026, Anhui, Peoples R China; [Wu, Xiaoguo; Xia, Chonghuan; Lam, Paul K. S.] City Univ Hong Kong, Dept Biol &amp; Chem, Kowloon, Hong Kong, Peoples R China; [Wu, Xiaoguo; Lam, James C. W.; Xia, Chonghuan; Lam, Paul K. S.] City Univ Hong Kong, State Key Lab Marine Pollut, Kowloon, Hong Kong, Peoples R China; [Lam, James C. W.] Univ Hong Kong, Sch Biol Sci, Pokfulam, Hong Kong, Peoples R China</t>
  </si>
  <si>
    <t>Chinese Academy of Sciences; University of Science &amp; Technology of China, CAS; City University of Hong Kong; City University of Hong Kong; University of Hong Kong</t>
  </si>
  <si>
    <t>Xie, ZQ (corresponding author), Univ Sci &amp; Technol China, Inst Polar Environm, Sch Earth &amp; Space Sci, Hefei 230026, Anhui, Peoples R China.</t>
  </si>
  <si>
    <t>zqxie@ustc.edu.cn; bhpksl@cityu.edu.hk</t>
  </si>
  <si>
    <t>LAM, Paul Kwan Sing/B-9121-2008; Lam, James C.W./Q-2644-2019; xie, zhouqing/P-9661-2019</t>
  </si>
  <si>
    <t>LAM, Paul Kwan Sing/0000-0002-2134-3710; Lam, James C.W./0000-0002-5557-6213;</t>
  </si>
  <si>
    <t>National Natural Science Foundation of China [41025020, 40776001]; National Basic Research Program of China (973 Program) [2010CB428902, 2009CB421605]; Foundation for the Author of National Excellent Doctoral Dissertation of People's Republic of China [200354]; Chinese Academy of Science [KZCS2-YW-QN506]; Fundamental Research Funds for the Central Universities; Hong Kong Special Administrative Region, China [AoE/P-04/2004]; Hong Kong Research Grants Council [CityU 160610]</t>
  </si>
  <si>
    <t>National Natural Science Foundation of China(National Natural Science Foundation of China (NSFC)); National Basic Research Program of China (973 Program)(National Basic Research Program of China); Foundation for the Author of National Excellent Doctoral Dissertation of People's Republic of China(Foundation for the Author of National Excellent Doctoral Dissertation of China); Chinese Academy of Science(Chinese Academy of Sciences); Fundamental Research Funds for the Central Universities(Fundamental Research Funds for the Central Universities); Hong Kong Special Administrative Region, China; Hong Kong Research Grants Council(Hong Kong Research Grants Council)</t>
  </si>
  <si>
    <t>This study was supported by grants from the National Natural Science Foundation of China (Project Nos. 41025020, 40776001), National Basic Research Program of China (973 Program 2010CB428902 and 2009CB421605), the Foundation for the Author of National Excellent Doctoral Dissertation of People's Republic of China (Grant 200354), The Chinese Academy of Science (Grant KZCS2-YW-QN506) and the Fundamental Research Funds for the Central Universities. The work described in this work was also funded by the Area of Excellence Scheme under the University Grants Committee of the Hong Kong Special Administrative Region, China (Project No. AoE/P-04/2004), and a Hong Kong Research Grants Council (CityU 160610). Field work was supported by China Arctic and Antarctic Administration and the third China Arctic Research Expedition.</t>
  </si>
  <si>
    <t>0013-936X</t>
  </si>
  <si>
    <t>1520-5851</t>
  </si>
  <si>
    <t>ENVIRON SCI TECHNOL</t>
  </si>
  <si>
    <t>Environ. Sci. Technol.</t>
  </si>
  <si>
    <t>10.1021/es102127h</t>
  </si>
  <si>
    <t>680QA</t>
  </si>
  <si>
    <t>WOS:000284248300012</t>
  </si>
  <si>
    <t>Feng, XJ; Simpson, AJ; Gregorich, EG; Elberling, B; Hopkins, DW; Sparrow, AD; Novis, PM; Greenfield, LG; Simpson, MJ</t>
  </si>
  <si>
    <t>Feng, Xiaojuan; Simpson, Andre J.; Gregorich, Edward G.; Elberling, Bo; Hopkins, David W.; Sparrow, Ashley D.; Novis, Philip M.; Greenfield, Lawrence G.; Simpson, Myrna J.</t>
  </si>
  <si>
    <t>Chemical characterization of microbial-dominated soil organic matter in the Garwood Valley, Antarctica</t>
  </si>
  <si>
    <t>DIFFUSION-ORDERED SPECTROSCOPY; BRANCHED ALIPHATIC ALKANES; QUATERNARY CARBON-ATOMS; DRY VALLEY; CYANOBACTERIAL MATS; GRASSLAND SOILS; TAYLOR VALLEY; COMMUNITIES; BIOMARKERS; LIGNIN</t>
  </si>
  <si>
    <t>Despite its harsh environmental conditions, terrestrial Antarctica contains a relatively large microbial biomass. Natural abundance carbon and nitrogen stable isotope signatures of organic materials in the dry valleys indicate mixed provenance of the soil organic matter (SOM) with varying proportions of contributions from lichens, mosses, lake-derived algae and cyanobacteria. Here we employed two complementary analytical techniques, biomarker measurements by gas chromatography/mass spectrometry and solution-state H-1 nuclear magnetic resonance spectroscopy, to provide further information at a molecular-level about the composition and possible source of SOM in the Garwood Valley, Antarctica. The predominance of branched alkanes and short-chain lipids in the solvent extracts indicates that the primary contribution to the SOM was microbial-derived. Chemical structures in the NaOH extracts from soils were also dominated by amide, peptides, and a CH3-dominating aliphatic region that were characteristic of microbial signatures. Furthermore, the SOM in the Garwood Valley contained compounds that were different from those in the cyanobacteria-dominated mat from a nearby lake (including monoethyl alkanes and enriched side-chain protons). This observation suggests that easily degradable carbon sources from the nearby lake did not dominate the SOM, which is consistent with a fast turnover of the mat-derived organic matter found in the valley. This study highlights the important role of native soil microbes in the carbon transformation and biogeochemistry in terrestrial Antarctica. (C) 2010 Elsevier Ltd. All rights reserved.</t>
  </si>
  <si>
    <t>[Feng, Xiaojuan; Simpson, Andre J.; Simpson, Myrna J.] Univ Toronto, Dept Chem, Toronto, ON M1C 1A4, Canada; [Feng, Xiaojuan; Simpson, Andre J.; Simpson, Myrna J.] Univ Toronto, Environm NMR Ctr, Toronto, ON M1C 1A4, Canada; [Gregorich, Edward G.] Agr &amp; Agri Food Canada, Cent Expt Farm, Ottawa, ON K1A 0C6, Canada; [Elberling, Bo] Univ Ctr Svalbard, UNIS, N-9171 Longyearbyen, Norway; [Elberling, Bo] Univ Copenhagen, Dept Geog &amp; Geol, DK-1350 Copenhagen K, Denmark; [Hopkins, David W.] Scottish Crop Res Inst, Dundee DD2 5DA, Scotland; [Hopkins, David W.] Univ Stirling, Sch Biol &amp; Environm Sci, Stirling FK9 4LA, Scotland; [Sparrow, Ashley D.] Univ Nevada, Dept Nat Resources &amp; Environm Sci, Reno, NV 89512 USA; [Novis, Philip M.] Manaaki Whenua Landcare Res, Lincoln 7640, New Zealand; [Greenfield, Lawrence G.] Univ Canterbury, Sch Biol Sci, Christchurch 8020, New Zealand</t>
  </si>
  <si>
    <t>University of Toronto; University of Toronto; Agriculture &amp; Agri Food Canada; University Centre Svalbard (UNIS); University of Copenhagen; James Hutton Institute; University of Stirling; Nevada System of Higher Education (NSHE); University of Nevada Reno; Landcare Research - New Zealand; University of Canterbury</t>
  </si>
  <si>
    <t>Simpson, MJ (corresponding author), Univ Toronto, Dept Chem, 1265 Mil Trail, Toronto, ON M1C 1A4, Canada.</t>
  </si>
  <si>
    <t>myrna.simpson@utoronto.ca</t>
  </si>
  <si>
    <t>Sparrow, Ashley/AAD-7709-2020; Gregorich, Edward G./J-9785-2012; Sparrow, Ashley/D-7872-2011; Feng, Xiaojuan/I-6142-2013; Elberling, Bo/M-4000-2014</t>
  </si>
  <si>
    <t>Sparrow, Ashley/0000-0003-0388-8255; Simpson, Myrna/0000-0002-8084-411X; Feng, Xiaojuan/0000-0002-0443-0628; Novis, Phil/0000-0002-8802-4984; Elberling, Bo/0000-0002-6023-885X; Gregorich, Edward/0000-0003-3652-2946; Hopkins, David/0000-0003-0953-8643</t>
  </si>
  <si>
    <t>Antarctica New Zealand; Agriculture Canada; Natural Sciences and Engineering Research Council of Canada (NSERC); Canada Foundation for Innovation; Ontario Research Fund; Ontario Graduate Scholarship; Foundation for Research, Science and Technology (New Zealand); NERC [NE/D00893X/1] Funding Source: UKRI; Natural Environment Research Council [NE/D00893X/1] Funding Source: researchfish</t>
  </si>
  <si>
    <t>Antarctica New Zealand; Agriculture Canada; Natural Sciences and Engineering Research Council of Canada (NSERC)(Natural Sciences and Engineering Research Council of Canada (NSERC)); Canada Foundation for Innovation(Canada Foundation for InnovationCGIARSpanish Government); Ontario Research Fund; Ontario Graduate Scholarship(Ontario Graduate Scholarship); Foundation for Research, Science and Technology (New Zealand)(New Zealand Foundation for Research, Science and Technology); NERC(UK Research &amp; Innovation (UKRI)Natural Environment Research Council (NERC)); Natural Environment Research Council(UK Research &amp; Innovation (UKRI)Natural Environment Research Council (NERC))</t>
  </si>
  <si>
    <t>This project was part of the science event 'Natural Spatial Subsidies in Continental Antarctic Soils (K052)' funded by Antarctica New Zealand. Patrick St-Georges is greatly appreciated for OC measurements and Professor Rod Seppelt for moss identification. E.G.G. is supported by Agriculture Canada. Natural Sciences and Engineering Research Council of Canada (NSERC) is acknowledged for supporting M.J.S. via a University Faculty Award and a Discovery Grant. A.J.S. and M.J.S. thank the Canada Foundation for Innovation and the Ontario Research Fund for support of the Environmental NMR Centre. X.F. thanks the Ontario Graduate Scholarship. P.M.N. acknowledges support from the Foundation for Research, Science and Technology (New Zealand).</t>
  </si>
  <si>
    <t>10.1016/j.gca.2010.08.019</t>
  </si>
  <si>
    <t>678LT</t>
  </si>
  <si>
    <t>WOS:000284077400015</t>
  </si>
  <si>
    <t>Franzke, C</t>
  </si>
  <si>
    <t>Franzke, Christian</t>
  </si>
  <si>
    <t>Long-Range Dependence and Climate Noise Characteristics of Antarctic Temperature Data</t>
  </si>
  <si>
    <t>EMPIRICAL MODE DECOMPOSITION; TIME-SERIES; TREND; VARIABILITY; MEMORY; LAW</t>
  </si>
  <si>
    <t>This study examines the long-range dependency, climate noise characteristics, and nonlinear temperature trends of eight Antarctic stations from the Reference Antarctic Data for Environmental Research (READER) dataset. Evidence is shown that Antarctic temperatures are long-range dependent. To identify possible nonlinear trends, the ensemble empirical mode decomposition (EEMD) method is used, and then the question of whether the observed trends can arise from internal atmospheric fluctuations is examined. To answer this question, surrogate data are generated from two paradigmatic null models: a standard first-order autoregressive process representing a short-range dependent process and a fractional integrated process representing a long-range dependent process. It is found that three of the eight stations show statistically significant trends when tested against the short-range dependent process while only the Faraday-Vernadsky station temperature time series shows a significant trend when tested against the long-range dependent null model. All other considered stations show no trends that are statistically significant against the two null models, and thus they can be explained by internal atmospheric variability. These results imply that more attention should be given to assessing the correlation structure of climate time series.</t>
  </si>
  <si>
    <t>Franzke, C (corresponding author), British Antarctic Survey, High Cross,Madingley Rd, Cambridge CB3 0ET, England.</t>
  </si>
  <si>
    <t>Franzke, Christian/0000-0002-8084-3256; Franzke, Christian/0000-0003-4111-1228</t>
  </si>
  <si>
    <t>Natural Environment Research Council; NERC [bas0100026] Funding Source: UKRI; Natural Environment Research Council [bas0100026] Funding Source: researchfish</t>
  </si>
  <si>
    <t>I thank Drs. M. Freeman, N. Watkins, J. Turner, R. Gramacy, T. Graves, and C. Hughes for many discussions; P. Fretwell for producing Fig. 1; and three anonymous referees for their helpful comments. This study is part of the British Antarctic Survey Polar Science for Planet Earth Programme. It was funded by the Natural Environment Research Council.</t>
  </si>
  <si>
    <t>10.1175/2010JCLI3654.1</t>
  </si>
  <si>
    <t>693MG</t>
  </si>
  <si>
    <t>WOS:000285227600012</t>
  </si>
  <si>
    <t>Polito, MJ; Goebel, ME</t>
  </si>
  <si>
    <t>Polito, Michael J.; Goebel, Michael E.</t>
  </si>
  <si>
    <t>Investigating the use of stable isotope analysis of milk to infer seasonal trends in the diets and foraging habitats of female Antarctic fur seals</t>
  </si>
  <si>
    <t>Antarctic fur seal; Arctocephalus gazella; Diets; Milk; Stable isotopes</t>
  </si>
  <si>
    <t>ARCTOCEPHALUS-GAZELLA PETERS; SOUTHERN ELEPHANT SEALS; NITROGEN ISOTOPES; BREEDING-SEASON; FATTY-ACIDS; FISH DIET; CARBON; PREY; FRACTIONATION; ENRICHMENT</t>
  </si>
  <si>
    <t>The use of intrinsic biomarkers to infer the foraging ecology of marine predators has become a common alternative to traditional methods of estimating diets and foraging behavior. In this study we examined the ability of the stable isotope analysis (delta N-15 and delta C-13) of milk to infer seasonal variations in the diets and foraging habitats of female Antarctic fur seals (Arctocephalus gazella) breeding at Cape Shirreff, Livingston Island, Antarctica. We found that the stable nitrogen values of lipid-free milk were correlated with seasonal changes in female diet composition during the lactation period identified from scat collections. While we could not fully quantifying female diets using isotopic analysis, evidence from both scat collections and stable isotope analysis suggest that Antarctic krill (Euphausia superba) remained a major dietary item throughout lactation. In addition, these two methods independently highlighted the increasing importance of fish and squid in the diets of females as the season progresses. Furthermore, the isotopic values of milk collected during the perinatal fast suggest that females may be foraging in high productivity areas north of the South Shetland Islands and consume a larger proportion of fish and/or squid prior to parturition. While more confirmatory studies are needed to refine these methods, our results suggests that the delta N-15 and delta C-13 values of lipid-free milk can be used as a proxy to describe the foraging ecology of female Antarctic fur seals prior to and across the lactation period. (C) 2010 Elsevier B.V. All rights reserved.</t>
  </si>
  <si>
    <t>[Polito, Michael J.] Univ N Carolina, Dept Biol &amp; Marine Biol, Wilmington, NC 28401 USA; [Goebel, Michael E.] NOAA Fisheries, SW Fisheries Sci Ctr, Antarctic Ecosyst Res Div, La Jolla, CA USA</t>
  </si>
  <si>
    <t>University of North Carolina; University of North Carolina Wilmington; National Oceanic Atmospheric Admin (NOAA) - USA</t>
  </si>
  <si>
    <t>Polito, MJ (corresponding author), Univ N Carolina, Dept Biol &amp; Marine Biol, Wilmington, NC 28401 USA.</t>
  </si>
  <si>
    <t>Polito, Michael/G-9118-2012</t>
  </si>
  <si>
    <t>Polito, Michael/0000-0001-8639-4431</t>
  </si>
  <si>
    <t>US AMLR</t>
  </si>
  <si>
    <t>Many thanks to the field teams at Cape Sherriff those who helped collect data associated with this study: C. Champagne, S. Freeman S, R Haner, R. Holt and B. McDonald. Thank you to A. Van Cise, J. Lipsky, J. Seminoff, N. Spear, and J. Walsh for assistance with scat processing, otolith identification, and lipid extraction of milk and prey samples. S. Emslie, C. Tobias and K. Durenberger provided assistance with stable isotope analysis. Thanks to J. Blum for statistical advice and assistance. A. Satake and two anonymous reviewers provided helpful revisions to this manuscript. This research was funded by the US AMLR Program. All studies were conducted according to US law, and under approved animal use protocols in conjunction with Antarctic Conservation Act and U.S. Marine Mammal Protection Act Permits (#774-1847-02). [ST]</t>
  </si>
  <si>
    <t>10.1016/j.jembe.2010.08.015</t>
  </si>
  <si>
    <t>683YF</t>
  </si>
  <si>
    <t>WOS:000284513500001</t>
  </si>
  <si>
    <t>Ling, SD; Ibbott, S; Sanderson, JC</t>
  </si>
  <si>
    <t>Ling, S. D.; Ibbott, S.; Sanderson, J. C.</t>
  </si>
  <si>
    <t>Recovery of canopy-forming macroalgae following removal of the enigmatic grazing sea urchin Heliocidaris erythrogramma</t>
  </si>
  <si>
    <t>Community dynamics; Habitat-modifying species; Kelp beds; Temperate Australian reefs; Urchin barrens; Wave exposure</t>
  </si>
  <si>
    <t>KELP UNDARIA-PINNATIFIDA; ROCKY REEF HABITATS; MARINE RESERVES; STRONGYLOCENTROTUS-DROEBACHIENSIS; ECOSYSTEM ENGINEERS; COMMUNITY STRUCTURE; FOREST COMMUNITY; TROPHIC CASCADES; EASTERN CANADA; AUSTRALIA</t>
  </si>
  <si>
    <t>The sea urchin Heliocidaris erythrogramma (Valenciennes, 1846) is considered an ecologically important member of shallow sub-tidal reef assemblages across temperate Australia. However, defining its ecological role has remained elusive due to a paucity of evidence demonstrating the ability of this species to graze and maintain sea urchin barrens. Here we present critical evidence for a grazing effect of H. erythrogramma at typically observable densities (similar to 4-6 individuals m(-2)) by demonstrating recovery of canopy-forming brown algae following two controlled removals of the sea urchin from ostensibly barrens reef at sheltered locations in eastern Tasmania. In experimental plots where H. erythrogramma was removed, canopy-forming algae gradually recovered to demonstrate an average 5 times (ranging nil to 10 times) increase in percentage cover at 24 months post manipulation (chiefly driven by the habitat-formers Cystophora spp., Macrocystis pyrifera, Acrocarpia paniculata, and Sargassum spp.). While divergence in the overall algal community was indicated by both experiments, a statistically significant shift, based on percentage cover community data, was observed for only one location at 24 months post sea urchin removal, suggesting that a complete canopy-driven shift in community structure will be gradual and will be contingent on urchin density remaining below approximately 1.5 m(-2) in the longer term. The relatively slow and highly variable rates of algal recovery across plots suggests that seasonal coexistence of annual (chiefly filamentous algae) and some perennial macroalgae on H. erythrogramma barrens is likely due to a relatively low and variable intensity of selective grazing. We conclude that H. erythrogramma, at sufficient densities, is capable of grazing and maintaining a sea urchin barrens state however this phenomenon is observed to manifest in sheltered waters only. In contrast, H. erythrogramma occurring on exposed Tasmanian reefs achieves similar densities but here barrens are not observed and the sea urchin occurs cryptically within crevices and, consistent with experiments elsewhere in Australia, the sea urchin under these conditions appears to feed exclusively on an abundance of detached 'drift' macroalgae. Top-down and bottom-up factors leading to increased abundance of H. erythrogramma will be important in determining the potential influence of this enigmatic grazer on rocky reef communities, however critical tests of mechanisms controlling the switch between foraging modes are needed. Taken together, correlative patterns and results of experimental removals across the range of H. erythrogramma demonstrate that models of temperate Australian reef dynamics must account for the highly context-dependent effects of sea urchin foraging. (C) 2010 Elsevier B.V. All rights reserved.</t>
  </si>
  <si>
    <t>[Ling, S. D.; Sanderson, J. C.] Univ Tasmania, Inst Marine &amp; Antarctic Studies, Hobart, Tas 7001, Australia; [Ibbott, S.] Marine Solut, Bonnet Hill 7053, Australia</t>
  </si>
  <si>
    <t>Ling, SD (corresponding author), Univ Tasmania, Inst Marine &amp; Antarctic Studies, Private Bag 129, Hobart, Tas 7001, Australia.</t>
  </si>
  <si>
    <t>Scott.Ling@utas.edu.au</t>
  </si>
  <si>
    <t>Ling, Scott/J-7161-2014</t>
  </si>
  <si>
    <t>Ling, Scott/0000-0002-5544-8174</t>
  </si>
  <si>
    <t>Fisheries Research Development Corporation [93/221]</t>
  </si>
  <si>
    <t>Fisheries Research Development Corporation</t>
  </si>
  <si>
    <t>Many dive volunteers assisted with the fieldwork, particular recognition goes to W. James, M. Rossignol and M. Smith. Experimental manipulations in the D'Entrecasteaux Channel were conducted as part of a Fisheries Research Development Corporation grant (#93/221) obtained by JCS, W. James and M. Rossignol. Experimental manipulations in the Mercury Passage were conducted as part of a National Heritage Trust project obtained by JCS via a Seacare initiative. [ST]</t>
  </si>
  <si>
    <t>10.1016/j.jembe.2010.08.027</t>
  </si>
  <si>
    <t>WOS:000284513500018</t>
  </si>
  <si>
    <t>Northcott, KA; Bacus, J; Taya, N; Komatsu, Y; Perera, JM; Stevens, GW</t>
  </si>
  <si>
    <t>Northcott, Kathy A.; Bacus, Joannelle; Taya, Naoyuki; Komatsu, Yu; Perera, Jilska M.; Stevens, Geoffrey W.</t>
  </si>
  <si>
    <t>Synthesis and characterization of hydrophobic zeolite for the treatment of hydrocarbon contaminated ground water</t>
  </si>
  <si>
    <t>JOURNAL OF HAZARDOUS MATERIALS</t>
  </si>
  <si>
    <t>Permeable reactive barriers; Hydrocarbon sorption; Hydrophobic zeolite</t>
  </si>
  <si>
    <t>PERMEABLE REACTIVE BARRIERS; SURFACTANT-MODIFIED ZEOLITE; VOLATILE ORGANIC-COMPOUNDS; GRANULAR ACTIVATED CARBON; NATURAL ZEOLITES; MOLECULAR-SIEVES; SORPTION; ADSORPTION; HEXADECYLTRIMETHYLAMMONIUM; REMEDIATION</t>
  </si>
  <si>
    <t>Hydrophobic zeolite was synthesized, modified and characterized for its suitability as a permeable reactive barrier (PRB) material for treatment of hydrocarbons in groundwater. Batch sorption tests were performed along with a number of standard characterization techniques. High and low ionic strength and pH tests were also conducted to determine their impact on hydrocarbon uptake. Further ion exchange tests were conducted to determine the potential for the zeolite to act as both a hydrocarbon capture material and nutrient a delivery system for bioremediation. The zeolite was coated with octadecyltrichlorosilane (C18) to change its surface properties. The results of the surface characterization tests showed that the underlying zeolite structure was largely unaffected by the coating. TGA measurements showed a reactive carbon content of 1-2%. Hydrocarbon (o-xylene and naphthalene) sorption isotherms results compared well with the behaviour of similar materials investigated by other researchers. Ionic strength and pH had little effect on hydrocarbon sorption and the treated zeolite had an ion exchange capacity of 0.3 mequiv./g, indicating it could be utilised as a nutrient source in PRBs. Recycle tests indicated that the zeolite could be used cleaned and reused at least three times without significant reduction in treatment effectiveness. (C) 2010 Elsevier B.V. All rights reserved.</t>
  </si>
  <si>
    <t>[Northcott, Kathy A.; Bacus, Joannelle; Perera, Jilska M.; Stevens, Geoffrey W.] Univ Melbourne, Dept Chem &amp; Biomol Engn, Particulate Fluids Proc Ctr, Parkville, Vic 3010, Australia; [Taya, Naoyuki; Komatsu, Yu] Kanazawa Inst Technol, Fac Engn, Nonoichi, Ishikawa 9218501, Japan</t>
  </si>
  <si>
    <t>University of Melbourne; Kanazawa Institute of Technology</t>
  </si>
  <si>
    <t>Stevens, GW (corresponding author), Univ Melbourne, Dept Chem &amp; Biomol Engn, Particulate Fluids Proc Ctr, Parkville, Vic 3010, Australia.</t>
  </si>
  <si>
    <t>gstevens@unimelb.edu.au</t>
  </si>
  <si>
    <t>Perera, Jilska/AAF-5647-2020</t>
  </si>
  <si>
    <t>Stevens, Geoffrey/0000-0002-5788-4682</t>
  </si>
  <si>
    <t>Particulate Fluids Processing Centre, a Special Research Centre of the Australian Research Council; Kanazawa Institute of Technology</t>
  </si>
  <si>
    <t>Particulate Fluids Processing Centre, a Special Research Centre of the Australian Research Council(Australian Research Council); Kanazawa Institute of Technology</t>
  </si>
  <si>
    <t>This study was supported by the Particulate Fluids Processing Centre, a Special Research Centre of the Australian Research Council and the Kanazawa Institute of Technology. The St Cloud zeolite was supplied by the Australian Antarctic Division. Special thanks to Meifang Zhou from the School of Chemistry, the University of Melbourne, for advice on the TGA and nitrogen adsorption techniques, Dr Yujiro Watanabe (KIT) and Professor Kaoru Fujinaga (KIT) for assistance with the XRD and GC measurements.</t>
  </si>
  <si>
    <t>0304-3894</t>
  </si>
  <si>
    <t>1873-3336</t>
  </si>
  <si>
    <t>J HAZARD MATER</t>
  </si>
  <si>
    <t>J. Hazard. Mater.</t>
  </si>
  <si>
    <t>10.1016/j.jhazmat.2010.07.043</t>
  </si>
  <si>
    <t>659ZY</t>
  </si>
  <si>
    <t>WOS:000282607600055</t>
  </si>
  <si>
    <t>Eagles, G</t>
  </si>
  <si>
    <t>Eagles, Graeme</t>
  </si>
  <si>
    <t>South Georgia and Gondwana's Pacific Margin: Lost in translation?</t>
  </si>
  <si>
    <t>South Georgia; Extended continental margin; Tectonic reconstruction; Antarctic circumpolar current; Gondwana; Ophiolite</t>
  </si>
  <si>
    <t>NORTH-SCOTIA-RIDGE; TIERRA-DEL-FUEGO; BACK-ARC BASIN; RELATIVE PLATE MOTIONS; TECTONIC EVOLUTION; ANTARCTIC PENINSULA; SOUTHERNMOST ANDES; U-PB; SEA; ISLAND</t>
  </si>
  <si>
    <t>The geology of South Georgia has long been interpreted as the product of processes acting at the Pacific margin of Gondwana in Jurassic and earlier times. This placement requires 1600 km of translation of South Georgia to its present location, for half of which there is no evidence. Assuming this means that 800 km of the translation cannot have occurred, it requires that those processes acted at a location much further east, within the interior of Gondwana. One such location could have been at the southern edge of the Deseado Terrane, which collided and sutured with Gondwana in Carboniferous times. Later, in this location, South Georgia would have experienced shearing and extension during the earliest stages of breakup of the supercontinent, eventually to form part of the ensuing ocean's northern margin. These, or possibly more recent tectonic events on the lengthening northern margin of the Scotia Sea, led to the northward abduction of ophiolitic rocks onto the island. A history like this reduces South Georgia to a peripheral role in the paleoceanographic development of Drake Passage, and strengthens the case for Eocene connection between the Pacific and Atlantic oceans. (C) 2010 Elsevier Ltd. All rights reserved.</t>
  </si>
  <si>
    <t>Royal Holloway Univ London, Dept Earth Sci, Egham TW20 0EX, Surrey, England</t>
  </si>
  <si>
    <t>Eagles, G (corresponding author), Royal Holloway Univ London, Dept Earth Sci, Egham TW20 0EX, Surrey, England.</t>
  </si>
  <si>
    <t>g.eagles@es.rhul.ac.uk</t>
  </si>
  <si>
    <t>Eagles, Graeme/0000-0001-5325-0810</t>
  </si>
  <si>
    <t>Royal Holloway, University of London</t>
  </si>
  <si>
    <t>I thank Royal Holloway, University of London for support. Matias Ghiglione and Bob Pankhurst both provided thought-provoking and constructive reviews for which I am very grateful.</t>
  </si>
  <si>
    <t>10.1016/j.jsames.2010.04.004</t>
  </si>
  <si>
    <t>695LY</t>
  </si>
  <si>
    <t>WOS:000285372800001</t>
  </si>
  <si>
    <t>Jokat, W; Nogi, Y; Leinweber, V</t>
  </si>
  <si>
    <t>Jokat, W.; Nogi, Y.; Leinweber, V.</t>
  </si>
  <si>
    <t>New aeromagnetic data from the western Enderby Basin and consequences for Antarctic-India break-up</t>
  </si>
  <si>
    <t>SPREADING MAGNETIC-ANOMALIES; BAY; INSIGHTS; RIDGE</t>
  </si>
  <si>
    <t>In order to enhance our understanding of the continental break-up between East India and Antarctica, a Japanese/German aerogeophysical survey was conducted off eastern Dronning Maud Land and western Enderby Land, Antarctica. The systematic survey with a line spacing of 20 km provides strong constraints on the timing of the initial break-up of India/Antarctica compared to the conjugate margin south of Sri Lanka. While the continent-ocean transition is very well marked by pronounced positive and negative magnetic anomalies, no hints on the existence of magnetic spreading anomalies north of this zone has been found in the new data set. Thus, in contrast to most recently published models, the data only support kinematic models, which include a final break-up of Sri Lanka/India from our investigated area some 90-118 Ma within the Cretaceous Normal Superchron. Citation: Jokat, W., Y. Nogi, and V. Leinweber (2010), New aeromagnetic data from the western Enderby Basin and consequences for Antarctic-India break-up, Geophys. Res. Lett., 37, L21311, doi: 10.1029/2010GL045117.</t>
  </si>
  <si>
    <t>[Jokat, W.; Leinweber, V.] Alfred Wegener Inst Polar &amp; Marine Res, D-27568 Bremerhaven, Germany; [Nogi, Y.] Natl Inst Polar Res, Tokyo 1908518, Japan</t>
  </si>
  <si>
    <t>Helmholtz Association; Alfred Wegener Institute, Helmholtz Centre for Polar &amp; Marine Research; Research Organization of Information &amp; Systems (ROIS); National Institute of Polar Research (NIPR) - Japan</t>
  </si>
  <si>
    <t>Jokat, W (corresponding author), Alfred Wegener Inst Polar &amp; Marine Res, D-27568 Bremerhaven, Germany.</t>
  </si>
  <si>
    <t>Nogi, Yoshifumi/0000-0001-8457-4244; Jokat, Wilfried/0000-0002-7793-5854</t>
  </si>
  <si>
    <t>NOV 13</t>
  </si>
  <si>
    <t>L21311</t>
  </si>
  <si>
    <t>10.1029/2010GL045117</t>
  </si>
  <si>
    <t>680FQ</t>
  </si>
  <si>
    <t>WOS:000284218200004</t>
  </si>
  <si>
    <t>Cornette, R; Kanamori, Y; Watanabe, M; Nakahara, Y; Gusev, O; Mitsumasu, K; Kadono-Okuda, K; Shimomura, M; Mita, K; Kikawada, T; Okuda, T</t>
  </si>
  <si>
    <t>Cornette, Richard; Kanamori, Yasushi; Watanabe, Masahiko; Nakahara, Yuichi; Gusev, Oleg; Mitsumasu, Kanako; Kadono-Okuda, Keiko; Shimomura, Michihiko; Mita, Kazuei; Kikawada, Takahiro; Okuda, Takashi</t>
  </si>
  <si>
    <t>Identification of Anhydrobiosis-related Genes from an Expressed Sequence Tag Database in the Cryptobiotic Midge Polypedilum vanderplanki (Diptera; Chironomidae)</t>
  </si>
  <si>
    <t>JOURNAL OF BIOLOGICAL CHEMISTRY</t>
  </si>
  <si>
    <t>EMBRYOGENESIS ABUNDANT PROTEIN; HEAT-SHOCK PROTEINS; OXIDATIVE STRESS; ENCYSTED EMBRYOS; ANTARCTIC MIDGE; MOLECULAR-BASIS; DEHYDRATION; TREHALOSE; RESPONSES; CHAPERONE</t>
  </si>
  <si>
    <t>Some organisms are able to survive the loss of almost all their body water content, entering a latent state known as anhydrobiosis. The sleeping chironomid (Polypedilum vanderplanki) lives in the semi-arid regions of Africa, and its larvae can survive desiccation in an anhydrobiotic form during the dry season. To unveil the molecular mechanisms of this resistance to desiccation, an anhydrobiosis-related Expressed Sequence Tag (EST) database was obtained from the sequences of three cDNA libraries constructed from P. vanderplanki larvae after 0, 12, and 36 h of desiccation. The database contained 15,056 ESTs distributed into 4,807 UniGene clusters. ESTs were classified according to gene ontology categories, and putative expression patterns were deduced for all clusters on the basis of the number of clones in each library; expression patterns were confirmed by real-time PCR for selected genes. Among up-regulated genes, antioxidants, late embryogenesis abundant (LEA) proteins, and heat shock proteins (Hsps) were identified as important groups for anhydrobiosis. Genes related to trehalose metabolism and various transporters were also strongly induced by desiccation. Those results suggest that the oxidative stress response plays a central role in successful anhydrobiosis. Similarly, protein denaturation and aggregation may be prevented by marked up-regulation of Hsps and the anhydrobiosis-specific LEA proteins. A third major feature is the predicted increase in trehalose synthesis and in the expression of various transporter proteins allowing the distribution of trehalose and other solutes to all tissues.</t>
  </si>
  <si>
    <t>[Cornette, Richard; Kanamori, Yasushi; Watanabe, Masahiko; Nakahara, Yuichi; Gusev, Oleg; Mitsumasu, Kanako; Kadono-Okuda, Keiko; Mita, Kazuei; Kikawada, Takahiro; Okuda, Takashi] Natl Inst Agrobiol Sci, Tsukuba, Ibaraki 3058634, Japan; [Shimomura, Michihiko] Mitsubishi Space Software, Tsukuba, Ibaraki 3050032, Japan</t>
  </si>
  <si>
    <t>National Institute of Agrobiological Sciences - Japan</t>
  </si>
  <si>
    <t>Kikawada, T (corresponding author), Natl Inst Agrobiol Sci, 1-2 Ohwashi, Tsukuba, Ibaraki 3058634, Japan.</t>
  </si>
  <si>
    <t>kikawada@affrc.go.jp; okuda@affrc.go.jp</t>
  </si>
  <si>
    <t>Gusev, Oleg/0000-0002-6203-9758; Kikawada, Takahiro/0000-0002-2329-9282; CORNETTE, Richard/0000-0002-0185-1443</t>
  </si>
  <si>
    <t>Promotion of Basic Research Activities for Innovative Bioscience (PROBRAIN); Ministry of Agriculture, Forestry and Fisheries of Japan; Ministry of Education, Culture, Sports, Science and Technology of Japan [21688004]; Grants-in-Aid for Scientific Research [21688004] Funding Source: KAKEN</t>
  </si>
  <si>
    <t>Promotion of Basic Research Activities for Innovative Bioscience (PROBRAIN); Ministry of Agriculture, Forestry and Fisheries of Japan(Ministry of Agriculture Forestry &amp; Fisheries - Japan); 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</si>
  <si>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This work was supported by the Promotion of Basic Research Activities for Innovative Bioscience (PROBRAIN), a grant-in-aid (Bio Design Program) from the Ministry of Agriculture, Forestry and Fisheries of Japan, and by Grant-in-aid for Scientific Research Number 21688004 from the Ministry of Education, Culture, Sports, Science and Technology of Japan. A part of this study is also the result of the project Characterization of the Mechanisms Underlying the Radiation Resistance Associated with Cryptobiosis carried out under the grant Strategic Promotion Program for Basic Nuclear Research by the Ministry of Education, Culture, Sports, Science and Technology of Japan.</t>
  </si>
  <si>
    <t>AMER SOC BIOCHEMISTRY MOLECULAR BIOLOGY INC</t>
  </si>
  <si>
    <t>11200 ROCKVILLE PIKE, SUITE 302, ROCKVILLE, MD, UNITED STATES</t>
  </si>
  <si>
    <t>0021-9258</t>
  </si>
  <si>
    <t>1083-351X</t>
  </si>
  <si>
    <t>J BIOL CHEM</t>
  </si>
  <si>
    <t>J. Biol. Chem.</t>
  </si>
  <si>
    <t>NOV 12</t>
  </si>
  <si>
    <t>10.1074/jbc.M110.150623</t>
  </si>
  <si>
    <t>675QK</t>
  </si>
  <si>
    <t>WOS:000283845300066</t>
  </si>
  <si>
    <t>Santitissadeekorn, N; Froyland, G; Monahan, A</t>
  </si>
  <si>
    <t>Santitissadeekorn, Naratip; Froyland, Gary; Monahan, Adam</t>
  </si>
  <si>
    <t>Optimally coherent sets in geophysical flows: A transfer-operator approach to delimiting the stratospheric polar vortex</t>
  </si>
  <si>
    <t>PHYSICAL REVIEW E</t>
  </si>
  <si>
    <t>ALMOST-INVARIANT SETS; TRANSPORT; DYNAMICS; APPROXIMATION; OZONE</t>
  </si>
  <si>
    <t>The edge of the Antarctic polar vortex is known to behave as a barrier to the meridional (poleward) transport of ozone during the austral winter. This chemical isolation of the polar vortex from the middle and low latitudes produces an ozone minimum in the vortex region, intensifying the ozone hole relative to that which would be produced by photochemical processes alone. Observational determination of the vortex edge remains an active field of research. In this paper, we obtain objective estimates of the structure of the polar vortex by introducing a technique based on transfer operators that aims to find regions with minimal external transport. Applying this technique to European Centre for Medium-Range Weather Forecasts (ECMWF) ERA-40 three-dimensional velocity data, we produce an improved three-dimensional estimate of the vortex location in the upper stratosphere where the vortex is most pronounced. This computational approach has wide potential application in detecting and analyzing mixing structures in a variety of atmospheric, oceanographic, and general fluid dynamical settings.</t>
  </si>
  <si>
    <t>[Santitissadeekorn, Naratip; Froyland, Gary] Univ New S Wales, Sch Math &amp; Stat, Sydney, NSW 2052, Australia; [Monahan, Adam] Univ Victoria, Sch Earth &amp; Ocean Sci, Victoria, BC, Canada</t>
  </si>
  <si>
    <t>University of New South Wales Sydney; University of Victoria</t>
  </si>
  <si>
    <t>Santitissadeekorn, N (corresponding author), Univ New S Wales, Sch Math &amp; Stat, Sydney, NSW 2052, Australia.</t>
  </si>
  <si>
    <t>Monahan, Adam/J-9895-2012; Froyland, Gary/M-4842-2019</t>
  </si>
  <si>
    <t>Froyland, Gary/0000-0002-2995-0582</t>
  </si>
  <si>
    <t>ARC Centre of Excellence for the Mathematics and Statistics of Complex Systems (MASCOS); MASCOS; NSERC</t>
  </si>
  <si>
    <t>ARC Centre of Excellence for the Mathematics and Statistics of Complex Systems (MASCOS)(Australian Research Council); MASCOS; NSERC(Natural Sciences and Engineering Research Council of Canada (NSERC))</t>
  </si>
  <si>
    <t>G.F. is partially supported by the ARC Centre of Excellence for the Mathematics and Statistics of Complex Systems (MASCOS). N.S. is supported by MASCOS. A.M. is supported by NSERC.</t>
  </si>
  <si>
    <t>1539-3755</t>
  </si>
  <si>
    <t>1550-2376</t>
  </si>
  <si>
    <t>PHYS REV E</t>
  </si>
  <si>
    <t>Phys. Rev. E</t>
  </si>
  <si>
    <t>10.1103/PhysRevE.82.056311</t>
  </si>
  <si>
    <t>Physics, Fluids &amp; Plasmas; Physics, Mathematical</t>
  </si>
  <si>
    <t>679FN</t>
  </si>
  <si>
    <t>WOS:000284147100005</t>
  </si>
  <si>
    <t>Cannone, N; Lewkowicz, AG; Guglielmin, M</t>
  </si>
  <si>
    <t>Cannone, Nicoletta; Lewkowicz, Antoni G.; Guglielmin, Mauro</t>
  </si>
  <si>
    <t>Vegetation colonization of permafrost-related landslides, Ellesmere Island, Canadian High Arctic</t>
  </si>
  <si>
    <t>JOURNAL OF GEOPHYSICAL RESEARCH-BIOGEOSCIENCES</t>
  </si>
  <si>
    <t>LAYER DETACHMENT FAILURES; FOSHEIM PENINSULA; PLANT-COMMUNITIES; DISTURBANCE; THAW; ECOSYSTEMS; SUCCESSION; MOUNTAINS; PATTERNS; IMPACTS</t>
  </si>
  <si>
    <t>Relationships between vegetation colonization and landslide disturbance are analyzed for 12 active-layer detachments of differing ages located in three areas of the Fosheim Peninsula, Ellesmere Island (80 degrees N). We discuss vegetation as an age index for landslides and a way to assess the time needed for complete recolonization of the surfaces since landslide detachment. Vegetation on undisturbed terrain is similar in the three areas but is more highly developed and complex inland due to a warmer summer climate. On a regional scale, the location of the area is as important as the effect of landslide age on vegetation colonization because of the influence of mesoclimatic conditions on vegetation development. On a landscape scale, there is a positive relationship between landslide age and vegetation development, as represented by total vegetation cover, floristic composition, and successional stage. Consequently, vegetation can be used at this scale as an indicator of landslide age. Fifty years are required to restore vegetation patches to a floristic composition similar to communities occurring in undisturbed conditions, but with lower floristic richness and a discontinuous cover and without well-developed layering. The shorter time needed for landslide recovery in the area with the warmest summer climate confirms the sensitivity of arctic vegetation to small differences in air temperature. This could trigger a set of interlinked feedbacks that would amplify future rates of climate warming.</t>
  </si>
  <si>
    <t>[Cannone, Nicoletta] Univ Ferrara, Dept Biol &amp; Evolut, I-44100 Ferrara, Italy; [Lewkowicz, Antoni G.] Univ Ottawa, Dept Geog, Ottawa, ON K1N 6N5, Canada; [Guglielmin, Mauro] Univ Insubria, DBSF, I-21100 Varese, Italy</t>
  </si>
  <si>
    <t>University of Ferrara; University of Ottawa; University of Insubria</t>
  </si>
  <si>
    <t>Cannone, N (corresponding author), Univ Insubria, Dept Chem &amp; Environm Sci, Via Lucini 3, I-22100 Como, Italy.</t>
  </si>
  <si>
    <t>Cannone, Nicoletta/W-8651-2019; Lewkowicz, Antoni G/B-4077-2013</t>
  </si>
  <si>
    <t>Cannone, Nicoletta/0000-0002-3390-3965;</t>
  </si>
  <si>
    <t>Natural Sciences and Engineering Research Council of Canada; Third University of Rome; PNRA (Progetto nazionale di Ricerche in Antartide)</t>
  </si>
  <si>
    <t>Natural Sciences and Engineering Research Council of Canada(Natural Sciences and Engineering Research Council of Canada (NSERC)CGIAR); Third University of Rome; PNRA (Progetto nazionale di Ricerche in Antartide)</t>
  </si>
  <si>
    <t>We are very grateful to Hugh French (University of Ottawa), Josef Svoboda (University of Toronto at Mississauga, Ontario), Norikazu Matsuoka (University of Tsukuba, Japan), and two anonymous reviewers who generously provided constructive comments on an earlier version of the paper. Financial support for field work was given by the Natural Sciences and Engineering Research Council of Canada. Logistical support was provided through the Antarctic Exchange Program of the Polar Continental Shelf Project, Energy Mines and Resources Canada (PCSP contribution 2210). Part of this work was supported by a grant from the Third University of Rome to Francesco Dramis and by PNRA (Progetto nazionale di Ricerche in Antartide).</t>
  </si>
  <si>
    <t>2169-8953</t>
  </si>
  <si>
    <t>2169-8961</t>
  </si>
  <si>
    <t>J GEOPHYS RES-BIOGEO</t>
  </si>
  <si>
    <t>J. Geophys. Res.-Biogeosci.</t>
  </si>
  <si>
    <t>NOV 11</t>
  </si>
  <si>
    <t>G04020</t>
  </si>
  <si>
    <t>10.1029/2010JG001384</t>
  </si>
  <si>
    <t>Environmental Sciences; Geosciences, Multidisciplinary</t>
  </si>
  <si>
    <t>680GQ</t>
  </si>
  <si>
    <t>WOS:000284220800004</t>
  </si>
  <si>
    <t>Pyle, ML; Wiens, DA; Nyblade, AA; Anandakrishnan, S</t>
  </si>
  <si>
    <t>Pyle, Moira L.; Wiens, Douglas A.; Nyblade, Andrew A.; Anandakrishnan, Sridhar</t>
  </si>
  <si>
    <t>Crustal structure of the Transantarctic Mountains near the Ross Sea from ambient seismic noise tomography</t>
  </si>
  <si>
    <t>NICHING GENETIC ALGORITHM; RAYLEIGH-WAVE TOMOGRAPHY; ANTARCTIC ICE STREAM; GEOPHYSICAL INVESTIGATIONS; SUBGLACIAL GEOLOGY; RECEIVER-FUNCTION; GREENS-FUNCTION; UPPER-MANTLE; WEST; EAST</t>
  </si>
  <si>
    <t>We derive a model for crustal shear wave velocities in the Transantarctic Mountains and surrounding areas of East Antarctica and the Ross Sea region of West Antarctica using Rayleigh wave Green's functions estimated from the cross correlation of ambient seismic noise recorded by the Transantarctic Mountains Seismic Experiment. Group velocity maps are determined from travel times measured from the Rayleigh waves filtered at periods between 5 and 23 s. The velocity maps are inverted for shear velocities across the region using a niching genetic algorithm. We observe only minor variation in crustal velocities beneath East Antarctica and the Transantarctic Mountains, and velocities are similar to those observed for Precambrian crust worldwide. Low velocities, which may be related to the presence of sediment, are observed at shallow depths beneath the Wilkes Subglacial Basin and the Aurora Subglacial Basin, but dispersion curves show that sediment thickness must be limited to less than about 2 km. In the Ross Sea, we observe low velocities at shallow depths from thick sediments and high velocities approaching mantle values between 16 and 20 km depth.</t>
  </si>
  <si>
    <t>[Nyblade, Andrew A.; Anandakrishnan, Sridhar] Penn State Univ, Dept Geosci, University Pk, PA 16802 USA; [Pyle, Moira L.; Wiens, Douglas A.] Washington Univ, Dept Earth &amp; Planetary Sci, St Louis, MO 63130 USA</t>
  </si>
  <si>
    <t>Pennsylvania Commonwealth System of Higher Education (PCSHE); Pennsylvania State University; Pennsylvania State University - University Park; Washington University (WUSTL)</t>
  </si>
  <si>
    <t>Pyle, ML (corresponding author), Univ Utah, Dept Geol &amp; Geophys, Salt Lake City, UT 84112 USA.</t>
  </si>
  <si>
    <t>mpyle@wustl.edu</t>
  </si>
  <si>
    <t>Anandakrishnan, Sridhar/JCN-5026-2023; Wiens, Douglas/J-9259-2016; Pyle, Moira/L-3642-2016</t>
  </si>
  <si>
    <t>Wiens, Douglas/0000-0002-5169-4386; Pyle, Moira/0000-0003-1081-0966</t>
  </si>
  <si>
    <t>NSF [OPP9909603, OPP9909648]</t>
  </si>
  <si>
    <t>We thank Mitchell Barklage, Bruce Beaudoin, Maggie Benoit, James Condor, Audrey Huerta, Jesse Lawrence, Bob Osborn, Tim Parker, Sara Pozgay, Brian Shiro, Patrick Shore, Rigobert Tibi, Don Voigt, Tim Watson, and many others for their assistance in the deployment and collection of seismic instruments. We also thank two anonymous reviews for helpful suggestions on the manuscript. Portable seismic instrumentation for this project was obtained from the PASSCAL program of the Incorporated Research Institutions in Seismology (IRIS), and data handling assistance was provided by the IRIS Data Management System. This research was conducted with support from NSF grants OPP9909603 and OPP9909648.</t>
  </si>
  <si>
    <t>B11310</t>
  </si>
  <si>
    <t>10.1029/2009JB007081</t>
  </si>
  <si>
    <t>680HP</t>
  </si>
  <si>
    <t>WOS:000284223300001</t>
  </si>
  <si>
    <t>Posch, JL; Engebretson, MJ; Murphy, MT; Denton, MH; Lessard, MR; Horne, RB</t>
  </si>
  <si>
    <t>Posch, J. L.; Engebretson, M. J.; Murphy, M. T.; Denton, M. H.; Lessard, M. R.; Horne, R. B.</t>
  </si>
  <si>
    <t>Probing the relationship between electromagnetic ion cyclotron waves and plasmaspheric plumes near geosynchronous orbit</t>
  </si>
  <si>
    <t>1-2 MAGNETIC PULSATIONS; EQUATORIAL MAGNETOSPHERE; GEOMAGNETIC STORMS; AMPLIFICATION; DYNAMICS</t>
  </si>
  <si>
    <t>Plasmaspheric plumes created during disturbed geomagnetic conditions have been suggested as a major cause of increased occurrences of electromagnetic ion cyclotron (EMIC) waves at these times. We have catalogued occurrences of strong Pc1 EMIC waves from 1996 through 2003 at three automated geophysical observatories operated by the British Antarctic Survey at auroral zone latitudes in Antarctica (L = 6.28, 7.68, and 8.07) and have compared them to the occurrence of plasmaspheric plumes in space, using simultaneous data from the Magnetospheric Plasma Analyzer on the Los Alamos National Laboratory 1990-095 spacecraft, in geosynchronous orbit at the same magnetic longitude. A superposed epoch analysis of these data was conducted for several categories of disturbed geomagnetic conditions, including magnetic storms, high-speed streams, and storm sudden commencements. We found only a weak correspondence between the occurrence of strong Pc1 waves observed on the ground and either plasmaspheric plumes or intervals of extended plasmasphere at geosynchronous orbit before, during, or after the onset of any of these categories. Strong Pc1 activity peaked near or slightly after local noon during all storm phases, consistent with equatorial observations by the Active Magnetospheric Particle Tracer Explorers/Charge Composition Explorer satellite at these L shells. The highest Pc1 occurrence probability was at or 1-2 days before storm onset and during the late recovery phase. Occurrence was lowest during the early recovery phase, consistent with the decrease in solar wind pressure often seen at this time. The peak at onset is consistent with earlier observations of waves in the outer magnetosphere stimulated by sudden impulses and magnetospheric compressions.</t>
  </si>
  <si>
    <t>[Posch, J. L.; Engebretson, M. J.; Murphy, M. T.] Augsburg Coll, Dept Phys, Minneapolis, MN 55454 USA; [Denton, M. H.] Univ Lancaster, Dept Phys, Lancaster LA1 4WA, England; [Lessard, M. R.] Univ New Hampshire, Ctr Space Sci, Durham, NH 03824 USA; [Lessard, M. R.] Univ New Hampshire, Dept Phys, Durham, NH 03824 USA; [Horne, R. B.] British Antarctic Survey, Cambridge CB3 0ET, England; [Horne, R. B.] Univ Sheffield, Dept Automat Control &amp; Syst Engn, Sheffield, S Yorkshire, England</t>
  </si>
  <si>
    <t>Augsburg University; Lancaster University; University System Of New Hampshire; University of New Hampshire; University System Of New Hampshire; University of New Hampshire; UK Research &amp; Innovation (UKRI); Natural Environment Research Council (NERC); NERC British Antarctic Survey; University of Sheffield</t>
  </si>
  <si>
    <t>Posch, JL (corresponding author), Augsburg Coll, Dept Phys, 2211 Riverside Ave, Minneapolis, MN 55454 USA.</t>
  </si>
  <si>
    <t>posch@augsburg.edu</t>
  </si>
  <si>
    <t>Horne, Richard B/U-3764-2019; Murphy, Michael T/B-8832-2008</t>
  </si>
  <si>
    <t>Horne, Richard B/0000-0002-0412-6407; Denton, Michael/0000-0002-1748-3710</t>
  </si>
  <si>
    <t>NSF [ANT-0538379, ANT-0838917, ANT-0538474, ANT-0838910]; STFC [ST/G002401/1]; Natural Environment Research Council at the British Antarctic Survey; NERC [bas0100023] Funding Source: UKRI; STFC [ST/G002401/1] Funding Source: UKRI; Natural Environment Research Council [bas0100023] Funding Source: researchfish; Science and Technology Facilities Council [ST/G002401/1] Funding Source: researchfish; Directorate For Geosciences; Office of Polar Programs (OPP) [0839938] Funding Source: National Science Foundation; Office of Polar Programs (OPP); Directorate For Geosciences [0838917] Funding Source: National Science Foundation</t>
  </si>
  <si>
    <t>NSF(National Science Foundation (NSF)); STFC(UK Research &amp; Innovation (UKRI)Science &amp; Technology Facilities Council (STFC)); Natural Environment Research Council at the British Antarctic Survey; 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 Directorate For Geosciences; Office of Polar Programs (OPP)(National Science Foundation (NSF)NSF - Directorate for Geosciences (GEO)); Office of Polar Programs (OPP); Directorate For Geosciences(National Science Foundation (NSF)NSF - Directorate for Geosciences (GEO))</t>
  </si>
  <si>
    <t>We thank Jacob Bortnik of UCLA for providing the wave detection software used in this study and Richard Denton of Dartmouth College for performing the model magnetic field calculations that formed the basis of Table 1. We are also grateful to Mike Rose and the entire engineering and logistics staff at the British Antarctic Survey for their deployment and operation of the BAS AGOs. This research was supported by NSF grants ANT-0538379 and ANT-0838917 to Augsburg College, by NSF grants ANT-0538474 and ANT-0838910 to the University of New Hampshire, by STFC grant ST/G002401/1 to Lancaster University, and by the Natural Environment Research Council at the British Antarctic Survey.</t>
  </si>
  <si>
    <t>A11205</t>
  </si>
  <si>
    <t>10.1029/2010JA015446</t>
  </si>
  <si>
    <t>680ID</t>
  </si>
  <si>
    <t>WOS:000284224700001</t>
  </si>
  <si>
    <t>Whittaker, JM; Müller, RD; Gurnis, M</t>
  </si>
  <si>
    <t>Whittaker, Joanne M.; Mueller, R. Dietmar; Gurnis, Michael</t>
  </si>
  <si>
    <t>Development of the Australian-Antarctic depth anomaly</t>
  </si>
  <si>
    <t>oceanic accretion; mantle dynamics</t>
  </si>
  <si>
    <t>OCEANIC CRUSTAL THICKNESS; MIDOCEAN RIDGE; SPREADING RATE; MANTLE; DISCORDANCE; BENEATH; TOPOGRAPHY; GRAVITY; FLOW; SEGMENTATION</t>
  </si>
  <si>
    <t>The oceanic Australian-Antarctic Discordance (AAD) contains two unusual features: (1) N-S trending anomalously deep bathymetries and (2) rough basement morphologies in young (45 degrees spreading obliquities.</t>
  </si>
  <si>
    <t>[Whittaker, Joanne M.; Mueller, R. Dietmar] Univ Sydney, Sch Geosci, EarthByte Grp, Sydney, NSW 2006, Australia; [Gurnis, Michael] CALTECH, Seismol Lab, Pasadena, CA 91125 USA</t>
  </si>
  <si>
    <t>University of Sydney; California Institute of Technology</t>
  </si>
  <si>
    <t>Whittaker, JM (corresponding author), Univ Sydney, Sch Geosci, EarthByte Grp, Sydney, NSW 2006, Australia.</t>
  </si>
  <si>
    <t>jo.whittaker@sydney.edu.au</t>
  </si>
  <si>
    <t>Müller, Dietmar/L-1200-2019; Whittaker, Joanne/B-3695-2010</t>
  </si>
  <si>
    <t>Müller, Dietmar/0000-0002-3334-5764; Whittaker, Joanne/0000-0002-3170-3935</t>
  </si>
  <si>
    <t>NSF [EAR-0810303]</t>
  </si>
  <si>
    <t>Figures 1-5 and 8-10 were created using GMT [Wessel and Smith, 1991], and Figures 6 and 7 were provided by Geoscience Australia from material provided by H. Stagg. M. G. was partially supported by NSF grant EAR-0810303. We thank two anonymous reviewers for their helpful comments that greatly improved this paper, as well as the numerous people with whom we had helpful discussions, in particular H. Stagg (Geoscience Australia) and Simon Williams (University of Sydney).</t>
  </si>
  <si>
    <t>NOV 10</t>
  </si>
  <si>
    <t>Q11006</t>
  </si>
  <si>
    <t>10.1029/2010GC003276</t>
  </si>
  <si>
    <t>680FG</t>
  </si>
  <si>
    <t>WOS:000284217200001</t>
  </si>
  <si>
    <t>Davy, B; Pecher, I; Wood, R; Carter, L; Gohl, K</t>
  </si>
  <si>
    <t>Davy, Bryan; Pecher, Ingo; Wood, Ray; Carter, Lionel; Gohl, Karsten</t>
  </si>
  <si>
    <t>Gas escape features off New Zealand: Evidence of massive release of methane from hydrates</t>
  </si>
  <si>
    <t>PROTEROZOIC CAP CARBONATES; EARTHS COLDEST INTERVALS; SW PACIFIC-OCEAN; SUBTROPICAL FRONT; INTERGLACIAL CHANGES; ISOTOPIC EXCURSIONS; SOUTHWEST PACIFIC; CHATHAM RISE; RECORD; SEA</t>
  </si>
  <si>
    <t>Multibeam swath bathymetry data from the southwest margin of the Chatham Rise, New Zealand, show gas release features over a region of at least 20,000 km(2). Gas escape features, interpreted to be caused by gas hydrate dissociation, include an estimated a) 10 features, 8-11 km in diameter and b) 1,000 features, 1-5 km in diameter, both at 800-1,100 m water depth. An estimated 10,000 features, similar to 150 m in diameter, are observed at 500-700 m water depth. In the latter depth range sub-bottom profiles show similar gas escape features (pockmarks) at disconformities interpreted to mark past sea-level low stands. The amount of methane potentially released from hydrates at each of the largest features is similar to 7*10(12) g. If the methane from a single event at one 8-11 km scale pockmark reached the atmosphere, it would be equivalent to similar to 3% of the current annual global methane released from natural sources into the atmosphere. Citation: Davy, B., I. Pecher, R. Wood, L. Carter, and K. Gohl (2010), Gas escape features off New Zealand: Evidence of massive release of methane from hydrates, Geophys. Res. Lett., 37, L21309, doi:10.1029/2010GL045184.</t>
  </si>
  <si>
    <t>[Davy, Bryan; Pecher, Ingo; Wood, Ray] Inst Geol &amp; Nucl Sci, Lower Hutt 5040, New Zealand; [Carter, Lionel] Victoria Univ Wellington, Antarctic Res Ctr, Wellington 6012, New Zealand; [Gohl, Karsten] Alfred Wegener Inst Polar Sci, Dept Geosci, D-27515 Bremerhaven, Germany</t>
  </si>
  <si>
    <t>GNS Science - New Zealand; Victoria University Wellington; Helmholtz Association; Alfred Wegener Institute, Helmholtz Centre for Polar &amp; Marine Research</t>
  </si>
  <si>
    <t>Davy, B (corresponding author), Inst Geol &amp; Nucl Sci, POB 30368, Lower Hutt 5040, New Zealand.</t>
  </si>
  <si>
    <t>Pecher, Ingo/D-9379-2012; Davy, Bryan W/I-6769-2013</t>
  </si>
  <si>
    <t>Pecher, Ingo/0000-0001-7397-5069; Davy, Bryan W/0000-0003-1926-1393; Gohl, Karsten/0000-0002-9558-2116</t>
  </si>
  <si>
    <t>L21309</t>
  </si>
  <si>
    <t>10.1029/2010GL045184</t>
  </si>
  <si>
    <t>680FK</t>
  </si>
  <si>
    <t>WOS:000284217600005</t>
  </si>
  <si>
    <t>Bauch, D; Hölemann, J; Willmes, S; Gröger, M; Novikhin, A; Nikulina, A; Kassens, H; Timokhov, L</t>
  </si>
  <si>
    <t>Bauch, D.; Hoelemann, J.; Willmes, S.; Groeger, M.; Novikhin, A.; Nikulina, A.; Kassens, H.; Timokhov, L.</t>
  </si>
  <si>
    <t>Changes in distribution of brine waters on the Laptev Sea shelf in 2007</t>
  </si>
  <si>
    <t>ARCTIC-OCEAN; HALOCLINE; ICE</t>
  </si>
  <si>
    <t>Combined salinity and delta O-18 data from summer 2007 reveal a significant change in brine production in the Laptev Sea relative to summer 1994. The distribution of river water and brine-enriched waters on the Laptev Sea shelf is derived based on mass balance calculations using salinity and d18O data. While in 1994 maximal influence of brines is seen within bottom waters, in 2007 the influence of brines is highest within the surface layer and only a moderate influence of brines is observed in the bottom layer. In contrast to 2007, salinity and delta O-18 data from summer 1994 clearly identify a locally formed brine-enriched bottom water mass as mixing end-member between surface layer and inner shelf waters on one side and with higher salinity water from the outer Laptev Sea on the other side. In 2007, the brine-enriched waters are predominantly part of the surface regime, and the mixing end-member between surface layer and outer shelf waters is replaced by a relatively salty bottom water mass. This relatively salty bottom water probably originates from the western Laptev Sea. The inverted distribution of brines in the water column in 2007 relative to 1994 suggests a less effective winter sea ice formation in winter 2006-2007 combined with advection of more saline waters from the western Laptev Sea or the outer shelf precedent to the climatically extreme summer 2007. The observed changes result in an altered export of waters from the Laptev Sea to the Arctic Ocean halocline.</t>
  </si>
  <si>
    <t>[Bauch, D.; Nikulina, A.; Kassens, H.] Leibniz Inst Marine Sci IFM GEOMAR, D-24148 Kiel, Germany; [Groeger, M.] MPI Meteorol, Hamburg, Germany; [Hoelemann, J.] Alfred Wegener Inst Polar &amp; Marine Res AWI, Bremerhaven, Germany; [Novikhin, A.; Timokhov, L.] Arctic &amp; Antarctic Res Inst, St Petersburg 199226, Russia; [Willmes, S.] Univ Trier, Trier, Germany</t>
  </si>
  <si>
    <t>Helmholtz Association; GEOMAR Helmholtz Center for Ocean Research Kiel; Helmholtz Association; Alfred Wegener Institute, Helmholtz Centre for Polar &amp; Marine Research; Arctic &amp; Antarctic Research Institute; Universitat Trier</t>
  </si>
  <si>
    <t>Bauch, D (corresponding author), Leibniz Inst Marine Sci IFM GEOMAR, Wischhofstr 1-3, D-24148 Kiel, Germany.</t>
  </si>
  <si>
    <t>Gröger, Matthias/G-6758-2015; Gröger, Matthias/G-6773-2011; Willmes, Sascha/J-5796-2012; Novikhin, Andrey/J-6005-2016; Hoelemann, Jens/N-3608-2016</t>
  </si>
  <si>
    <t>Gröger, Matthias/0000-0002-9927-5164; Hoelemann, Jens/0000-0001-5102-4086; Bauch, Dorothea/0000-0002-1419-9714</t>
  </si>
  <si>
    <t>BMBF [03G0639, 03PL038]; Roshydromet; Russian Ministry of Education and Science; DFG [SP526/3]</t>
  </si>
  <si>
    <t>BMBF(Federal Ministry of Education &amp; Research (BMBF)); Roshydromet; Russian Ministry of Education and Science(Ministry of Education and Science, Russian Federation); DFG(German Research Foundation (DFG))</t>
  </si>
  <si>
    <t>This work was part of the German-Russian cooperations System Laptev Sea and the Otto-Schmidt-Laboratory for Polar and Marine Sciences funded by the BMBF under grants 03G0639 and 03PL038, respectively, as well as by Roshydromet and the Russian Ministry of Education and Science. We thank all members of these projects for exceptional working conditions and extensive support during expeditions. D.B. was additionally supported by the DFG under grant SP526/3. We would like to thank two anonymous reviewers for constructive review on the manuscript, resulting in a significant improvement of the manuscript.</t>
  </si>
  <si>
    <t>C11008</t>
  </si>
  <si>
    <t>10.1029/2010JC006249</t>
  </si>
  <si>
    <t>680HA</t>
  </si>
  <si>
    <t>Bronze, Green Published, Green Accepted</t>
  </si>
  <si>
    <t>WOS:000284221800003</t>
  </si>
  <si>
    <t>Croon, MB; Cande, SC; Stock, JM</t>
  </si>
  <si>
    <t>Croon, Marcel B.; Cande, Steven C.; Stock, Joann M.</t>
  </si>
  <si>
    <t>Abyssal hill deflections at Pacific-Antarctic ridge-transform intersections</t>
  </si>
  <si>
    <t>abyssal hill; curvature; Pacific-Antarctic Ridge; ridge-transform intersection; tectonics; stress field</t>
  </si>
  <si>
    <t>CENOZOIC TECTONIC HISTORY; ELTANIN FAULT SYSTEM; MID-ATLANTIC RIDGE; PLATE BOUNDARY; FRACTURE-ZONE; MIDOCEAN RIDGES; BLOCK ROTATION; STRESS; MORPHOLOGY; MODEL</t>
  </si>
  <si>
    <t>Nearly complete coverage of shipboard multibeam bathymetry data at the right-stepping Menard and Pitman Fracture Zones allowed us to map abyssal hill deviations along their traces. In this study we distinguish between (1) J-shaped curvatures at their origin, where modeling is addressing primary volcanism and faulting following a curved zone, and (2) straight abyssal hills getting bent in anti-J-shaped curvatures, in response to increased coupling across the transform fault, after they were formed. We compared the mapped abyssal hill deflections to a detailed plate motion model for the Pacific-Antarctic Ridge to test how abyssal hill curvature correlates to changes in plate motion direction, which lead to periods of transtension or transpression. This test was based on the number and size of the abyssal hill deflections. The observations show a high abundance of J-shaped abyssal hills during periods of significant clockwise change in plate motion direction, which leads to transtension. The tip of the ridge axis can deflect up to 60 into the transform fault in response to changes in the stress field at ridge-transform intersections. This is observed, in particular, at the Pitman Fracture Zone, where there has been a similar to 15 degrees clockwise rotation of the spreading direction azimuth during the last 9 Myr. In addition, we observed anti-J-shaped curvatures at Menard, Pitman, and Heirtzler Fracture Zones during periods of transpression when increased coupling across an oceanic transform fault is partially accommodated by distributed strike-slip deformation rather than solely by discontinuous displacement at the transform fault. Anti-J-shaped deflections typically develop in seafloor less than 2 Myr old when the oceanic lithosphere is thin.</t>
  </si>
  <si>
    <t>[Croon, Marcel B.; Cande, Steven C.] Univ Calif San Diego, Scripps Inst Oceanog, La Jolla, CA 92093 USA; [Stock, Joann M.] CALTECH, Seismol Lab, Pasadena, CA 91125 USA</t>
  </si>
  <si>
    <t>University of California System; University of California San Diego; Scripps Institution of Oceanography; California Institute of Technology</t>
  </si>
  <si>
    <t>Croon, MB (corresponding author), Univ Calif San Diego, Scripps Inst Oceanog, 9500 Gilman Dr, La Jolla, CA 92093 USA.</t>
  </si>
  <si>
    <t>mcroon@ucsd.edu</t>
  </si>
  <si>
    <t>Stock, Joann Miriam/AAN-1526-2021</t>
  </si>
  <si>
    <t>Stock, Joann Miriam/0000-0003-4816-7865</t>
  </si>
  <si>
    <t>NSF Office of Polar Programs [OPP-0338317, OPP-0338346, OPP-0126334, OPP-0126340]</t>
  </si>
  <si>
    <t>NSF Office of Polar Programs(National Science Foundation (NSF))</t>
  </si>
  <si>
    <t>This study was made possible through a series of grants from the NSF Office of Polar Programs, which supported the acquisition of geophysical data along transits of the R/VIB Nathaniel B. Palmer: grants OPP-0338317, OPP-0338346, OPP-0126334, and OPP-0126340. We are grateful to Ifremer (Institut francais de Recherche pour l'Exploitation de la Mer) for providing multibeam bathymetry data from the PACAN-TARCTIC 1 and 2 cruises. We thank the officers, crew, and scientific staff of the R/VIB Nathaniel B. Palmer and the many students who sailed on these cruises. Comments from Jeff Gee, Donna Blackman, Roi Granot, and two anonymous reviewers helped us make a number of improvements to the manuscript. Caltech contribution 9005.</t>
  </si>
  <si>
    <t>NOV 9</t>
  </si>
  <si>
    <t>Q11004</t>
  </si>
  <si>
    <t>10.1029/2010GC003236</t>
  </si>
  <si>
    <t>680EZ</t>
  </si>
  <si>
    <t>WOS:000284216500002</t>
  </si>
  <si>
    <t>Sunil, PS; Radhakrishna, M; Kurian, PJ; Murty, BVS; Subrahmanyam, C; Nambiar, CG; Arts, KP; Arun, SK; Mohan, SK</t>
  </si>
  <si>
    <t>Sunil, P. S.; Radhakrishna, M.; Kurian, P. J.; Murty, B. V. S.; Subrahmanyam, C.; Nambiar, C. G.; Arts, K. P.; Arun, S. K.; Mohan, S. K.</t>
  </si>
  <si>
    <t>Crustal structure of the western part of the Southern Granulite Terrain of Indian Peninsular Shield derived from gravity data</t>
  </si>
  <si>
    <t>JOURNAL OF ASIAN EARTH SCIENCES</t>
  </si>
  <si>
    <t>Gravity; Southern Granulite Terrain; Shear zones; Crustal structure; India</t>
  </si>
  <si>
    <t>CAUVERY SHEAR ZONE; PALGHAT-GAP; PERINTHATTA ANORTHOSITE; VELOCITY STRUCTURE; CONTINENTAL-CRUST; NORTHERN KERALA; TECTONICS; EVOLUTION; METAMORPHISM; MADAGASCAR</t>
  </si>
  <si>
    <t>The Southern Granulite Terrain (SGT) is composed of high-grade granulite domain occurring to the south of Dharwar Craton (DC). The structural units of SGT show a marked change in the structural trend from the dominant north-south in DC to east-west trend in SGT and primarily consist of different crustal blocks divided by major shear zones. The Bouguer anomaly map prepared based on nearly 3900 gravity observations shows that the anomalies are predominantly negative and vary between -125 mGal and +22 mGal. The trends of the anomalies follow structural grain of the terrain and exhibit considerable variations within the charnockite bodies. Two-dimensional wavelength filtering as well as Zero Free-air based (ZFb) analysis of the Geoid-Corrected Bouguer Anomaly map of the region is found to be very useful in preparing regional gravity anomaly map and inversion of this map gave rise to crustal thicknesses of 37-44 km in the SGT. Crustal density structure along four regional gravity profiles cutting across major shear zones, lineaments, plateaus and other important geological structures bring out the following structural information. The Bavali Shear Zone extending at least up to 10 km depth is manifested as a plane separating two contrasting upper crustal blocks on both sides and the gravity high north of it reveals the presence of a high density mass at the base of the crust below Coorg. The steepness of the Moyar and Bhavani shears on either side of Nilgiri plateau indicates uplift of the plateau due to block faulting with a high density mass at the crustal base. The Bhavani Shear Zone is manifested as a steep southerly dipping plane extending to deeper levels along which alkaline and granite rocks intruded into the top crustal layer. The gravity high over Palghat gap is due to the upwarping of Moho by 1-2 km with the presence of a high density mass at intermediate crustal levels. The gravity low in Periyar plateau is due to the granite emplacement, mid-crustal interface and the thicker crust. The feeble gravity signature across the Achankovil shear characterized by sharp velocity contrast indicates that the shear is not a superficial structure but a crustal scale zone of deformation reaching up to mid-crustal level. (C) 2010 Elsevier Ltd. All rights reserved.</t>
  </si>
  <si>
    <t>[Sunil, P. S.; Radhakrishna, M.; Kurian, P. J.; Nambiar, C. G.; Arts, K. P.; Arun, S. K.] Cochin Univ Sci &amp; Technol, Dept Marine Geol &amp; Geophys, Cochin 682016, Kerala, India; [Sunil, P. S.] Indian Inst Geomagnetism, Bombay 410218, Maharashtra, India; [Radhakrishna, M.] Indian Inst Technol, Dept Earth Sci, Bombay 400076, Maharashtra, India; [Kurian, P. J.; Arun, S. K.] Natl Ctr Antarctic &amp; Ocean Res, Vasco Da Gama 403804, Goa, India; [Murty, B. V. S.; Mohan, S. K.] Osmania Univ, Dept Geophys, Hyderabad 500007, Andhra Pradesh, India; [Subrahmanyam, C.] Natl Geophys Res Inst, Hyderabad 500007, Andhra Pradesh, India</t>
  </si>
  <si>
    <t>Cochin University Science &amp; Technology; Department of Science &amp; Technology (India); Indian Institute of Geomagnetism (IIG); Indian Institute of Technology System (IIT System); Indian Institute of Technology (IIT) - Bombay; Ministry of Earth Sciences (MoES) - India; National Centre for Polar and Ocean Research (NCPOR); Osmania University; Council of Scientific &amp; Industrial Research (CSIR) - India; CSIR - National Geophysical Research Institute (NGRI)</t>
  </si>
  <si>
    <t>Radhakrishna, M (corresponding author), Cochin Univ Sci &amp; Technol, Dept Marine Geol &amp; Geophys, Fine Arts Ave, Cochin 682016, Kerala, India.</t>
  </si>
  <si>
    <t>mradhakrishna@iitb.ac.in</t>
  </si>
  <si>
    <t>Sunil, P. S./E-6631-2011; Munukutla, Radhakrishna/KHC-9250-2024</t>
  </si>
  <si>
    <t>Department of Science and Technology (DST) [ESS/CA/A9-31/93, ESS/5(12)/WB/Project/96, ESS/16/133/2000]</t>
  </si>
  <si>
    <t>Department of Science and Technology (DST)(Department of Science &amp; Technology (India))</t>
  </si>
  <si>
    <t>We are grateful to T.M. Mahadevan and M. Ramakrishnan for their critical comments and suggestions while preparing the manuscript. Financial support provided by the Department of Science and Technology (DST) under various sponsored research projects (Nos. ESS/CA/A9-31/93, ESS/5(12)/WB/Project/96 and ESS/16/133/2000) made possible the collection of gravity data. PSS thanks the Director, Indian Institute of Geomagnetism, for the support and encouragement during this work. Critical comments from the reviewers A.P. Singh and Vijaya Rao greatly helped to improve the manuscript. The maps were generated by Generic Mapping Tools (GMT) software package.</t>
  </si>
  <si>
    <t>1367-9120</t>
  </si>
  <si>
    <t>J ASIAN EARTH SCI</t>
  </si>
  <si>
    <t>J. Asian Earth Sci.</t>
  </si>
  <si>
    <t>10.1016/j.jseaes.2010.04.028</t>
  </si>
  <si>
    <t>711EX</t>
  </si>
  <si>
    <t>WOS:000286571000006</t>
  </si>
  <si>
    <t>Wadham, JL; Tranter, M; Hodson, AJ; Hodgkins, R; Bottrell, S; Cooper, R; Raiswell, R</t>
  </si>
  <si>
    <t>Wadham, J. L.; Tranter, M.; Hodson, A. J.; Hodgkins, R.; Bottrell, S.; Cooper, R.; Raiswell, R.</t>
  </si>
  <si>
    <t>Hydro-biogeochemical coupling beneath a large polythermal Arctic glacier: Implications for subice sheet biogeochemistry</t>
  </si>
  <si>
    <t>SUBGLACIAL DRAINAGE SYSTEM; ISOTOPE COMPOSITION; MICROBIAL COMMUNITY; PROGLACIAL ZONE; SOUTH SVALBARD; HYDROCHEMISTRY; ENVIRONMENTS; ICE; SWITZERLAND; MELTWATERS</t>
  </si>
  <si>
    <t>We analyze the interannual chemical and isotopic composition of runoff from a large, high Arctic valley glacier over a 5 year period, during which drainage evolved from a long-residence-time drainage system feeding an artesian subglacial upwelling (SGU) at the glacier terminus to a shorter-residence-time drainage system feeding an ice-marginal channel (IMC). Increased icemelt inputs to the SGU are thought to have triggered this evolution. This sequence of events provides a unique opportunity to identify coupling between subglacial hydrology and biogeochemical processes within drainage systems of differing residence time. The biogeochemistry of the SGU is consistent with prolonged contact between meltwaters and subglacial sediments, in which silicate dissolution is enhanced, anoxic processes (e. g., sulphate reduction) prevail, and microbially generated CO2 and sulphide oxidation drive mineral dissolution. Solute in the IMC was mainly derived from moraine pore waters which are added to the channel via extraglacial streams. These pore waters acquire solute predominantly via sulphide oxidation coupled to carbonate/silicate dissolution. We present the first evidence that microbially mediated processes may contribute a substantial proportion (80% in this case) of the total glacial solute flux, which includes coupling between microbial CO2-generation and silicate/carbonate dissolution. The latter suggests the presence of biofilms in subglacial/ice-marginal sediments, where local perturbation of the geochemical environment by release of protons, organic acids, and ligands stimulates mineral dissolution. These data enable inferences to be made regarding biogeochemical processes in longer-residence-time glacial systems, with implications for the future exploration of Antarctic subglacial lakes and other wet-based ice sheet environments.</t>
  </si>
  <si>
    <t>[Wadham, J. L.; Tranter, M.] Univ Bristol, Sch Geog Sci, Bristol BS8 1SS, Avon, England; [Hodson, A. J.] Univ Sheffield, Dept Geog, Sheffield S10 2TN, S Yorkshire, England; [Hodgkins, R.] Univ Loughborough, Dept Geog, Loughborough LE11 3TU, Leics, England; [Cooper, R.] Macaulay Land Use Res Inst, Aberdeen AB15 8QH, Scotland; [Bottrell, S.; Raiswell, R.] Univ Leeds, Sch Earth &amp; Environm, Fac Environm, Leeds LS2 9JT, W Yorkshire, England</t>
  </si>
  <si>
    <t>University of Bristol; University of Sheffield; Loughborough University; James Hutton Institute; University of Leeds</t>
  </si>
  <si>
    <t>Wadham, JL (corresponding author), Univ Bristol, Sch Geog Sci, Univ Rd, Bristol BS8 1SS, Avon, England.</t>
  </si>
  <si>
    <t>j.l.wadham@bristol.ac.uk</t>
  </si>
  <si>
    <t>Wadham, Jemma L/G-3138-2014; Hodgkins, Richard/F-5430-2011; Wadham, Jemma L/A-8352-2012; Tranter, Martyn/E-3722-2010</t>
  </si>
  <si>
    <t>Tranter, Martyn/0000-0003-2071-3094; Hodson, Andrew/0000-0002-1255-7987</t>
  </si>
  <si>
    <t>NERC [GR9/2550, GST/02/2204, GT24/98/ARCI/8, GT4/94/116/A]; European Union [EN5V-CT93-0299]; Phillip Leverhulme Prize; NERC [NE/E004016/1] Funding Source: UKRI; Natural Environment Research Council [NE/E004016/1] Funding Source: researchfish</t>
  </si>
  <si>
    <t>NERC(UK Research &amp; Innovation (UKRI)Natural Environment Research Council (NERC)); European Union(European Union (EU)); Phillip Leverhulme Prize(Leverhulme Trust); NERC(UK Research &amp; Innovation (UKRI)Natural Environment Research Council (NERC)); Natural Environment Research Council(UK Research &amp; Innovation (UKRI)Natural Environment Research Council (NERC))</t>
  </si>
  <si>
    <t>This work was supported by NERC grants GR9/2550 and GST/02/2204, NERC studentships GT24/98/ARCI/8 and GT4/94/116/A, the European Union Environment Programme grant EN5V-CT93-0299, and the Phillip Leverhulme Prize to Jemma Wadham.</t>
  </si>
  <si>
    <t>NOV 6</t>
  </si>
  <si>
    <t>F04017</t>
  </si>
  <si>
    <t>10.1029/2009JF001602</t>
  </si>
  <si>
    <t>676VI</t>
  </si>
  <si>
    <t>WOS:000283946400002</t>
  </si>
  <si>
    <t>Danabasoglu, G; Large, WG; Briegleb, BP</t>
  </si>
  <si>
    <t>Danabasoglu, Gokhan; Large, William G.; Briegleb, Bruce P.</t>
  </si>
  <si>
    <t>Climate impacts of parameterized Nordic Sea overflows</t>
  </si>
  <si>
    <t>BANK CHANNEL OVERFLOW; COMMUNITY ATMOSPHERE MODEL; GENERAL-CIRCULATION MODEL; MERIDIONAL OVERTURNING CIRCULATION; GRAVITY CURRENT ENTRAINMENT; ATLANTIC-OCEAN CIRCULATION; CLOUD MICROPHYSICS SCHEME; THERMOHALINE CIRCULATION; DENMARK STRAIT; VERSION-3 CAM3</t>
  </si>
  <si>
    <t>A new overflow parameterization (OFP) of density-driven flows through ocean ridges via narrow, unresolved channels has been developed and implemented in the ocean component of the Community Climate System Model version 4. It represents exchanges from the Nordic Seas and the Antarctic shelves, associated entrainment, and subsequent injection of overflow product waters into the abyssal basins. We investigate the effects of the parameterized Denmark Strait (DS) and Faroe Bank Channel (FBC) overflows on the ocean circulation, showing their impacts on the Atlantic Meridional Overturning Circulation and the North Atlantic climate. The OFP is based on the Marginal Sea Boundary Condition scheme of Price and Yang (1998), but there are significant differences that are described in detail. Two uncoupled (ocean-only) and two fully coupled simulations are analyzed. Each pair consists of one case with the OFP and a control case without this parameterization. In both uncoupled and coupled experiments, the parameterized DS and FBC source volume transports are within the range of observed estimates. The entrainment volume transports remain lower than observational estimates, leading to lower than observed product volume transports. Due to low entrainment, the product and source water properties are too similar. The DS and FBC overflow temperature and salinity properties are in better agreement with observations in the uncoupled case than in the coupled simulation, likely reflecting surface flux differences. The most significant impact of the OFP is the improved North Atlantic Deep Water penetration depth, leading to a much better comparison with the observational data and significantly reducing the chronic, shallow penetration depth bias in level coordinate models. This improvement is due to the deeper penetration of the southward flowing Deep Western Boundary Current. In comparison with control experiments without the OFP, the abyssal ventilation rates increase in the North Atlantic. In the uncoupled simulation with the OFP, the warm bias of the control simulation in the deep North Atlantic is substantially reduced along with salinity bias reductions in the northern North Atlantic. There are similar but more modest bias reductions in the deep temperature and salinity distributions especially in the northern North Atlantic in the coupled OFP case. In coupled simulations, there are noticeable impacts of the OFP on climate. The sea surface temperatures (SSTs) are warmer by more than 5 C off the North American coast and by more than 1 C in the Nordic Sea with the OFP. The surface heat fluxes mostly act to diminish these SST changes. There are related changes in the sea level pressure, leading to about 15% weaker westerly wind stress in the northern North Atlantic. In response to the warmer Nordic Sea SSTs, there are reductions in the sea ice extent, improving comparisons with observations. Although the OFP cases improve many aspects of the simulations compared to observations, some significant biases remain, more in coupled than in uncoupled simulations.</t>
  </si>
  <si>
    <t>[Danabasoglu, Gokhan; Large, William G.; Briegleb, Bruce P.] Natl Ctr Atmospher Res, Boulder, CO 80307 USA</t>
  </si>
  <si>
    <t>Danabasoglu, G (corresponding author), Natl Ctr Atmospher Res, POB 3000, Boulder, CO 80307 USA.</t>
  </si>
  <si>
    <t>gokhan@ucar.edu; wily@ucar.edu; bruceb@ucar.edu</t>
  </si>
  <si>
    <t>Danabasoglu, Gokhan/0000-0003-4676-2732</t>
  </si>
  <si>
    <t>NSF [OCE-0336834, OCE-0611486]; National Science Foundation; U.K. Natural Environment Research Council</t>
  </si>
  <si>
    <t>NSF(National Science Foundation (NSF)); National Science Foundation(National Science Foundation (NSF)); U.K. Natural Environment Research Council(UK Research &amp; Innovation (UKRI)Natural Environment Research Council (NERC))</t>
  </si>
  <si>
    <t>We thank members of the Climate Process Team (CPT) on Gravity Current Entrainment (GCE) for helpful interactions. In particular, we thank Jim Price for providing his Marginal Sea Boundary Condition code and very useful discussions. We also thank Wanli Wu for his contributions during the early stages of this work. This study was supported by the NSF grants OCE-0336834 and OCE-0611486 for the CPT-GCE. The computational resources were provided by the Computational and Information Systems Laboratory of the National Center for Atmospheric Research (NCAR). NCAR is sponsored by the National Science Foundation. Data from the RAPID-WATCH MOC monitoring project are funded by the U.K. Natural Environment Research Council and are freely available from www.noc.soton.ac.uk/rapidmoc.</t>
  </si>
  <si>
    <t>C11005</t>
  </si>
  <si>
    <t>10.1029/2010JC006243</t>
  </si>
  <si>
    <t>676VS</t>
  </si>
  <si>
    <t>WOS:000283947400002</t>
  </si>
  <si>
    <t>Austin, J; Struthers, H; Scinocca, J; Plummer, DA; Akiyoshi, H; Baumgaertner, AJG; Bekki, S; Bodeker, GE; Braesicke, P; Brühl, C; Butchart, N; Chipperfield, MP; Cugnet, D; Dameris, M; Dhomse, S; Frith, S; Garny, H; Gettelman, A; Hardiman, SC; Jöckel, P; Kinnison, D; Kubin, A; Lamarque, JF; Langematz, U; Mancini, E; Marchand, M; Michou, M; Morgenstern, O; Nakamura, T; Nielsen, JE; Pitari, G; Pyle, J; Rozanov, E; Shepherd, TG; Shibata, K; Smale, D; Teyssédre, H; Yamashita, Y</t>
  </si>
  <si>
    <t>Austin, John; Struthers, H.; Scinocca, J.; Plummer, D. A.; Akiyoshi, H.; Baumgaertner, A. J. G.; Bekki, S.; Bodeker, G. E.; Braesicke, P.; Bruehl, C.; Butchart, N.; Chipperfield, M. P.; Cugnet, D.; Dameris, M.; Dhomse, S.; Frith, S.; Garny, H.; Gettelman, A.; Hardiman, S. C.; Joeckel, P.; Kinnison, D.; Kubin, A.; Lamarque, J. F.; Langematz, U.; Mancini, E.; Marchand, M.; Michou, M.; Morgenstern, O.; Nakamura, T.; Nielsen, J. E.; Pitari, G.; Pyle, J.; Rozanov, E.; Shepherd, T. G.; Shibata, K.; Smale, D.; Teyssedre, H.; Yamashita, Y.</t>
  </si>
  <si>
    <t>Chemistry-climate model simulations of spring Antarctic ozone</t>
  </si>
  <si>
    <t>STRATOSPHERIC CHEMISTRY; TECHNICAL NOTE; DEPLETION; TRANSPORT; TRENDS; IMPACT; SENSITIVITY; SURFACE</t>
  </si>
  <si>
    <t>Coupled chemistry-climate model simulations covering the recent past and continuing throughout the 21st century have been completed with a range of different models. Common forcings are used for the halogen amounts and greenhouse gas concentrations, as expected under the Montreal Protocol (with amendments) and Intergovernmental Panel on Climate Change A1b Scenario. The simulations of the Antarctic ozone hole are compared using commonly used diagnostics: the minimum ozone, the maximum area of ozone below 220 DU, and the ozone mass deficit below 220 DU. Despite the fact that the processes responsible for ozone depletion are reasonably well understood, a wide range of results is obtained. Comparisons with observations indicate that one of the reasons for the model underprediction in ozone hole area is the tendency for models to underpredict, by up to 35%, the area of low temperatures responsible for polar stratospheric cloud formation. Models also typically have species gradients that are too weak at the edge of the polar vortex, suggesting that there is too much mixing of air across the vortex edge. Other models show a high bias in total column ozone which restricts the size of the ozone hole (defined by a 220 DU threshold). The results of those models which agree best with observations are examined in more detail. For several models the ozone hole does not disappear this century but a small ozone hole of up to three million square kilometers continues to occur in most springs even after 2070.</t>
  </si>
  <si>
    <t>[Austin, John] NOAA, Geophys Fluid Dynam Lab, Princeton, NJ 08542 USA; [Austin, John] Univ Corp Atmospher Res, Boulder, CO USA; [Struthers, H.] Univ Stockholm, Dept Appl Environm Sci, SE-10691 Stockholm, Sweden; [Scinocca, J.] Univ Victoria, CCCMA, Victoria, BC V8W 3V6, Canada; [Plummer, D. A.] Environm Canada, Sci &amp; Technol Branch, Toronto, ON M3H 5T4, Canada; [Akiyoshi, H.; Nakamura, T.; Yamashita, Y.] Natl Inst Environm Studies, Tsukuba, Ibaraki 3058506, Japan; [Baumgaertner, A. J. G.; Bruehl, C.; Joeckel, P.] Max Planck Inst Chem, D-55020 Mainz, Germany; [Bekki, S.; Cugnet, D.; Marchand, M.] INSU, CNRS, UPMC, LATMOS,IPSL,UVSQ, F-75231 Paris, France; [Bodeker, G. E.] Bodeker Sci, Alexandra, New Zealand; [Braesicke, P.; Pyle, J.] Univ Cambridge, Dept Chem, Ctr Atmospher Sci, NCAS Climate Chem, Cambridge CB2 1EW, England; [Butchart, N.; Hardiman, S. C.] Hadley Ctr, Met Off, Exeter EX1 3PB, Devon, England; [Chipperfield, M. P.; Dhomse, S.] Univ Leeds, Sch Earth &amp; Environm, Leeds LS2 9JT, W Yorkshire, England; [Dameris, M.; Garny, H.] Inst Phys Atmosphare, Deutsch Zentrum Luft &amp; Raumfahrt, D-82234 Wessling, Germany; [Frith, S.; Nielsen, J. E.] NASA, Goddard Space Flight Ctr, Greenbelt, MD 20771 USA; [Frith, S.; Nielsen, J. E.] Sci Syst &amp; Applicat Inc, Beltsville, MD USA; [Gettelman, A.; Kinnison, D.; Lamarque, J. F.] NCAR, Boulder, CO 80305 USA; [Kubin, A.; Langematz, U.] Freie Univ, Inst Meteorol, D-12165 Berlin, Germany; [Mancini, E.; Pitari, G.] Univ Aquila, Dipartimento Fis, I-67100 Laquila, Italy; [Michou, M.; Teyssedre, H.] Meteo France, CNRM, GAME, F-31057 Toulouse, France; [Morgenstern, O.; Smale, D.] Natl Inst Water &amp; Atmospher Res, Lauder 9352, Omakau, New Zealand; [Rozanov, E.] World Radiat Ctr, Phys Meteorol Observ, CH-7260 Davos, Switzerland; [Rozanov, E.] ETH, Zurich, Switzerland; [Shepherd, T. G.] Univ Toronto, Dept Phys, Toronto, ON M5S 1A7, Canada; [Shibata, K.] Japan Meteorol Agcy, Meteorol Res Inst, Tsukuba, Ibaraki 3050052, Japan</t>
  </si>
  <si>
    <t>National Oceanic Atmospheric Admin (NOAA) - USA; National Center Atmospheric Research (NCAR) - USA; Stockholm University; University of Victoria; Environment &amp; Climate Change Canada; National Institute for Environmental Studies - Japan; Max Planck Society; Sorbonne Universite; Universite Paris Cite; Centre National de la Recherche Scientifique (CNRS); CNRS - National Institute for Earth Sciences &amp; Astronomy (INSU); Universite Paris Saclay; University of Cambridge; Met Office - UK; Hadley Centre; University of Leeds; Helmholtz Association; German Aerospace Centre (DLR); National Aeronautics &amp; Space Administration (NASA); NASA Goddard Space Flight Center; Science Systems and Applications Inc; National Center Atmospheric Research (NCAR) - USA; Free University of Berlin; University of L'Aquila; Meteo France; National Institute of Water &amp; Atmospheric Research (NIWA) - New Zealand; Swiss Federal Institutes of Technology Domain; ETH Zurich; University of Toronto; Meteorological Research Institute - Japan; Japan Meteorological Agency</t>
  </si>
  <si>
    <t>Austin, J (corresponding author), NOAA, Geophys Fluid Dynam Lab, Princeton, NJ 08542 USA.</t>
  </si>
  <si>
    <t>john.austin@noaa.gov</t>
  </si>
  <si>
    <t>Hardiman, Steven/HDO-0165-2022; Lamarque, Jean-Francois/L-2313-2014; Frith, Stacey/HMD-9437-2023; Akiyoshi, Hideharu/H-8170-2018; Jöckel, Patrick/C-3687-2009; Cassano, John/HKW-8817-2023; bekki, slimane/J-7221-2015; Nakamura, Tetsu/M-7914-2015; Rozanov, Eugene/A-9857-2012; Rozanov, Eugene/V-1881-2018; Pitari, Giovanni/O-7458-2016; Yamashita, Yousuke/AAB-4754-2019; Baumgaertner, Andreas/C-4830-2011; Bodeker, Greg E/A-8870-2008; Dhomse, Sandip/C-8198-2011; Chipperfield, Martyn/H-6359-2013; Braesicke, Peter/D-8330-2016; Gettelman, Andrew/AAY-2312-2021</t>
  </si>
  <si>
    <t>Frith, Stacey/0000-0001-6894-0574; Jöckel, Patrick/0000-0002-8964-1394; bekki, slimane/0000-0002-5538-0800; Rozanov, Eugene/0000-0003-0479-4488; Rozanov, Eugene/0000-0003-0479-4488; Yamashita, Yousuke/0000-0002-6813-4668; Baumgaertner, Andreas/0000-0002-4740-0701; Dhomse, Sandip/0000-0003-3854-5383; Chipperfield, Martyn/0000-0002-6803-4149; Braesicke, Peter/0000-0003-1423-0619;</t>
  </si>
  <si>
    <t>Ministry of the Environment of Japan [A-071]; CFCAS through the C-SPARC; New Zealand Foundation for Research, Science and Technology [C01X070]; NERC; DECC/Defra [GA01101]; European Commission; NERC [jwcrp01001, earth010004] Funding Source: UKRI; Natural Environment Research Council [jwcrp01001, earth010004, ncas10009] Funding Source: researchfish</t>
  </si>
  <si>
    <t>Ministry of the Environment of Japan(Ministry of the Environment, Japan); CFCAS through the C-SPARC; New Zealand Foundation for Research, Science and Technology(New Zealand Foundation for Research, Science and Technology); NERC(UK Research &amp; Innovation (UKRI)Natural Environment Research Council (NERC)); DECC/Defra(Department for Environment, Food &amp; Rural Affairs (DEFRA)); European Commission(European Union (EU)European Commission Joint Research Centre); NERC(UK Research &amp; Innovation (UKRI)Natural Environment Research Council (NERC)); Natural Environment Research Council(UK Research &amp; Innovation (UKRI)Natural Environment Research Council (NERC))</t>
  </si>
  <si>
    <t>CCSRNIES research was supported by the Global Environmental Research Fund of the Ministry of the Environment of Japan (A-071). The MRI and CCSRNIES simulations were completed with the supercomputer at the National Institute for Environmental Studies, Japan. CMAM simulations were supported by CFCAS through the C-SPARC project. The computer time for the EMAC-FUB simulation at ECMWF was provided by the German Weather Service. The Niwa-SOCOL and UMETRAC simulations were supported by the New Zealand Foundation for Research, Science and Technology under contract C01X070. The UMSLIMCAT work was supported by NERC. The contribution of the Met Office Hadley Centre was supported by the Joint DECC and Defra Integrated Climate Programme, DECC/Defra (GA01101). The scientific work of the European CCM groups was supported by the European Commission through the project SCOUT-O3 under the 6th Framework Programme. J.A.'s research was administered by the University Corporation for Atmospheric Research at the NOAA Geophysical Fluid Dynamics Laboratory. John Wilson and Rolando Garcia provided useful comments on the paper. We acknowledge the Chemistry-Climate Model Validation (CCMVal) Activity for WCRP's (World Climate Research Programme) SPARC (Stratospheric Processes and their Role in Climate) project for organizing and coordinating the model data analysis activity and the British Atmospheric Data Center (BADC) for collecting and archiving the CCMVal model output.</t>
  </si>
  <si>
    <t>NOV 5</t>
  </si>
  <si>
    <t>D00M11</t>
  </si>
  <si>
    <t>10.1029/2009JD013577</t>
  </si>
  <si>
    <t>676VA</t>
  </si>
  <si>
    <t>Green Accepted, Green Published, Bronze</t>
  </si>
  <si>
    <t>WOS:000283945500005</t>
  </si>
  <si>
    <t>Austin, J; Scinocca, J; Plummer, D; Oman, L; Waugh, D; Akiyoshi, H; Bekki, S; Braesicke, P; Butchart, N; Chipperfield, M; Cugnet, D; Dameris, M; Dhomse, S; Eyring, V; Frith, S; Garcia, RR; Garny, H; Gettelman, A; Hardiman, SC; Kinnison, D; Lamarque, JF; Mancini, E; Marchand, M; Michou, M; Morgenstern, O; Nakamura, T; Pawson, S; Pitari, G; Pyle, J; Rozanov, E; Shepherd, TG; Shibata, K; Teyssèdre, H; Wilson, RJ; Yamashita, Y</t>
  </si>
  <si>
    <t>Austin, John; Scinocca, J.; Plummer, D.; Oman, L.; Waugh, D.; Akiyoshi, H.; Bekki, S.; Braesicke, P.; Butchart, N.; Chipperfield, M.; Cugnet, D.; Dameris, M.; Dhomse, S.; Eyring, V.; Frith, S.; Garcia, R. R.; Garny, H.; Gettelman, A.; Hardiman, S. C.; Kinnison, D.; Lamarque, J. F.; Mancini, E.; Marchand, M.; Michou, M.; Morgenstern, O.; Nakamura, T.; Pawson, S.; Pitari, G.; Pyle, J.; Rozanov, E.; Shepherd, T. G.; Shibata, K.; Teyssedre, H.; Wilson, R. J.; Yamashita, Y.</t>
  </si>
  <si>
    <t>Decline and recovery of total column ozone using a multimodel time series analysis</t>
  </si>
  <si>
    <t>CHEMISTRY-CLIMATE MODEL; QUASI-BIENNIAL OSCILLATION; STRATOSPHERIC OZONE; TECHNICAL NOTE; SIMULATION; TRANSPORT; TRENDS; CIRCULATION; SENSITIVITY; IMPACT</t>
  </si>
  <si>
    <t>[1] Simulations of 15 coupled chemistry climate models, for the period 1960-2100, are presented. The models include a detailed stratosphere, as well as including a realistic representation of the tropospheric climate. The simulations assume a consistent set of changing greenhouse gas concentrations, as well as temporally varying chlorofluorocarbon concentrations in accordance with observations for the past and expectations for the future. The ozone results are analyzed using a nonparametric additive statistical model. Comparisons are made with observations for the recent past, and the recovery of ozone, indicated by a return to 1960 and 1980 values, is investigated as a function of latitude. Although chlorine amounts are simulated to return to 1980 values by about 2050, with only weak latitudinal variations, column ozone amounts recover at different rates due to the influence of greenhouse gas changes. In the tropics, simulated peak ozone amounts occur by about 2050 and thereafter total ozone column declines. Consequently, simulated ozone does not recover to values which existed prior to the early 1980s. The results also show a distinct hemispheric asymmetry, with recovery to 1980 values in the Northern Hemisphere extratropics ahead of the chlorine return by about 20 years. In the Southern Hemisphere midlatitudes, ozone is simulated to return to 1980 levels only 10 years ahead of chlorine. In the Antarctic, annually averaged ozone recovers at about the same rate as chlorine in high latitudes and hence does not return to 1960s values until the last decade of the simulations.</t>
  </si>
  <si>
    <t>[Austin, John; Wilson, R. J.] NOAA, Geophys Fluid Dynam Lab, Princeton, NJ 08542 USA; [Akiyoshi, H.; Nakamura, T.; Yamashita, Y.] Natl Inst Environm Studies, Tsukuba, Ibaraki 3058506, Japan; [Bekki, S.; Cugnet, D.; Marchand, M.] UPMC, CNRS, INSU, UVSQ,IPSL,LATMOS, F-75231 Paris, France; [Braesicke, P.; Pyle, J.] Univ Cambridge, Dept Chem, Ctr Atmospher Sci, NCAS Climate Chem, Cambridge CB2 1EW, England; [Butchart, N.; Hardiman, S. C.] Hadley Ctr, Met Off, Exeter EX1 3PB, Devon, England; [Chipperfield, M.; Dhomse, S.] Univ Leeds, Sch Earth &amp; Environm, Leeds LS2 9JT, W Yorkshire, England; [Dameris, M.; Eyring, V.; Garny, H.] Inst Phys Atmosphare, Deutsch Zentrum Luft &amp; Raumfahrt, D-82234 Wessling, Germany; [Frith, S.; Pawson, S.] NASA, Goddard Space Flight Ctr, Greenbelt, MD 20771 USA; [Garcia, R. R.; Gettelman, A.; Kinnison, D.; Lamarque, J. F.] NCAR, Boulder, CO 80305 USA; [Mancini, E.; Pitari, G.] Univ Aquila, Dipartimento Fis, I-161700 Laquila, Italy; [Michou, M.; Teyssedre, H.] CNRM, GAME, F-31057 Toulouse, France; [Morgenstern, O.] Natl Inst Water &amp; Atmospher Res, Omakau 9352, Lauder, New Zealand; [Oman, L.; Waugh, D.] Johns Hopkins Univ, Dept Earth &amp; Planetary Sci, Baltimore, MD 21218 USA; [Plummer, D.] Environm Canada, Sci &amp; Technol Branch, Toronto, ON M3H 5T4, Canada; [Rozanov, E.] World Radiat Ctr, Phys Meteorol Observ, CH-7260 Davos, Switzerland; [Scinocca, J.] Univ Victoria, CCMA, Victoria, BC V8W 3V6, Canada; [Shepherd, T. G.] Univ Toronto, Dept Phys, Toronto, ON M5S 1A7, Canada; [Shibata, K.] Japan Meteorol Agcy, Meteorol Res Inst, Tsukuba, Ibaraki 3050052, Japan; [Frith, S.] Sci Syst &amp; Applicat Inc, Beltsville, MD USA; [Rozanov, E.] ETH, Zurich, Switzerland</t>
  </si>
  <si>
    <t>National Oceanic Atmospheric Admin (NOAA) - USA; National Institute for Environmental Studies - Japan; Centre National de la Recherche Scientifique (CNRS); CNRS - National Institute for Earth Sciences &amp; Astronomy (INSU); Universite Paris Cite; Universite Paris Saclay; Sorbonne Universite; University of Cambridge; Met Office - UK; Hadley Centre; University of Leeds; Helmholtz Association; German Aerospace Centre (DLR); National Aeronautics &amp; Space Administration (NASA); NASA Goddard Space Flight Center; National Center Atmospheric Research (NCAR) - USA; University of L'Aquila; National Institute of Water &amp; Atmospheric Research (NIWA) - New Zealand; Johns Hopkins University; Environment &amp; Climate Change Canada; University of Victoria; University of Toronto; Meteorological Research Institute - Japan; Japan Meteorological Agency; Science Systems and Applications Inc; Swiss Federal Institutes of Technology Domain; ETH Zurich</t>
  </si>
  <si>
    <t>Rozanov, Eugene/A-9857-2012; Dhomse, Sandip/C-8198-2011; Akiyoshi, Hideharu/H-8170-2018; Hardiman, Steven/HDO-0165-2022; Gettelman, Andrew/AAY-2312-2021; Lamarque, Jean-Francois/L-2313-2014; Frith, Stacey/HMD-9437-2023; Chipperfield, Martyn/H-6359-2013; Yamashita, Yousuke/AAB-4754-2019; Braesicke, Peter/D-8330-2016; Pawson, Steven/I-1865-2014; bekki, slimane/J-7221-2015; Cassano, John/HKW-8817-2023; Rozanov, Eugene/V-1881-2018; Eyring, Veronika/O-9999-2016; Waugh, Darryn W/K-3688-2016; Oman, Luke/C-2778-2009; Nakamura, Tetsu/M-7914-2015; Pitari, Giovanni/O-7458-2016</t>
  </si>
  <si>
    <t>Rozanov, Eugene/0000-0003-0479-4488; Dhomse, Sandip/0000-0003-3854-5383; Frith, Stacey/0000-0001-6894-0574; Chipperfield, Martyn/0000-0002-6803-4149; Yamashita, Yousuke/0000-0002-6813-4668; Braesicke, Peter/0000-0003-1423-0619; bekki, slimane/0000-0002-5538-0800; Rozanov, Eugene/0000-0003-0479-4488; Eyring, Veronika/0000-0002-6887-4885; Dameris, Martin/0000-0001-6700-0628; Morgenstern, Olaf/0000-0002-9967-9740; Garny, Hella/0000-0003-4960-2304; Mancini, Eva/0000-0001-7071-0292; Oman, Luke/0000-0002-5487-2598; Akiyoshi, Hideharu/0000-0001-6463-9004; Nakamura, Tetsu/0000-0002-2056-7392; Pitari, Giovanni/0000-0001-7051-9578</t>
  </si>
  <si>
    <t>Ministry of the Environment of Japan [A-071]; New Zealand Foundation for Research, Science and Technology [C01X070]; NERC; DECC/Defra [GA01101]; European Commission [SCOUT-O3]; NERC [jwcrp01001, earth010004] Funding Source: UKRI; Natural Environment Research Council [ncas10009, earth010004, jwcrp01001] Funding Source: researchfish; Grants-in-Aid for Scientific Research [20340129] Funding Source: KAKEN; Directorate For Geosciences; Div Atmospheric &amp; Geospace Sciences [0905863] Funding Source: National Science Foundation</t>
  </si>
  <si>
    <t>Ministry of the Environment of Japan(Ministry of the Environment, Japan); New Zealand Foundation for Research, Science and Technology(New Zealand Foundation for Research, Science and Technology); NERC(UK Research &amp; Innovation (UKRI)Natural Environment Research Council (NERC)); DECC/Defra(Department for Environment, Food &amp; Rural Affairs (DEFRA)); European Commission(European Union (EU)European Commission Joint Research Centre);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 Directorate For Geosciences; Div Atmospheric &amp; Geospace Sciences(National Science Foundation (NSF)NSF - Directorate for Geosciences (GEO))</t>
  </si>
  <si>
    <t>CCSRNIES research was supported by the Global Environmental Research Fund of the Ministry of the Environment of Japan (A-071). The MRI and CCSRNIES simulations were completed with the supercomputer at the National Institute for Environmental Studies, Japan. CMAM simulations were supported by CFCAS through the C-SPARC project. The Niwa-SOCOL and UMETRAC simulations were supported by the New Zealand Foundation for Research, Science and Technology under contract C01X070. The UMSLIMCAT work was supported by NERC. The contribution of the Met Office Hadley Centre was supported by the Joint DECC and Defra Integrated Climate Programme, DECC/Defra (GA01101). The scientific work of the European CCM groups was supported by the European Commission through the project SCOUT-O3 under the 6th Framework Programme. J.A.'s research was administered by the University Corporation for Atmospheric Research at the NOAA Geophysical Fluid Dynamics Laboratory. Larry Horowitz and Dan Schwarzkopf provided useful comments on the paper. We acknowledge the Chemistry-Climate Model Validation (CCMVal) Activity for WCRP's (World Climate Research Programme) SPARC (Stratospheric Processes and their Role in Climate) project for organizing and coordinating the model data analysis activity, and the British Atmospheric Data Center (BADC) for collecting and archiving the CCMVal model output.</t>
  </si>
  <si>
    <t>NOV 4</t>
  </si>
  <si>
    <t>D00M10</t>
  </si>
  <si>
    <t>10.1029/2010JD013857</t>
  </si>
  <si>
    <t>676UT</t>
  </si>
  <si>
    <t>WOS:000283944800004</t>
  </si>
  <si>
    <t>Yu, JY; Liu, HX; Jezek, KC; Warner, RC; Wen, JH</t>
  </si>
  <si>
    <t>Yu, Jaehyung; Liu, Hongxing; Jezek, Kenneth C.; Warner, Roland C.; Wen, Jiahong</t>
  </si>
  <si>
    <t>Analysis of velocity field, mass balance, and basal melt of the Lambert Glacier-Amery Ice Shelf system by incorporating Radarsat SAR interferometry and ICESat laser altimetry measurements</t>
  </si>
  <si>
    <t>EAST ANTARCTICA; GROUNDING ZONE; SHEET MOTION; ACCUMULATION; GREENLAND; BENEATH; BUDGETS; FLUXES; INSAR; BASIN</t>
  </si>
  <si>
    <t>By incorporating recently available remote sensing data, we investigated the mass balance for all individual tributary glacial basins of the Lambert Glacier-Amery Ice Shelf system, East Antarctica. On the basis of the ice flow information derived from SAR interferometry and ICESat laser altimetry, we have determined the spatial configuration of eight tributary drainage basins of the Lambert-Amery glacial system. By combining the coherence information from SAR interferometry and the texture information from SAR and MODIS images, we have interpreted and refined the grounding line position. We calculated ice volume flux of each tributary glacial basin based on the ice velocity field derived from Radarsat three-pass interferometry together with ice thickness data interpolated from Australian and Russian airborne radio echo sounding (RES) surveys and inferred from ICESat laser altimetry data. Our analysis reveals that three tributary basins have a significant net positive imbalance, while five other subbasins are slightly positive or close to zero balance. Overall, in contrast to previous studies, we find that the grounded ice in Lambert Glacier-Amery Ice Shelf system has a positive mass imbalance of 22.9 +/- 4.4 Gt a(-1). The net basal melting for the entire Amery Ice Shelf is estimated to be 27.0 +/- 7.0 Gt a(-1). The melting rate decreases rapidly from the grounding zone to the ice shelf front. Significant basal refreezing is detected in the downstream section of the ice shelf. The mass balance estimates for both the grounded ice sheet and the ice shelf mass differ substantially from other recent estimates.</t>
  </si>
  <si>
    <t>[Yu, Jaehyung] Texas A&amp;M Univ, Dept Phys &amp; Geosci, Kingsville, TX 78363 USA; [Liu, Hongxing] Univ Cincinnati, Dept Geog, Cincinnati, OH 45221 USA; [Jezek, Kenneth C.] Ohio State Univ, Byrd Polar Res Ctr, Columbus, OH 43210 USA; [Warner, Roland C.] Antarctic Climate &amp; Ecosyst Cooperat Res Ctr, Dept Environm Water Heritage &amp; Arts, Australian Antarctic Div, Hobart, Tas 7001, Australia; [Wen, Jiahong] Shanghai Normal Univ, Dept Geog, Shanghai 200234, Peoples R China</t>
  </si>
  <si>
    <t>Texas A&amp;M University System; Texas A&amp;M University Kingsville; University System of Ohio; University of Cincinnati; University System of Ohio; Ohio State University; Antarctic Climate &amp; Ecosystems Cooperative Research Centre (ACE CRC); Australian Antarctic Division; Shanghai Normal University</t>
  </si>
  <si>
    <t>Yu, JY (corresponding author), Texas A&amp;M Univ, Dept Phys &amp; Geosci, Kingsville, TX 78363 USA.</t>
  </si>
  <si>
    <t>jaehyung.yu@tamuk.edu; Honxing.Liu@uc.edu; jezek@frosty.rsl.ohio-state.edu; Roland.Warner@aad.gov.au; jhwen@shnu.edu.cn</t>
  </si>
  <si>
    <t>Warner, Roland Charles/ISS-2485-2023; Warner, Robert R./M-5342-2013</t>
  </si>
  <si>
    <t>Warner, Roland Charles/0000-0002-9778-3544;</t>
  </si>
  <si>
    <t>NSF [0126149]; Texas A&amp;M University-Kingsville; CReSIS; Australian Government's Cooperative Research Centres Programme through the Antarctic Climate and Ecosystems Cooperative Research Centre (ACE CRC); NSFC [40871035]; Directorate For Geosciences; Office of Polar Programs (OPP) [0126149] Funding Source: National Science Foundation</t>
  </si>
  <si>
    <t>NSF(National Science Foundation (NSF)); Texas A&amp;M University-Kingsville; CReSIS; Australian Government's Cooperative Research Centres Programme through the Antarctic Climate and Ecosystems Cooperative Research Centre (ACE CRC)(Australian GovernmentDepartment of Industry, Innovation and ScienceCooperative Research Centres (CRC) Programme); NSFC(National Natural Science Foundation of China (NSFC)); Directorate For Geosciences; Office of Polar Programs (OPP)(National Science Foundation (NSF)NSF - Directorate for Geosciences (GEO))</t>
  </si>
  <si>
    <t>This research was supported by NSF grant 0126149 and University Research Award of Texas A&amp;M University-Kingsville. The authors thank the National Snow and Ice Data Center (NSIDC) in Boulder, Colorado, for providing the ICESat laser altimetry data, the BEDMAP project of the British Antarctica Survey (BAS) for providing the ice thickness data, and D. Vaughan and M. Giovinetto for providing snow accumulation grids. K. Jezek's work was supported by CReSIS. R. Warner's work was supported by the Australian Government's Cooperative Research Centres Programme through the Antarctic Climate and Ecosystems Cooperative Research Centre (ACE CRC). J. Wen's work was supported by NSFC grant 40871035.</t>
  </si>
  <si>
    <t>B11102</t>
  </si>
  <si>
    <t>10.1029/2010JB007456</t>
  </si>
  <si>
    <t>676WH</t>
  </si>
  <si>
    <t>WOS:000283948900002</t>
  </si>
  <si>
    <t>Padman, L; Costa, DP; Bolmer, ST; Goebel, ME; Huckstadt, LA; Jenkins, A; McDonald, BI; Shoosmith, DR</t>
  </si>
  <si>
    <t>Padman, Laurie; Costa, Daniel P.; Bolmer, S. Thompson; Goebel, Michael E.; Huckstadt, Luis A.; Jenkins, Adrian; McDonald, Birgitte I.; Shoosmith, Deborah R.</t>
  </si>
  <si>
    <t>Seals map bathymetry of the Antarctic continental shelf</t>
  </si>
  <si>
    <t>SOUTHERN ELEPHANT SEALS; FORAGING ECOLOGY; PENINSULA; OCEAN; WEST; CIRCULATION; ENERGETICS; BEHAVIOR; LION</t>
  </si>
  <si>
    <t>We demonstrate the first use of marine mammal dive-depth data to improve maps of bathymetry in poorly sampled regions of the continental shelf. A group of 57 instrumented elephant seals made on the order of 2 x 10(5) dives over and near the continental shelf on the western side of the Antarctic Peninsula during five seasons, 2005-2009. Maximum dive depth exceeded 2000 m. For dives made near existing ship tracks with measured water depths H&lt;700 m, similar to 30% of dive depths were to the seabed, consistent with expected benthic foraging behavior. By identifying the deepest of multiple dives within small areas as a dive to the seabed, we have developed a map of seal-derived bathymetry. Our map fills in several regions for which trackline data are sparse, significantly improving delineation of troughs crossing the continental shelf of the southern Bellingshausen Sea. Citation: Padman, L., D. P. Costa, S. T. Bolmer, M. E. Goebel, L. A. Huckstadt, A. Jenkins, B. I. McDonald, and D. R. Shoosmith (2010), Seals map bathymetry of the Antarctic continental shelf, Geophys. Res. Lett., 37, L21601, doi:10.1029/2010GL044921.</t>
  </si>
  <si>
    <t>[Padman, Laurie] Earth &amp; Space Res, Corvallis, OR 97333 USA; [Costa, Daniel P.; Huckstadt, Luis A.] Univ Calif Santa Cruz, Santa Cruz, CA 95060 USA; [Bolmer, S. Thompson] Woods Hole Oceanog Inst, Woods Hole, MA 02543 USA; [Goebel, Michael E.] NOAA, Antarctic Ecosyst Res Div, SWFSC, Natl Marine Fisheries Serv, La Jolla, CA 92037 USA; [Jenkins, Adrian; Shoosmith, Deborah R.] British Antarctic Survey, Cambridge CB3 0ET, England; [McDonald, Birgitte I.] Univ Calif San Diego, Scripps Inst Oceanog, La Jolla, CA 92093 USA</t>
  </si>
  <si>
    <t>University of California System; University of California Santa Cruz; Woods Hole Oceanographic Institution; National Oceanic Atmospheric Admin (NOAA) - USA; UK Research &amp; Innovation (UKRI); Natural Environment Research Council (NERC); NERC British Antarctic Survey; University of California System; University of California San Diego; Scripps Institution of Oceanography</t>
  </si>
  <si>
    <t>Padman, L (corresponding author), Earth &amp; Space Res, 3350 SW Cascade Ave, Corvallis, OR 97333 USA.</t>
  </si>
  <si>
    <t>padman@esr.org</t>
  </si>
  <si>
    <t>Jenkins, Adrian/IUN-2406-2023; Padman, Laurence/AAH-3808-2021; Carlos, Universidade Federal de São/W-8832-2019; Huckstadt, Luis/A-5838-2018; Huckstadt, Luis/JNR-7637-2023; Huckstadt, Luis A./J-8532-2019; McDonald, Birgitte I/I-3602-2019; Costa, Daniel Paul/E-2616-2013</t>
  </si>
  <si>
    <t>Carlos, Universidade Federal de São/0000-0002-0334-3899; Huckstadt, Luis/0000-0002-2453-7350; Huckstadt, Luis A./0000-0002-2453-7350; McDonald, Birgitte I/0000-0001-5028-066X; Padman, Laurence/0000-0003-2010-642X; Costa, Daniel Paul/0000-0002-0233-5782; Jenkins, Adrian/0000-0002-9117-0616</t>
  </si>
  <si>
    <t>NASA [NNG05GR58G, NNX06AD40G, NNG06GA69G]; ONR [N00014-05-1-0645]; NSF [OPP-0338101, ANT-0440687, ANT-0523332]; U.S.-AMLR; NERC [bas0100027, bas0100028] Funding Source: UKRI; STFC [ST/H008519/1, ST/F002289/1] Funding Source: UKRI; Office of Polar Programs (OPP); Directorate For Geosciences [0840375] Funding Source: National Science Foundation; Office of Polar Programs (OPP); Directorate For Geosciences [0838937] Funding Source: National Science Foundation; Natural Environment Research Council [bas0100027, bas0100028] Funding Source: researchfish; Science and Technology Facilities Council [ST/F002289/1, ST/H008519/1] Funding Source: researchfish</t>
  </si>
  <si>
    <t>NASA(National Aeronautics &amp; Space Administration (NASA)); ONR(Office of Naval Research); NSF(National Science Foundation (NSF)); U.S.-AMLR; NERC(UK Research &amp; Innovation (UKRI)Natural Environment Research Council (NERC)); STFC(UK Research &amp; Innovation (UKRI)Science &amp; Technology Facilities Council (STFC)); Office of Polar Programs (OPP); Directorate For Geosciences(National Science Foundation (NSF)NSF - Directorate for Geosciences (GEO)); Office of Polar Programs (OPP); Directorate For Geosciences(National Science Foundation (NSF)NSF - Directorate for Geosciences (GEO)); Natural Environment Research Council(UK Research &amp; Innovation (UKRI)Natural Environment Research Council (NERC)); Science and Technology Facilities Council(UK Research &amp; Innovation (UKRI)Science &amp; Technology Facilities Council (STFC))</t>
  </si>
  <si>
    <t>We thank David Sandwell for providing the high-resolution bathymetry grid TOPO12.1; Yann Tremblay and Patrick Robinson for calibration and preparation of the seal CTD tags; and Mike Dinniman for discussions on the role of bathymetry in modeling performance. We appreciate the detailed comments from two anonymous reviewers. This work was supported by: NASA grants NNG05GR58G, NNX06AD40G and NNG06GA69G to LP; ONR grant N00014-05-1-0645 to DPC; NSF grants OPP-0338101 to ESR, and ANT-0440687 and ANT-0523332 to DPC and MEG; and the U.S.-AMLR program. This is ESR contribution 134.</t>
  </si>
  <si>
    <t>NOV 3</t>
  </si>
  <si>
    <t>L21601</t>
  </si>
  <si>
    <t>10.1029/2010GL044921</t>
  </si>
  <si>
    <t>676TO</t>
  </si>
  <si>
    <t>WOS:000283941700007</t>
  </si>
  <si>
    <t>Biuw, M; Nost, OA; Stien, A; Zhou, Q; Lydersen, C; Kovacs, KM</t>
  </si>
  <si>
    <t>Biuw, Martin; Nost, Ole Anders; Stien, Audun; Zhou, Qin; Lydersen, Christian; Kovacs, Kit M.</t>
  </si>
  <si>
    <t>Effects of Hydrographic Variability on the Spatial, Seasonal and Diel Diving Patterns of Southern Elephant Seals in the Eastern Weddell Sea</t>
  </si>
  <si>
    <t>ANTARCTIC FUR SEALS; KING-GEORGE ISLAND; PENGUINS APTENODYTES-FORSTERI; MIROUNGA-LEONINA; EMPEROR PENGUINS; ARCTOCEPHALUS-GAZELLA; VERTICAL-DISTRIBUTION; FORAGING ECOLOGY; ADULT MALE; PLEURAGRAMMA-ANTARCTICUM</t>
  </si>
  <si>
    <t>Weddell Sea hydrography and circulation is driven by influx of Circumpolar Deep Water (CDW) from the Antarctic Circumpolar Current (ACC) at its eastern margin. Entrainment and upwelling of this high-nutrient, oxygen-depleted water mass within the Weddell Gyre also supports the mesopelagic ecosystem within the gyre and the rich benthic community along the Antarctic shelf. We used Conductivity-Temperature-Depth Satellite Relay Data Loggers (CTD-SRDLs) to examine the importance of hydrographic variability, ice cover and season on the movements and diving behavior of southern elephant seals in the eastern Weddell Sea region during their overwinter feeding trips from Bouvetoya. We developed a model describing diving depth as a function of local time of day to account for diel variation in diving behavior. Seals feeding in pelagic ice-free waters during the summer months displayed clear diel variation, with daytime dives reaching 500-1500 m and night-time targeting of the subsurface temperature and salinity maxima characteristic of CDW around 150-300 meters. This pattern was especially clear in the Weddell Cold and Warm Regimes within the gyre, occurred in the ACC, but was absent at the Dronning Maud Land shelf region where seals fed benthically. Diel variation was almost absent in pelagic feeding areas covered by winter sea ice, where seals targeted deep layers around 500-700 meters. Thus, elephant seals appear to switch between feeding strategies when moving between oceanic regimes or in response to seasonal environmental conditions. While they are on the shelf, they exploit the locally-rich benthic ecosystem, while diel patterns in pelagic waters in summer are probably a response to strong vertical migration patterns within the copepod-based pelagic food web. Behavioral flexibility that permits such switching between different feeding strategies may have important consequences regarding the potential for southern elephant seals to adapt to variability or systematic changes in their environment resulting from climate change.</t>
  </si>
  <si>
    <t>[Biuw, Martin; Nost, Ole Anders; Zhou, Qin; Lydersen, Christian; Kovacs, Kit M.] Norwegian Polar Res Inst, Polar Environm Ctr, Tromso, Norway; [Stien, Audun] Norwegian Inst Nat Res, Polar Environm Ctr, Tromso, Norway</t>
  </si>
  <si>
    <t>Norwegian Polar Institute; Norwegian Institute Nature Research</t>
  </si>
  <si>
    <t>Biuw, M (corresponding author), Norwegian Polar Res Inst, Polar Environm Ctr, Tromso, Norway.</t>
  </si>
  <si>
    <t>martin.biuw@npolar.no</t>
  </si>
  <si>
    <t>Biuw, Martin/AAF-9895-2021</t>
  </si>
  <si>
    <t>Stien, Audun/0000-0001-8046-7337; Biuw, Martin/0000-0001-8051-3399; Nost, Ole Anders/0000-0002-6139-4088</t>
  </si>
  <si>
    <t>Research Council of Norway; NERC [NE/E018289/1] Funding Source: UKRI; Natural Environment Research Council [NE/E018289/1] Funding Source: researchfish</t>
  </si>
  <si>
    <t>Research Council of Norway(Research Council of Norway); NERC(UK Research &amp; Innovation (UKRI)Natural Environment Research Council (NERC)); Natural Environment Research Council(UK Research &amp; Innovation (UKRI)Natural Environment Research Council (NERC))</t>
  </si>
  <si>
    <t>This study is part of MEOP (Marine Mammals Exploring the Oceans Pole to pole), Norway, an International Polar Year (IPY) programme funded by the Research Council of Norway (Grant number to be provided). The funders had no role in study design, data collection and analysis, decision to publish, or preparation of the manuscript.</t>
  </si>
  <si>
    <t>e13816</t>
  </si>
  <si>
    <t>10.1371/journal.pone.0013816</t>
  </si>
  <si>
    <t>674WJ</t>
  </si>
  <si>
    <t>WOS:000283780800014</t>
  </si>
  <si>
    <t>Mishra, AP; Pandey, AC; Rai, S</t>
  </si>
  <si>
    <t>Mishra, Anshu Prakash; Pandey, A. C.; Rai, S.</t>
  </si>
  <si>
    <t>Ocean Model Derived Global Surface Circulation and Vertical Velocity</t>
  </si>
  <si>
    <t>JOURNAL OF THE GEOLOGICAL SOCIETY OF INDIA</t>
  </si>
  <si>
    <t>Modular ocean model (MOM); Antarctic circumpolar current; Vertical velocity; Sea surface current; Sea surface temperature; Quasi-stagnant; Convergent</t>
  </si>
  <si>
    <t>ANTARCTIC CIRCUMPOLAR CURRENT; SOUTHERN INDIAN-OCEAN; EQUATORIAL PACIFIC; TROPICAL PACIFIC; ANNUAL CYCLE; PREDICTIONS; SIMULATION; LAYER; WATER; ENSO</t>
  </si>
  <si>
    <t>In this article, the authors examine Sea surface temperature (SST), Sea surface circulation (SSC) and Vertical velocity (VV) fields from simulation of 25 layers coarse resolution Modular ocean model (MOM version 3.0) with prescribed wind forcing for the region 74.25 degrees S to 65 degrees N, 180 degrees W-180 degrees E. It is found that distribution of SST simulated by the model shows its consistency with the observed climatology. However, simulated SST in the areas of Arabian Sea, Bay of Bengal, Indonesian Throughflow (ITF) region and east of North America near equator exhibit slight warming with respect to observation, which may be due to model deficiency and forcing problems. Circulation features suggest that one of the strongest current viz. Antarctic circumpolar current (ACC) along with other major current systems viz. Gulf stream current, North and South Pacific current, Agulhas current, Labrador current, Canary current, etc are captured well by the model. In the Indian Ocean and other ocean basins, current patterns are well captured by the model simulation. Intense upwelling as well as downwelling areas is marked in the horizontal distribution of VV, which is as expected. VV show quasi-stagnant and convergent regions suggesting that floating materials may be accumulated during January/July in the real ocean and wind driven circulation may act as an important contribution for such transport of floating materials in these regions. An attempt has also been made to understand the fluctuations of the SST in NINO 3.4 region during the period of model simulation using SST anomalies.</t>
  </si>
  <si>
    <t>[Mishra, Anshu Prakash; Pandey, A. C.; Rai, S.] Univ Allahabad, Nehru Sci Ctr, K Banerjee Ctr Atmospher &amp; Ocean Studies, Allahabad 211002, Uttar Pradesh, India; [Pandey, A. C.] Univ Allahabad, Dept Phys, Allahabad 211002, Uttar Pradesh, India; [Mishra, Anshu Prakash] Cent Water Commiss, New Delhi 110066, India</t>
  </si>
  <si>
    <t>Mishra, AP (corresponding author), Univ Allahabad, Nehru Sci Ctr, K Banerjee Ctr Atmospher &amp; Ocean Studies, Allahabad 211002, Uttar Pradesh, India.</t>
  </si>
  <si>
    <t>anshu_786@rediffmail.com</t>
  </si>
  <si>
    <t>Pandey, Ashok/JBR-8714-2023; Pandey, Ashok/AAC-6340-2019; PANDEY, AVINASH CHANDRA/B-4600-2014</t>
  </si>
  <si>
    <t>Pandey, Ashok/0000-0003-1626-3529; Pandey, Ashok/0000-0003-1626-3529; PANDEY, AVINASH CHANDRA/0000-0003-0700-3856; Rai, Shailendra/0000-0003-0293-5478</t>
  </si>
  <si>
    <t>NCAOR, Goa</t>
  </si>
  <si>
    <t>We acknowledge Dr. Ben Kirtman and Dr. Bohua Huang of Center of Ocean Land Atmosphere Studies (COLA), Maryland, USA for providing the Modular Ocean Model (MOM3.0) source code. Also we thank Dr. Huang and Dr. Kirtman for their fruitful suggestions time to time. We thank Dr. P. C. Pandey, Ex-Director, NCAOR (DOD), Goa, India for his constant encouragement and thank to NCAOR, Goa for providing the financial assistance in the form of a research project. The author also thanks anonymous reviewers for their fruitful suggestion in improving the manuscript.</t>
  </si>
  <si>
    <t>SPRINGER INDIA</t>
  </si>
  <si>
    <t>NEW DELHI</t>
  </si>
  <si>
    <t>7TH FLOOR, VIJAYA BUILDING, 17, BARAKHAMBA ROAD, NEW DELHI, 110 001, INDIA</t>
  </si>
  <si>
    <t>0016-7622</t>
  </si>
  <si>
    <t>J GEOL SOC INDIA</t>
  </si>
  <si>
    <t>J. Geol. Soc. India</t>
  </si>
  <si>
    <t>NOV</t>
  </si>
  <si>
    <t>10.1007/s12594-010-0125-6</t>
  </si>
  <si>
    <t>825YA</t>
  </si>
  <si>
    <t>WOS:000295316900004</t>
  </si>
  <si>
    <t>Rodrigues, RR; Wimbush, M; Watts, DR; Rothstein, LM; Ollitrault, M</t>
  </si>
  <si>
    <t>Rodrigues, Regina R.; Wimbush, Mark; Watts, D. Randolph; Rothstein, Lewis M.; Ollitrault, Michel</t>
  </si>
  <si>
    <t>South Atlantic mass transports obtained from subsurface float and hydrographic data</t>
  </si>
  <si>
    <t>JOURNAL OF MARINE RESEARCH</t>
  </si>
  <si>
    <t>ANTARCTIC INTERMEDIATE WATER; INTER-OCEAN EXCHANGE; AGULHAS LEAKAGE; GEOSTROPHIC CIRCULATION; WESTERN BOUNDARY; VARIABILITY; THERMOCLINE; FRONTS; TEMPERATURE; DYNAMICS</t>
  </si>
  <si>
    <t>Mean total (barotropic + baroclinie) mass transports of the oceanic top 1000 dbar are estimated for two regions of the South Atlantic between 18 degrees S and 47 degrees S. These transports are obtained by using Gravest Empirical Mode (GEM) fields calculated from historical hydrography with temperature and position data from quasi-isobaric subsurface floats deployed from 1992 through 2001. The float-GEM-estimated total mass transports reveal a Brazil Current with a southward flow of 20.9 Sv at 30 degrees S and 46 Sv at 35 degrees S (1 Sverdrup, Sv = 10(6) m(3) s(-1)). Two recirculation cells are identified in the southwest corner of the subtropical gyre north of 40 degrees S, one centered at 48 degrees W, 37 degrees S recirculating 28.5 Sv and another centered at 40 degrees W, 38 degrees S recirculating 13.9 Sv. The South Atlantic Current (SAC) flows eastward with 50 Sv at 30 degrees W and splits into two branches in the east, one north of 38 degrees S transporting 19 Sv and one south of 41 degrees S transporting 31 Sv. Of the 39.7 Sv of SAC transport that conies from the Malvinas Current/Antarctic Circumpolar Current (ACC) system in the western basin, only 8.7 Sv flow with the northern branch and the remaining 31 Sv flow as the southern branch out of the South Atlantic rejoining the ACC directly (20.6 Sv) or interacting with the Agulhas Current Retroflection (10.4 Sv). From the northern branch, only 4.7 Sv of Malvinas Current/ACC origin and 10.3 Sv of Brazil Current origin (a total of 15 Sv) stays in the South Atlantic forming the Benguela Current, recirculating within the subtropical gyre. The Agulhas Current Retroflection reaches westward as far as 10 E with a transport of 48 Sv. In terms of mean total transport, the cold-water route carries 4.7 Sv in the upper 1000 dbar whereas the warm-water route carries 8.5 Sv. However, considering the interaction between waters from both origins, there is a total of 19.1 Sv of waters entering the Cape Basin from the Pacific Ocean and 18.5 Sv from the Indian Ocean.</t>
  </si>
  <si>
    <t>[Rodrigues, Regina R.; Wimbush, Mark; Watts, D. Randolph; Rothstein, Lewis M.] Univ Rhode Isl, Grad Sch Oceanog, Narragansett, RI 02882 USA; [Ollitrault, Michel] IFREMER Ctr Brest, Lab Phys Oceans, Brest, France</t>
  </si>
  <si>
    <t>University of Rhode Island; Centre National de la Recherche Scientifique (CNRS); Ifremer; Institut de Recherche pour le Developpement (IRD)</t>
  </si>
  <si>
    <t>Rodrigues, RR (corresponding author), Univ Fed Santa Catarina, Dept Environm Engn, BR-88040900 Florianopolis, SC, Brazil.</t>
  </si>
  <si>
    <t>regina.rodrigues@ens.ufsc.br</t>
  </si>
  <si>
    <t>Rodrigues, Regina R./AAU-4018-2020</t>
  </si>
  <si>
    <t>Rodrigues, Regina R./0000-0001-8010-4018</t>
  </si>
  <si>
    <t>National Council for Research and Scientific Development (CNPq); Ministry of Science and Technology of Brazil [200777/98-0]</t>
  </si>
  <si>
    <t>National Council for Research and Scientific Development (CNPq)(Conselho Nacional de Desenvolvimento Cientifico e Tecnologico (CNPQ)); Ministry of Science and Technology of Brazil</t>
  </si>
  <si>
    <t>The authors thank Byron Willeford for helping with the construction of the GEM fields, Paula Perez-Brunius for developing the float-GEM technique, Thomas Rossby for valuable discussion, and Olaf Boebel for providing the RAFOS Boat data. This paper has benefited considerably from the helpful advice of reviewers. RRR especially thanks the National Council for Research and Scientific Development (CNPq) and the Ministry of Science and Technology of Brazil for support (Grant 200777/98-0).</t>
  </si>
  <si>
    <t>SEARS FOUNDATION MARINE RESEARCH</t>
  </si>
  <si>
    <t>YALE UNIV, KLINE GEOLOGY LAB, 210 WHITNEY AVENUE, NEW HAVEN, CT 06520-8109 USA</t>
  </si>
  <si>
    <t>0022-2402</t>
  </si>
  <si>
    <t>1543-9542</t>
  </si>
  <si>
    <t>J MAR RES</t>
  </si>
  <si>
    <t>J. Mar. Res.</t>
  </si>
  <si>
    <t>10.1357/002224010796673858</t>
  </si>
  <si>
    <t>805ZH</t>
  </si>
  <si>
    <t>WOS:000293769100003</t>
  </si>
  <si>
    <t>Grey, M; Haggart, JW; Smith, PL</t>
  </si>
  <si>
    <t>Grey, Melissa; Haggart, James W.; Smith, Paul L.</t>
  </si>
  <si>
    <t>MORPHOLOGICAL VARIABILITY IN TIME AND SPACE: AN EXAMPLE OF PATTERNS WITHIN BUCHIID BIVALVES (BIVALVIA, BUCHIIDAE)</t>
  </si>
  <si>
    <t>PALAEONTOLOGY</t>
  </si>
  <si>
    <t>bivalves; latitudinal gradient; morphological disparity; taxonomic diversity</t>
  </si>
  <si>
    <t>TAXONOMIC DIVERSITY; DISPARITY; EVOLUTION; DISCRIMINATION; SPECIATION; GRADIENTS; RADIATION; LEVEL</t>
  </si>
  <si>
    <t>We studied morphological variation of the bivalve Buchia over its geographical and temporal range. Buchia was widely distributed during the Late Jurassic and Early Cretaceous, and, while previous quantitative studies have shown that species are characterized by large amounts of variation, there have been no prior attempts to measure how morphology varies geographically. We employed traditional morphometric techniques using nine linear/angular measurements on 1855 buchiid shells from eight localities taken from widely separated, but mostly coeval, sections across its range. Principal component and canonical variate analyses indicate that geographical morphospace of buchiids varied significantly, but we did not find evidence of a latitudinal gradient in shell shape. The amount of variation between localities was similar to the amount of variation between species, indicating the importance of geographical effects on morphology. Disparity (morphological diversity within a taxon, calculated by the sum of variances) and diversity (number of species) were calculated for each location and time period (age). Disparity and diversity reached ultimate lows just before the genus' extinction in the Hauterivian, and is suggestive that extinction was morphologically selective. We did not find significant trends for either metric, but there were discordances throughout its temporal range. Latitudinal trends of disparity and diversity within Buchia are not apparent. This research adds to the growing body of work on geographical variation and is a preliminary step to understanding the nature and variation of buchiid species and of biodiversity in general.</t>
  </si>
  <si>
    <t>[Grey, Melissa] Joggins Fossil Ctr, Joggins, NS B0L 1A0, Canada; [Grey, Melissa; Haggart, James W.; Smith, Paul L.] Univ British Columbia, Dept Earth &amp; Ocean Sci, Vancouver, BC V6T 1Z4, Canada; [Haggart, James W.] Geol Survey Canada, Vancouver, BC V6B 5J3, Canada</t>
  </si>
  <si>
    <t>University of British Columbia; Natural Resources Canada; Lands &amp; Minerals Sector - Natural Resources Canada; Geological Survey of Canada</t>
  </si>
  <si>
    <t>Grey, M (corresponding author), Joggins Fossil Ctr, 100 Main St, Joggins, NS B0L 1A0, Canada.</t>
  </si>
  <si>
    <t>curator@jogginsfossilcliffs.net; JHaggart@nrcan.gc.ca; psmith@eos.ubc.ca</t>
  </si>
  <si>
    <t>PGS-D NSERC; NSERC [588493]</t>
  </si>
  <si>
    <t>PGS-D NSERC(Natural Sciences and Engineering Research Council of Canada (NSERC)); NSERC(Natural Sciences and Engineering Research Council of Canada (NSERC))</t>
  </si>
  <si>
    <t>This study is part of the doctoral research of MG, supported by a PGS-D NSERC scholarship and NSERC grant 588493 to PLS. We are extremely grateful to all the people who made this research possible by allowing us to work with their and/or their institutions' collections: T. Bogdanova, E. Kalacheva, and I. Sey (All-Russian Geological Institute (VSEGEI)); J.A. Crame (British Antarctic Survey); J.S. Crampton (Geological and Nuclear Sciences of New Zealand); J. Dougherty (Geological Survey of Canada); J. Grant-Mackie, D. Hikuroa and N. Hudson (Auckland University); D. A. T. Harper and J. Rasmussen (Geological Museum, Copenhagen); P. Alsen and F. Surlyk (Geological Institute, Copenhagen); and J. Sha (Nanjing Institute of Geology and Palaeontology). We also thank P. G. Lelievre for creating the MatLab morphometrics program (MorphLab 1.0). Two reviewers, M. Kowalewski and P. Neige, significantly improved the quality of this paper, and we thank them for their thoughtful comments.</t>
  </si>
  <si>
    <t>0031-0239</t>
  </si>
  <si>
    <t>1475-4983</t>
  </si>
  <si>
    <t>10.1111/j.1475-4983.2010.01016.x</t>
  </si>
  <si>
    <t>681MT</t>
  </si>
  <si>
    <t>WOS:000284320600006</t>
  </si>
  <si>
    <t>Papaleo, MC; Maida, I; Perrin, E; Fondi, M; Logiudice, A; Michaud, L</t>
  </si>
  <si>
    <t>Papaleo, M. C.; Maida, I.; Perrin, E.; Fondi, M.; Logiudice, A.; Michaud, L.</t>
  </si>
  <si>
    <t>New antibiotic sources for Burkholderia cepacia</t>
  </si>
  <si>
    <t>JOURNAL OF BIOTECHNOLOGY</t>
  </si>
  <si>
    <t>14th International Biotechnology Symposium and Exhibition (IBS-2008)</t>
  </si>
  <si>
    <t>SEP 14-18, 2010</t>
  </si>
  <si>
    <t>Rimini, ITALY</t>
  </si>
  <si>
    <t>Antibiotics; Burkholderia cepacia; Antarctic bacteria</t>
  </si>
  <si>
    <t>[Papaleo, M. C.; Maida, I.; Perrin, E.; Fondi, M.] Univ Florence, I-50121 Florence, Italy; [Logiudice, A.; Michaud, L.] Univ Messina, I-98100 Messina, Italy</t>
  </si>
  <si>
    <t>University of Florence; University of Messina</t>
  </si>
  <si>
    <t>Perrin, Elena/AAX-2762-2020</t>
  </si>
  <si>
    <t>Perrin, Elena/0000-0001-5148-3178</t>
  </si>
  <si>
    <t>0168-1656</t>
  </si>
  <si>
    <t>J BIOTECHNOL</t>
  </si>
  <si>
    <t>J. Biotechnol.</t>
  </si>
  <si>
    <t>S102</t>
  </si>
  <si>
    <t>S103</t>
  </si>
  <si>
    <t>10.1016/j.jbiotec.2010.08.265</t>
  </si>
  <si>
    <t>741OQ</t>
  </si>
  <si>
    <t>WOS:000288873400248</t>
  </si>
  <si>
    <t>Fujimori, Y; Mukai, T; Yamamoto, J</t>
  </si>
  <si>
    <t>Fujimori, Yasuzumi; Mukai, Tohru; Yamamoto, Jun</t>
  </si>
  <si>
    <t>Effect of artificial light on sampling with plankton net for euphausiid</t>
  </si>
  <si>
    <t>NIPPON SUISAN GAKKAISHI</t>
  </si>
  <si>
    <t>Japanese</t>
  </si>
  <si>
    <t>ANTARCTIC KRILL; AVOIDANCE; CATCH</t>
  </si>
  <si>
    <t>[Fujimori, Yasuzumi; Mukai, Tohru] Hokkaido Univ, Fac Fisheries Sci, Minato Ku, Hakodate, Hokkaido 0418611, Japan; [Yamamoto, Jun] Hokkaido Univ, Field Sci Ctr No Biosphere, Hakodate, Hokkaido 0418611, Japan</t>
  </si>
  <si>
    <t>Hokkaido University; Hokkaido University</t>
  </si>
  <si>
    <t>Fujimori, Y (corresponding author), Hokkaido Univ, Fac Fisheries Sci, Minato Ku, Hakodate, Hokkaido 0418611, Japan.</t>
  </si>
  <si>
    <t>fujimori@fish.hokudai.ac.jp</t>
  </si>
  <si>
    <t>Fujimori, Yasuzumi/AAD-5167-2019; Mukai, Tohru/F-9143-2012; Fujimori, Yasuzumi/D-5148-2012</t>
  </si>
  <si>
    <t>JAPANESE SOC FISHERIES SCIENCE</t>
  </si>
  <si>
    <t>C/O TOKYO UNIV FISHERIES, KONAN 4, MINATO, TOKYO, 108-8477, JAPAN</t>
  </si>
  <si>
    <t>0021-5392</t>
  </si>
  <si>
    <t>NIPPON SUISAN GAKK</t>
  </si>
  <si>
    <t>Nippon Suisan Gakkaishi</t>
  </si>
  <si>
    <t>10.2331/suisan.76.1080</t>
  </si>
  <si>
    <t>708KU</t>
  </si>
  <si>
    <t>WOS:000286361500008</t>
  </si>
  <si>
    <t>Merlino, A; Vitagliano, L; Balsamo, A; Nicoletti, FP; Howes, BD; Giordano, D; Coppola, D; di Prisco, G; Verde, C; Smulevich, G; Mazzarella, L; Vergara, A</t>
  </si>
  <si>
    <t>Merlino, Antonello; Vitagliano, Luigi; Balsamo, Anna; Nicoletti, Francesco P.; Howes, Barry D.; Giordano, Daniela; Coppola, Daniela; di Prisco, Guido; Verde, Cinzia; Smulevich, Giulietta; Mazzarella, Lelio; Vergara, Alessandro</t>
  </si>
  <si>
    <t>Crystallization, preliminary X-ray diffraction studies and Raman microscopy of the major haemoglobin from the sub-Antarctic fish Eleginops maclovinus in the carbomonoxy form</t>
  </si>
  <si>
    <t>ACTA CRYSTALLOGRAPHICA SECTION F-STRUCTURAL BIOLOGY COMMUNICATIONS</t>
  </si>
  <si>
    <t>cold adaptation; Eleginops maclovinus; haemichrome; haemoglobin; oxygen affinity; Raman microspectroscopy</t>
  </si>
  <si>
    <t>ROOT EFFECT HEMOGLOBINS; CRYSTAL-STRUCTURE; TREMATOMUS-BERNACCHII; PAGOTHENIA-BERNACCHII; TETRAMERIC HEMOGLOBIN; MOLECULAR REPLACEMENT; FALKLAND ISLANDS; STRUCTURAL BASIS; DATA QUALITY; OXYGEN</t>
  </si>
  <si>
    <t>The blood of the sub-Antarctic fish Eleginops maclovinus (Em) contains three haemoglobins. The major haemoglobin (Hb1Em) displays the Root effect, a drastic decrease in the oxygen affinity and a loss of cooperativity at acidic pH. The carbomonoxy form of HbEm1 has been crystallized in two different crystal forms, orthorhombic (Ortho) and hexagonal (Hexa), and high-resolution diffraction data have been collected for both forms (1.45 and 1.49 A resolution, respectively). The high-frequency resonance Raman spectra collected from the two crystal forms using excitation at 514 nm were almost indistinguishable. Hb1Em is the first sub-Antarctic fish Hb to be crystallized and its structural characterization will shed light on the molecular mechanisms of cold adaptation and the role of the Root effect in fish haemoglobins.</t>
  </si>
  <si>
    <t>[Merlino, Antonello; Balsamo, Anna; Mazzarella, Lelio; Vergara, Alessandro] Univ Naples Federico II, Dept Chem, I-80126 Naples, Italy; [Merlino, Antonello; Vitagliano, Luigi; Mazzarella, Lelio; Vergara, Alessandro] CNR, Ist Biostrutture &amp; Bioimmagini, I-80134 Naples, Italy; [Nicoletti, Francesco P.; Howes, Barry D.; Smulevich, Giulietta] Univ Florence, Dept Chem Ugo Schiff, I-50019 Sesto Fiorentino, FI, Italy; [Giordano, Daniela; Coppola, Daniela; di Prisco, Guido; Verde, Cinzia] CNR, Inst Prot Biochem, I-80131 Naples, Italy</t>
  </si>
  <si>
    <t>University of Naples Federico II; Consiglio Nazionale delle Ricerche (CNR); Istituto di Biostrutture e Bioimmagini (IBB-CNR); University of Florence; Consiglio Nazionale delle Ricerche (CNR); Istituto di Biochimica delle Proteine (IBP-CNR)</t>
  </si>
  <si>
    <t>Vergara, A (corresponding author), Univ Naples Federico II, Dept Chem, I-80126 Naples, Italy.</t>
  </si>
  <si>
    <t>avergara@unina.it</t>
  </si>
  <si>
    <t>Coppola, Daniela/ABG-4430-2020; smulevich, giulietta/A-6510-2008; Merlino, Antonello/AAI-2114-2020; Giordano, Daniela/AFK-7772-2022; Vergara, Alessandro/C-4435-2013</t>
  </si>
  <si>
    <t>Giordano, Daniela/0000-0002-8891-6245; Coppola, Daniela/0000-0001-6699-8967; Vergara, Alessandro/0000-0003-4135-0245; Merlino, Antonello/0000-0002-1045-7720; VERDE, Cinzia/0000-0001-6185-282X; Smulevich, Giulietta/0000-0003-3021-8919</t>
  </si>
  <si>
    <t>PNRA (Italian National Programme for Antarctic Research); Scientific Committee for Antarctic Research (SCAR); Ministero Italiano dell'Universita e della Ricerca Scientifica [PRIN 2007SFZXZ7]; National Science Foundation [OPP 0132032]</t>
  </si>
  <si>
    <t>PNRA (Italian National Programme for Antarctic Research); Scientific Committee for Antarctic Research (SCAR); Ministero Italiano dell'Universita e della Ricerca Scientifica(Ministry of Education, Universities and Research (MIUR)); National Science Foundation(National Science Foundation (NSF))</t>
  </si>
  <si>
    <t>This work was financially supported by PNRA (Italian National Programme for Antarctic Research) and is in the framework of the programme Evolution and Biodiversity in the Antarctic (EBA) sponsored by the Scientific Committee for Antarctic Research (SCAR). This study was partially supported by the Ministero Italiano dell'Universita e della Ricerca Scientifica (PRIN 2007SFZXZ7, 'Structure, function and evolution of haem proteins from Arctic and Antarctic marine organisms: cold-adaptation mechanisms and acquisition of new functions'). The ICEFISH cruise was supported by the National Science Foundation grant OPP 0132032 to H. William Detrich (Chief Scientist, Northeastern University). We thank Giosue Sorrentino and Maurizio Amendola for their technical assistance. We thank the Elettra Synchrotron (Trieste, Italy) for beam time and the staff of the XRD1 beamline for assistance during data collection and the Consorzio Regionale di Competenze in Biotecnologie Industriali (BioTekNet) are also acknowledged.</t>
  </si>
  <si>
    <t>2053-230X</t>
  </si>
  <si>
    <t>ACTA CRYSTALLOGR F</t>
  </si>
  <si>
    <t>Acta Crystallogr. F-Struct. Biol. Commun.</t>
  </si>
  <si>
    <t>10.1107/S1744309110038698</t>
  </si>
  <si>
    <t>Biochemical Research Methods; Biochemistry &amp; Molecular Biology; Biophysics; Crystallography</t>
  </si>
  <si>
    <t>Biochemistry &amp; Molecular Biology; Biophysics; Crystallography</t>
  </si>
  <si>
    <t>674DM</t>
  </si>
  <si>
    <t>WOS:000283714100034</t>
  </si>
  <si>
    <t>Liu, CZ; Xue, F</t>
  </si>
  <si>
    <t>Liu Changzheng; Xue Feng</t>
  </si>
  <si>
    <t>The relationship between the canonical ENSO and the phase transition of the Antarctic oscillation at the quasi-quadrennial timescale</t>
  </si>
  <si>
    <t>ACTA OCEANOLOGICA SINICA</t>
  </si>
  <si>
    <t>ENSO; Antarctic oscillation; the quasi-quadrennial timescale; the global tropical wave of wavenumber 1</t>
  </si>
  <si>
    <t>NINO-SOUTHERN OSCILLATION; EL-NINO; INTERANNUAL VARIABILITY; CIRCULATION FEATURES; SURFACE-TEMPERATURE; SUMMER RAINFALL; HEMISPHERE; EVOLUTION; EVENTS; WAVE</t>
  </si>
  <si>
    <t>A correlation analysis is performed to investigate the relationship between El Nino-Southern Oscillation (ENSO) and the Antarctic oscillation (AAO) at the quasi-quadrennial (QQ) timescale. It is found that the cold tongue index (CTI) and the AAO index (AAOI) are negatively correlated with about a 7-month lead-time, while they are positively correlated with about a 15-month lag-time. To further explore this relationship, complex empirical orthogonal function analysis is employed in the QQ sea level pressure (SLP) anomalies from 1951 to 2002. The results indicate that, during the ENSO cycle, there exists one kind of global tropical wave of wavenumber 1 (GTW1) propagating eastward. With the traveling of GTW1, the tropical SLP anomaly tends to intrude into the southern mid-latitudes. Accordingly, three strong signals travel synchronously along the circum-South-Pacific path, and a relatively weak signal extends eastward and poleward over the South Ocean in the Atlantic-Indian Ocean sector. Following the propagation of these signals, the AAO phase tends to be reversed progressively. As a result, there exists an evident lead-lag correlation between CTI and AAOI. It can be concluded that ENSO plays a key role in the phase transition of AAO at the QQ timescale. It is also noticed that this regular relationship is only evident in the canonical ENSO events, for which sea surface temperature (SST) anomalies extend westward from the tropical eastern Pacific. On the other hand, the similar relationships are not found among those atypical ENSO events for which SST anomalies spread eastward from the central Pacific, such as the 1982-1983 ENSO event.</t>
  </si>
  <si>
    <t>[Xue Feng] Chinese Acad Sci, Inst Atmospher Phys, LASG, Beijing 100029, Peoples R China; [Liu Changzheng] Natl Climate Ctr, Beijing 100081, Peoples R China</t>
  </si>
  <si>
    <t>Chinese Academy of Sciences; Institute of Atmospheric Physics, CAS</t>
  </si>
  <si>
    <t>Xue, F (corresponding author), Chinese Acad Sci, Inst Atmospher Phys, LASG, Beijing 100029, Peoples R China.</t>
  </si>
  <si>
    <t>fxue@lasg.iap.ac.cn</t>
  </si>
  <si>
    <t>Major National Scientific Research Project on Global Change [2010CB951901]; National Science Foundation of China [40821092]; Special Fund for Public Welfare Industry (Meteorology) [GYHY200906018]</t>
  </si>
  <si>
    <t>Major National Scientific Research Project on Global Change; National Science Foundation of China(National Natural Science Foundation of China (NSFC)); Special Fund for Public Welfare Industry (Meteorology)</t>
  </si>
  <si>
    <t>Foundation item: The Major National Scientific Research Project on Global Change under contract No. 2010CB951901; the National Science Foundation of China under contract No. 40821092; Special Fund for Public Welfare Industry (Meteorology) under contract No.GYHY200906018.</t>
  </si>
  <si>
    <t>0253-505X</t>
  </si>
  <si>
    <t>ACTA OCEANOL SIN</t>
  </si>
  <si>
    <t>Acta Oceanol. Sin.</t>
  </si>
  <si>
    <t>10.1007/s13131-010-0073-4</t>
  </si>
  <si>
    <t>714EK</t>
  </si>
  <si>
    <t>WOS:000286790100003</t>
  </si>
  <si>
    <t>Choi, YS; Ho, CH; Kim, SW; Lindzen, RS</t>
  </si>
  <si>
    <t>Choi, Yong-Sang; Ho, Chang-Hoi; Kim, Sang-Woo; Lindzen, Richard S.</t>
  </si>
  <si>
    <t>Observational Diagnosis of Cloud Phase in the Winter Antarctic Atmosphere for Parameterizations in Climate Models</t>
  </si>
  <si>
    <t>ADVANCES IN ATMOSPHERIC SCIENCES</t>
  </si>
  <si>
    <t>cloud phase; mixed-phase clouds; polar cloud; cloud radiative effect; cloud parameterization</t>
  </si>
  <si>
    <t>ICE-CLOUD; WATER-CONTENT; ARCTIC CLOUD; TEMPERATURE; RETRIEVALS; IMPACT; CIRRUS</t>
  </si>
  <si>
    <t>The cloud phase composition of cold clouds in the Antarctic atmosphere is explored using data from the Moderate Resolution Imaging Spectroradiometer (MODIS) and Cloud-Aerosol Lidar with Orthogonal Polarization (CALIOP) instruments for the period 2000-2006. We used the averaged fraction of liquid-phase clouds out of the total cloud amount at the cloud tops since the value is comparable in the two measurements. MODIS data for the winter months (June, July, and August) reveal liquid cloud fraction out of the total cloud amount significantly decreases with decreasing cloud-top temperature below 0A degrees C. In addition, the CALIOP vertical profiles show that below the ice clouds, low-lying liquid clouds are distributed over similar to 20% of the area. With increasing latitude, the liquid cloud fraction decreases as a function of the local temperature. The MODIS-observed relation between the cloud-top liquid fraction and cloud-top temperature is then applied to evaluate the cloud phase parameterization in climate models, in which condensed cloud water is repartitioned between liquid water and ice on the basis of the grid point temperature. It is found that models assuming overly high cut-offs (a parts per thousand &lt;&lt; -40A degrees C) for the separation of ice clouds from mixed-phase clouds may significantly underestimate the liquid cloud fraction in the winter Antarctic atmosphere. Correction of the bias in the liquid cloud fraction would serve to reduce the large uncertainty in cloud radiative effects.</t>
  </si>
  <si>
    <t>[Choi, Yong-Sang] Ewha Womans Univ, Dept Environm Sci &amp; Engn, Seoul, South Korea; [Choi, Yong-Sang; Lindzen, Richard S.] MIT, Dept Earth Atmospher &amp; Planetary Sci, Cambridge, MA USA; [Ho, Chang-Hoi; Kim, Sang-Woo] Seoul Natl Univ, Sch Earth &amp; Environm Sci, Seoul, South Korea</t>
  </si>
  <si>
    <t>Ewha Womans University; Massachusetts Institute of Technology (MIT); Seoul National University (SNU)</t>
  </si>
  <si>
    <t>Choi, YS (corresponding author), Ewha Womans Univ, Dept Environm Sci &amp; Engn, Seoul, South Korea.</t>
  </si>
  <si>
    <t>ysc@ewha.ac.kr</t>
  </si>
  <si>
    <t>Ho, Chang-Hoi/H-8354-2015; Choi, Yong-Sang/F-8072-2013</t>
  </si>
  <si>
    <t>Korean Center for Atmospheric Sciences and Earthquake Research [2010-1178]; US Department of Energy [DE-FG02-01ER63257]</t>
  </si>
  <si>
    <t>Korean Center for Atmospheric Sciences and Earthquake Research; US Department of Energy(United States Department of Energy (DOE))</t>
  </si>
  <si>
    <t>This work was funded by Korean Center for Atmospheric Sciences and Earthquake Research 2010-1178, and US Department of Energy grant DE-FG02-01ER63257. The MODIS and CALIOP data were obtained from LAADS (Level 1 and Atmosphere Archive and Distribution System) at the NASA Goddard Space Flight Center and ASDC (Atmospheric Sciences Data Center) at the NASA Langley Research Center, respectively.</t>
  </si>
  <si>
    <t>0256-1530</t>
  </si>
  <si>
    <t>1861-9533</t>
  </si>
  <si>
    <t>ADV ATMOS SCI</t>
  </si>
  <si>
    <t>Adv. Atmos. Sci.</t>
  </si>
  <si>
    <t>10.1007/s00376-010-9175-3</t>
  </si>
  <si>
    <t>666RR</t>
  </si>
  <si>
    <t>WOS:000283136900002</t>
  </si>
  <si>
    <t>Xin, YF; Rinke, A; Bian, LG; Dethloff, K; Xiao, CD; Mielke, M</t>
  </si>
  <si>
    <t>Xin Yufei; Rinke, Annette; Bian Lingen; Dethloff, Klaus; Xiao Cunde; Mielke, Moritz</t>
  </si>
  <si>
    <t>Climate and Forecast Mode Simulations for Antarctica: Implications for Temperature and Wind</t>
  </si>
  <si>
    <t>regional climate model; Antarctica; forecast mode; climate mode</t>
  </si>
  <si>
    <t>POLAR MM5 SIMULATIONS; INTERNAL VARIABILITY</t>
  </si>
  <si>
    <t>Climate and forecast mode simulations with the regional climate model HIRlam-ECHAM(HIRHAM) are evaluated over a pan-Antarctic domain. The ability of the model to simulate temperature and wind profiles in the troposphere is quantified by comparing its results with radiosonde data acquired from the Davis station for January and July 2007. Compared to the climate mode, the forecast mode was found to deliver improved results for temperature and wind simulations at the near surface and in the lower troposphere. The main remaining model bias found was the under-representation of low-level wind jets. Based on ensemble simulations, it is shown that a distinct internal variability is inherent in the climate mode simulations, and associated areas of reduced predictability over Antarctica are identified.</t>
  </si>
  <si>
    <t>[Xin Yufei; Bian Lingen; Xiao Cunde] Chinese Acad Meteorol Sci, Beijing 100081, Peoples R China; [Rinke, Annette; Dethloff, Klaus; Mielke, Moritz] Alfred Wegener Inst Polar &amp; Marine Res, D-14473 Potsdam, Germany</t>
  </si>
  <si>
    <t>China Meteorological Administration; Chinese Academy of Meteorological Sciences (CAMS); Helmholtz Association; Alfred Wegener Institute, Helmholtz Centre for Polar &amp; Marine Research</t>
  </si>
  <si>
    <t>Xin, YF (corresponding author), Chinese Acad Meteorol Sci, Beijing 100081, Peoples R China.</t>
  </si>
  <si>
    <t>xinyf@cams.cma.gov.cn</t>
  </si>
  <si>
    <t>Dethloff, Klaus/B-4879-2014; Rinke, Annette/B-4922-2014</t>
  </si>
  <si>
    <t>Rinke, Annette/0000-0002-6685-9219</t>
  </si>
  <si>
    <t>National Natural Science Foundation of China [40905048]; German Bosch Foundation; CAMS</t>
  </si>
  <si>
    <t>National Natural Science Foundation of China(National Natural Science Foundation of China (NSFC)); German Bosch Foundation; CAMS</t>
  </si>
  <si>
    <t>This research was funded by the National Natural Science Foundation of China under Grant No. 40905048, the German Bosch Foundation, and the program of basic research and operating of CAMS. The authors thank the Australian Meteorological Bureau for providing the radiosonde data from the Australian Antarctic stations. The authors are also grateful to I. Hebestadt for programming support, and the three anonymous reviewers for helping to improve the manuscript.</t>
  </si>
  <si>
    <t>10.1007/s00376-010-9178-0</t>
  </si>
  <si>
    <t>WOS:000283136900020</t>
  </si>
  <si>
    <t>Damiani, A; Storini, M; Rafanelli, C; Diego, P</t>
  </si>
  <si>
    <t>Damiani, A.; Storini, M.; Rafanelli, C.; Diego, P.</t>
  </si>
  <si>
    <t>The hydroxyl radical as an indicator of SEP fluxes in the high-latitude terrestrial atmosphere</t>
  </si>
  <si>
    <t>Space weather; Ozone; OH radicals; Solar energetic particles; Polar terrestrial environment</t>
  </si>
  <si>
    <t>SOLAR PROTON EVENTS; NORTHERN-HEMISPHERE; MIDDLE ATMOSPHERE; JULY 2000; OZONE; MODEL; AURA</t>
  </si>
  <si>
    <t>The low background values at nighttime of the mesospheric hydroxyl (OH) radical make it easier to single out the atmospheric response to the external solar forcing in Polar Regions. Because of the short lifetime of HO(x), it is possible to follow the trails of Solar Energetic Particle (SEP) events in the terrestrial atmosphere, as shown by Storini and Damiani (2008). The sensitivity of this indicator makes discernible not only extreme particle events with a flux peak of several thousand pfu [1 pfu = 1 particle/(cm(2) s sr)] at energies &gt;10 MeV, but also those with lower flux up to about 300 pfu. Using data from the Microwave Limb Sounder (MLS) on board the EOS AURA satellite, we examined the correlation of OH abundance vs. solar proton flux for almost all the identified SEP events spanning from November 2004 to December 2006 (later on no more SEP events occurred during Solar Cycle no. 23). The channels at energies greater than 5 MeV and 10 MeV showed the best correlation values (r similar to 0.90-0.95) at altitudes around 65-75 km whereas, as expected, the most energetic channels were most highly correlated at lower altitudes. Therefore, it is reasonably possible to estimate the solar proton flux from values of mesospheric OH (and viceversa) and it could be useful in studying periods with gaps in the records of solar particles. In addition, the SEP events of September 2005, characterized by an evident hemispheric asymmetry of the SEP-induced OH formation, have been examined separately. The impact of the SEPs on the hydroxyl radical was appreciably stronger in the Northern Hemisphere than in the Southern at altitudes above roughly 60 km and also the nighttime OH layer was involved. Preliminary analyses performed with other MLS data (i.e., O(3), H(2)O, T) suggest that atmospheric in situ conditions could play a relevant role in explaining the hemispheric asymmetry of OH. (c) 2010 COSPAR. Published by Elsevier Ltd. All rights reserved.</t>
  </si>
  <si>
    <t>[Damiani, A.; Storini, M.] Ist Fis Spazio Interplanetario, INAF, Area Ric Roma Tor Vergata, I-00133 Rome, Italy; [Rafanelli, C.; Diego, P.] CNR, Ist Acust Om Corbino, Int Ctr Earth Sci, Area Ric Roma Tor Vergata, I-00133 Rome, Italy</t>
  </si>
  <si>
    <t>University of Rome Tor Vergata; Istituto Nazionale Astrofisica (INAF); Consiglio Nazionale delle Ricerche (CNR); University of Rome Tor Vergata</t>
  </si>
  <si>
    <t>Damiani, A (corresponding author), Ist Fis Spazio Interplanetario, INAF, Area Ric Roma Tor Vergata, Via Fosso del Cavaliere, I-00133 Rome, Italy.</t>
  </si>
  <si>
    <t>alessandro.damiani@ifsi-roma.inaf.it</t>
  </si>
  <si>
    <t>Damiani, Alessandro/X-4677-2019</t>
  </si>
  <si>
    <t>Damiani, Alessandro/0000-0003-3014-6193; Diego, Piero/0000-0001-8279-020X</t>
  </si>
  <si>
    <t>PNRA (National Antarctic Research Program) of Italy; Italian Space Agency</t>
  </si>
  <si>
    <t>PNRA (National Antarctic Research Program) of Italy; Italian Space Agency(Agenzia Spaziale Italiana (ASI))</t>
  </si>
  <si>
    <t>This work is the extended version of a poster paper presented at the 37th COSPAR Scientific Assembly - July 1320, 2008 (Montreal - Canada). It is partly supported by the PNRA (National Antarctic Research Program) of Italy in the framework of Science for Solar-Terrestrial Relations and by the Italian Space Agency through the ESS2 Project. Particular thanks are due to the MLS AURA team for making available the MLS OH data Version 2.2 and to the GES Distributed Active Archive Center for the very high-quality of service.</t>
  </si>
  <si>
    <t>NOV 1</t>
  </si>
  <si>
    <t>10.1016/j.asr.2010.06.022</t>
  </si>
  <si>
    <t>662YV</t>
  </si>
  <si>
    <t>WOS:000282851100015</t>
  </si>
  <si>
    <t>Mojib, N; Philpott, R; Huang, JP; Niederweis, M; Bej, AK</t>
  </si>
  <si>
    <t>Mojib, Nazia; Philpott, Rachel; Huang, Jonathan P.; Niederweis, Michael; Bej, Asim K.</t>
  </si>
  <si>
    <t>Antimycobacterial activity in vitro of pigments isolated from Antarctic bacteria</t>
  </si>
  <si>
    <t>ANTONIE VAN LEEUWENHOEK INTERNATIONAL JOURNAL OF GENERAL AND MOLECULAR MICROBIOLOGY</t>
  </si>
  <si>
    <t>Mycobacterium; Tuberculosis; Antarctica; Antimicrobial; Bacterial pigment; Alamar Blue Assay (MABA); Nitrate Reductase Assay (NRA); Janthinobacterium; Flavobacterium</t>
  </si>
  <si>
    <t>MYCOBACTERIUM-TUBERCULOSIS; MIC DETERMINATION; XDR TUBERCULOSIS; SOUTH-AFRICA; VIOLACEIN; MICROORGANISMS; CIPROFLOXACIN; BIOSYNTHESIS; INHIBITORS; OFLOXACIN</t>
  </si>
  <si>
    <t>In this study, we describe the antimycobacterial activity of two pigments, violacein, a purple violet pigment from Janthinobacterium sp. Ant5-2 (J-PVP), and flexirubin, a yellow-orange pigment from Flavobacterium sp. Ant342 (F-YOP). These pigments were isolated from bacterial strains found in the land-locked freshwater lakes of Schirmacher Oasis, East Antarctica. The minimum inhibitory concentrations (MICs) of these pigments for avirulent and virulent mycobacteria were determined by the microplate Alamar Blue Assay (MABA) and Nitrate Reductase Assay (NRA). Results indicated that the MICs of J-PVP and F-YOP were 8.6 and 3.6 mu g/ml for avirulent Mycobacterium smegmatis mc(2)155; 5 and 2.6 mu g/ml for avirulent Mycobacterium tuberculosis mc(2)6230; and 34.4 and 10.8 mu g/ml for virulent M. tuberculosis H(37)Rv, respectively. J-PVP exhibited a similar to 15 times lower MIC for Mycobacterium sp. than previously reported for violacein pigment from Chromobacterium violaceum, while the antimycobacterial effect of F-YOP remains undocumented. Our results indicate these pigments isolated from Antarctic bacteria might be valuable lead compounds for new antimycobacterial drugs used for chemotherapy of tuberculosis.</t>
  </si>
  <si>
    <t>[Mojib, Nazia; Philpott, Rachel; Huang, Jonathan P.; Bej, Asim K.] Univ Alabama Birmingham, Dept Biol, Birmingham, AL 35294 USA; [Philpott, Rachel; Niederweis, Michael] Univ Alabama Birmingham, Dept Microbiol, Sch Med, Birmingham, AL 35294 USA</t>
  </si>
  <si>
    <t>University of Alabama System; University of Alabama Birmingham; University of Alabama System; University of Alabama Birmingham</t>
  </si>
  <si>
    <t>Bej, AK (corresponding author), Univ Alabama Birmingham, Dept Biol, 1300 Univ Blvd,CH251, Birmingham, AL 35294 USA.</t>
  </si>
  <si>
    <t>abej@uab.edu</t>
  </si>
  <si>
    <t>Niederweis, Michael/0000-0003-4068-8092; /0000-0003-3060-1088; MOJIB, NAZIA/0000-0003-4924-5538</t>
  </si>
  <si>
    <t>Tawani Foundation of Chicago; J. N. Pritzker IL ARNG; UAB; Lisa Lanz of Tawani Foundation</t>
  </si>
  <si>
    <t>We thank Richard B. Hoover of NASA for helping with the sample collection for the Janthinobacterium strain; Dr. Venkatram R. Attigada of UAB Chemistry department for the chemical analysis of the bacterial pigments. We thank Tawani Foundation of Chicago for supporting the Tawani 2008 International Antarctic Scientific Expedition; we are grateful to Colonel (IL) J. N. Pritzker IL ARNG (Retired) for supporting the expedition. Logistical support was provided by the Arctic and Antarctic Research Institute/Russian Antarctic Expedition (AARI/RAE); Antarctic Logistics Centre International (ALCI), Cape Town, SA; Marty Kress of Von Braun Center for Science Innovation, Inc., NASA (VCSI, Inc.); Rasik Ravindra (Director) of National Center for Antarctic and Ocean Research (NCAOR); 2008-2009 Maitri staff and Cdr. Arun Chaturvedi, Cdr. Pradip Malhotra and geologist Ashit Swain; and personnel at Novolazarevskaya Station, Russia. We also thank Ed Tracy and Lisa Lanz of Tawani Foundation, and Dr. Robert Fischer of Biology, UAB for support. We also thank Dr. Daniel D. Jones for critically reviewing this manuscript and the helpful suggestions.</t>
  </si>
  <si>
    <t>0003-6072</t>
  </si>
  <si>
    <t>1572-9699</t>
  </si>
  <si>
    <t>ANTON LEEUW INT J G</t>
  </si>
  <si>
    <t>Antonie Van Leeuwenhoek</t>
  </si>
  <si>
    <t>10.1007/s10482-010-9470-0</t>
  </si>
  <si>
    <t>660ZX</t>
  </si>
  <si>
    <t>WOS:000282692100011</t>
  </si>
  <si>
    <t>Samaran, F; Adam, O; Guinet, C</t>
  </si>
  <si>
    <t>Samaran, Flore; Adam, Olivier; Guinet, Christophe</t>
  </si>
  <si>
    <t>Detection range modeling of blue whale calls in Southwestern Indian Ocean</t>
  </si>
  <si>
    <t>APPLIED ACOUSTICS</t>
  </si>
  <si>
    <t>4th International Workshop on Detection, Classification and Localization of Marine Mammals using Passive Acoustics/1st International Workshop on Density Estimation of Marine Mammals Using Passive Acoustics</t>
  </si>
  <si>
    <t>SEP 10-13, 2009</t>
  </si>
  <si>
    <t>Univ Pavia, Collegio Cairoli, ITALY</t>
  </si>
  <si>
    <t>Univ Pavia</t>
  </si>
  <si>
    <t>Detection distance; Parabolic equation; Blue whale calls; Ambient noise</t>
  </si>
  <si>
    <t>LOW-FREQUENCY WHALE; BALAENOPTERA-MUSCULUS; UNDERWATER SOUNDS; ATLANTIC-OCEAN; PACIFIC; GULF</t>
  </si>
  <si>
    <t>In the Southwestern Indian Ocean, one year of continuous acoustic data from calibrated hydrophones maintained by the International Monitoring System provided data on blue whale calls from two subspecies Antarctic and pygmy blue whales. Using an automatic detection method with a fixed threshold, both call types were detected and received levels were measured for each detected call. By using a parabolic equation loss model configured with the precise characteristics of the biological source, hydroacoustic station, and environment in the study area, distances at which calls could be detected were estimated. These methods were used to define the maximum detection range around each array of hydrophones and the influence of the seasonal variation of the ambient noise and sound velocity on the detection ranges. Results showed that detection ranges were critically dependent on the choice of the biological source's input parameters, including frequency bandwidth and source level. Over the course of the year, detection distances were different for both subspecies; the pygmy blue whale seemed to be consistently closer to the station than the Antarctic blue whale. The distribution of the estimated distances confirmed the presence of both subspecies of blue whales near the Crozet Islands showing the importance of this sub-Antarctic area for these endangered species, especially during the austral summer feeding season. (C) 2010 Elsevier Ltd. All rights reserved.</t>
  </si>
  <si>
    <t>[Samaran, Flore; Guinet, Christophe] CNRS, UPR 1934, Ctr Etud Biol Chize, F-79360 Villiers En Bois, France; [Adam, Olivier] Univ Paris 11, Equipe Commun Acoust, Lab Neurobiol Apprentissage Memoire &amp; Commun NAMC, CNRS,UPR 8620, F-91405 Orsay, France</t>
  </si>
  <si>
    <t>Centre National de la Recherche Scientifique (CNRS); Centre National de la Recherche Scientifique (CNRS); Universite Paris Saclay</t>
  </si>
  <si>
    <t>Samaran, F (corresponding author), CNRS, UPR 1934, Ctr Etud Biol Chize, F-79360 Villiers En Bois, France.</t>
  </si>
  <si>
    <t>samaran@cebc.cnrs.fr; olivier.adam@u-psud.fr; guinet@cebc.cnrs.fr</t>
  </si>
  <si>
    <t>Guinet, Christophe/AAR-8457-2020</t>
  </si>
  <si>
    <t>0003-682X</t>
  </si>
  <si>
    <t>APPL ACOUST</t>
  </si>
  <si>
    <t>Appl. Acoust.</t>
  </si>
  <si>
    <t>10.1016/j.apacoust.2010.05.014</t>
  </si>
  <si>
    <t>Acoustics</t>
  </si>
  <si>
    <t>654YM</t>
  </si>
  <si>
    <t>WOS:000282207200016</t>
  </si>
  <si>
    <t>Barros, N; Farjalla, VF; Soares, MC; Melo, RCN; Roland, F</t>
  </si>
  <si>
    <t>Barros, Nathan; Farjalla, Vinicius F.; Soares, Maria C.; Melo, Rossana C. N.; Roland, Fabio</t>
  </si>
  <si>
    <t>Virus-Bacterium Coupling Driven by both Turbidity and Hydrodynamics in an Amazonian Floodplain Lake</t>
  </si>
  <si>
    <t>APPLIED AND ENVIRONMENTAL MICROBIOLOGY</t>
  </si>
  <si>
    <t>DISSOLVED ORGANIC-MATTER; SYBR GREEN-I; MARINE-BACTERIA; LAGO-BATATA; AQUATIC ECOSYSTEMS; BAUXITE TAILINGS; ANTARCTIC LAKES; SOLAR-RADIATION; VIRAL CONTROL; FRESH-WATERS</t>
  </si>
  <si>
    <t>The importance of viruses in aquatic ecosystem functioning has been widely described. However, few studies have examined tropical aquatic ecosystems. Here, we evaluated for the first time viruses and their relationship with other planktonic communities in an Amazonian freshwater ecosystem. Coupling between viruses and bacteria was studied, focusing both on hydrologic dynamics and anthropogenic forced turbidity in the system (Lake Batata). Samples were taken during four hydrologic seasons at both natural and impacted sites to count virus-like particles (VLP) and bacteria. In parallel, virus-infected bacteria were identified and quantified by transmission electron microscopy (TEM). Viral abundance ranged from 0.5 x 10(7) +/- 0.2 x 10(7) VLP ml(-1) (high-water season, impacted site) to 1.7 x 10(7) +/- 0.4 x 10(7) VLP ml(-1) (low-water season, natural site). These data were strongly correlated with the bacterial abundance (r(2) = 0.84; P &lt; 0.05), which ranged from 1.0 x 10(6) +/- 0.5 x 10(6) cells ml(-1) (high water, impacted site) to 3.4 x 10(6) +/- 0.7 x 10(6) cells ml(-1) (low water, natural site). Moreover, the viral abundance was weakly correlated with chlorophyll alpha, suggesting that most viruses were bacteriophages. TEM quantitative analyses revealed that the frequency of visibly infected cells was 20%, with 10 +/- 3 phages per cell section. In general, we found a low virus-bacterium ratio (&lt; 7). Both the close coupling between the viral and bacterial abundances and the low virus-bacterium ratio suggest that viral abundance tends to be driven by the reduction of hosts for viral infection. Our results demonstrate that viruses are controlled by biological substrates, whereas in addition to grazing, bacteria are regulated by physical processes caused by turbidity, which affect underwater light distribution and dissolved organic carbon availability.</t>
  </si>
  <si>
    <t>[Roland, Fabio] Univ Fed Juiz de Fora, Aquat Ecol Lab, Dept Biol, BR-36036900 Juiz De Fora, MG, Brazil; [Farjalla, Vinicius F.] CCS UFRJ, Inst Biol, Dept Ecol, Lab Limnol, BR-21941590 Rio De Janeiro, Brazil; [Soares, Maria C.] Univ Fed Juiz de Fora, Dept Sanit &amp; Environm Engn, BR-36036900 Juiz De Fora, MG, Brazil; [Melo, Rossana C. N.] Univ Fed Juiz de Fora, Cell Biol Lab, Dept Biol, BR-36036900 Juiz De Fora, MG, Brazil</t>
  </si>
  <si>
    <t>Universidade Federal de Juiz de Fora; Universidade Federal do Rio de Janeiro; Universidade Federal de Juiz de Fora; Universidade Federal de Juiz de Fora</t>
  </si>
  <si>
    <t>Roland, F (corresponding author), Univ Fed Juiz de Fora, Aquat Ecol Lab, Dept Biol, BR-36036900 Juiz De Fora, MG, Brazil.</t>
  </si>
  <si>
    <t>fabio.roland@ufjf.edu.br</t>
  </si>
  <si>
    <t>Melo, Rossana C. N./B-8248-2013; Soares, Maria Carolina S/E-9397-2013; Farjalla, Vinicius F/V-4351-2019; Roland, Fabio/C-7918-2013; Barros, Nathan/R-7161-2019; Soares, Maria Carolina/JXL-2759-2024; Barros, Nathan/IZP-5388-2023</t>
  </si>
  <si>
    <t>Melo, Rossana C. N./0000-0003-1736-0806; Farjalla, Vinicius F/0000-0003-4084-5983; Barros, Nathan/0000-0003-1752-8621; Soares, Maria Carolina/0009-0007-6779-6938;</t>
  </si>
  <si>
    <t>Mineracao Rio do Norte (MRN); National Council of Research and Development (CNPq) of Brazil</t>
  </si>
  <si>
    <t>Mineracao Rio do Norte (MRN); National Council of Research and Development (CNPq) of Brazil(Conselho Nacional de Desenvolvimento Cientifico e Tecnologico (CNPQ))</t>
  </si>
  <si>
    <t>This study was supported by the Mineracao Rio do Norte (MRN) and by grants from the National Council of Research and Development (CNPq) of Brazil.</t>
  </si>
  <si>
    <t>AMER SOC MICROBIOLOGY</t>
  </si>
  <si>
    <t>1752 N ST NW, WASHINGTON, DC 20036-2904 USA</t>
  </si>
  <si>
    <t>0099-2240</t>
  </si>
  <si>
    <t>APPL ENVIRON MICROB</t>
  </si>
  <si>
    <t>Appl. Environ. Microbiol.</t>
  </si>
  <si>
    <t>10.1128/AEM.01161-10</t>
  </si>
  <si>
    <t>670PM</t>
  </si>
  <si>
    <t>WOS:000283439800027</t>
  </si>
  <si>
    <t>Gould, WA; Gonzalez, G; Walker, DA; Ping, CL</t>
  </si>
  <si>
    <t>Gould, William A.; Gonzalez, Grizelle; Walker, Donald A.; Ping, Chien-Lu</t>
  </si>
  <si>
    <t>Commentary. Integrating Research, Education, and Traditional Knowledge in Ecology: a Case Study of Biocomplexity in Arctic Ecosystems</t>
  </si>
  <si>
    <t>EARTH HUMMOCKS; VEGETATION; SCIENCE</t>
  </si>
  <si>
    <t>[Gould, William A.; Gonzalez, Grizelle] US Forest Serv, Int Inst Trop Forestry, USDA, Rio Piedras, PR 00926 USA; [Walker, Donald A.] Univ Alaska Fairbanks, Dept Biol &amp; Wildlife, Fairbanks, AK 99775 USA; [Walker, Donald A.] Univ Alaska Fairbanks, Inst Arctic Biol, Fairbanks, AK 99775 USA; [Ping, Chien-Lu] Univ Alaska Fairbanks, Palmer Res Ctr, Palmer, AK 99645 USA</t>
  </si>
  <si>
    <t>United States Department of Agriculture (USDA); United States Forest Service; University of Alaska System; University of Alaska Fairbanks; University of Alaska System; University of Alaska Fairbanks; University of Alaska System; University of Alaska Fairbanks</t>
  </si>
  <si>
    <t>Gould, WA (corresponding author), US Forest Serv, Int Inst Trop Forestry, USDA, Rio Piedras, PR 00926 USA.</t>
  </si>
  <si>
    <t>Gould, William/0000-0002-3720-9735; Walker, Donald/0000-0001-9581-7811; Gonzalez, Grizelle/0000-0003-3007-5540</t>
  </si>
  <si>
    <t>10.1657/1938-4246-42.4.379</t>
  </si>
  <si>
    <t>690EW</t>
  </si>
  <si>
    <t>WOS:000284986300001</t>
  </si>
  <si>
    <t>Boggs, K; Klein, SC; Grunblatt, J; Boucher, T; Koltun, B; Sturdy, M; Streveler, GP</t>
  </si>
  <si>
    <t>Boggs, K.; Klein, S. C.; Grunblatt, J.; Boucher, T.; Koltun, B.; Sturdy, M.; Streveler, G. P.</t>
  </si>
  <si>
    <t>Alpine and Subalpine Vegetation Chronosequences following Deglaciation in Coastal Alaska</t>
  </si>
  <si>
    <t>GLACIER BAY; PRIMARY SUCCESSION</t>
  </si>
  <si>
    <t>Glacial recession is a major process in terrestrial ecosystems of the world and an obvious result of global warming Here we describe the alpine (above tree line) and subalpine forested and wetland/peatland vegetation chronosequences in Glacier Bay National Park and Preserve, Alaska We derived the results from three products (1) 4 deglaciation map of 50,000-, 13,000, and 1 to 246-year-old (Neoglacial) surfaces, (2) a landcover map, and (3) a plant association classification For the alpine chronosequence, Neoglactal surfaces are dominated by the tall shrub (&gt;1 5 m) (Alnus and Salix), dwarf shrub (&lt;0 1 m) (Salix and Dryas), and mesic herbaceous landcover classes These landcover classes also dominate the 13,000- and 50,000-year-old surfaces but dwarf shrub dominance changes to ericaceous The subalpine forested chronosequence consists of Populus balsamifera ssp trichocarpa and Picea sitchensis classes dominating the mid- and late seral Neoglacial surfaces, then Tsuga mertensiana and Picea sitchensis classes dominating the 13,000- and 50,000-year-old surfaces Wetlands/peatlands are rare on the Neoglacial and 13,000-year-old surfaces but common on the 50,000-year-old surface Alnus is rare on the 50,000-year-old surface yet common on the 13,000-year-old surface and, we speculate, is a relict from the end of the Pleistocene</t>
  </si>
  <si>
    <t>[Boggs, K.; Klein, S. C.; Boucher, T.; Sturdy, M.] Univ Alaska Anchorage, Coll Arts &amp; Sci, Alaska Nat Heritage Program, Anchorage, AK 99501 USA; [Grunblatt, J.; Koltun, B.] Alaska Support Off, Natl Pk Serv, Inventory &amp; Monitoring Program, Landcover Mapping Program, Anchorage, AK 99501 USA; [Streveler, G. P.] Icy Strait Environm, Gustavus, AK 99826 USA</t>
  </si>
  <si>
    <t>University of Alaska System; University of Alaska Anchorage; United States Department of the Interior</t>
  </si>
  <si>
    <t>Boggs, K (corresponding author), Univ Alaska Anchorage, Coll Arts &amp; Sci, Alaska Nat Heritage Program, 707 A St, Anchorage, AK 99501 USA.</t>
  </si>
  <si>
    <t>National Park Service Alaska Regional Office</t>
  </si>
  <si>
    <t>The authors wish to thank the National Park Service Alaska Regional Office for financial support and Lewis Sharman and Bill Eichenlaub (Glacier Bay National Park and Preserve) for assisting with logistics We thank Koren Bosworth, Matt Carlson Lisa Stratford (Alaska Natural Heritage Program) Jon Hall Sheila Kratzer and Elaine Blok (U S Department of Interior National Wetlands Inventory) for help with field work, Julie Michaelson and Kelly Walton for some of the graphics (Alaska Natural Heritage Program), and Joe McClung, captain of the ship USFWS Surfbird</t>
  </si>
  <si>
    <t>10.1657/1938-4246-42.4.385</t>
  </si>
  <si>
    <t>WOS:000284986300002</t>
  </si>
  <si>
    <t>Dieser, M; Greenwood, M; Foreman, CM</t>
  </si>
  <si>
    <t>Dieser, Markus; Greenwood, Mark; Foreman, Christine M.</t>
  </si>
  <si>
    <t>Carotenoid Pigmentation in Antarctic Heterotrophic Bacteria as a Strategy to Withstand Environmental Stresses</t>
  </si>
  <si>
    <t>SOLAR ULTRAVIOLET-RADIATION; UV-B RADIATION; PSYCHROTROPHIC BACTERIUM; SPHINGOBACTERIUM-ANTARCTICUS; CULTURABLE BACTERIA; ARTHROBACTER-AGILIS; DIVERSE RESPONSES; DNA-DAMAGE; SP NOV.; MICROCOCCUS</t>
  </si>
  <si>
    <t>Bacterial strains isolated from Antarctic environments were used to assess the role of carotenoid pigments as cryo- and solar radiation protectants Isolates were subjected to one hundred 12-hr freeze-thaw cycles and exposed to ambient simulated solar radiation (300 Wm(-2)) with growth recovery evaluated after pre-set time intervals Differences in survival were observed between carotenoid pigmented and nonpigmented strains in response to the different stresses based upon the enumeration of colony forming units On average carotenoid pigmented strains were more resistant to freeze thaw cycles as compared to the non-pigmented strains Survival for nonpigmented strains decreased precipitously from 2 X 10(7) to 1 5 X 10(4) cells mL(-1) on average, within the first 20 cycles Similar results were found in the solar radiation experiments After 2 hrs of solar radiation exposure, 61% of the pigmented organisms survived versus 0 01% for the non-pigmented isolates We applied an additive mixed model to estimate differences between the carotenoid pigmented and non-pigmented bacterial groups Modeled results confirmed a positive effect of pigmentation on survivability and provide evidence that carotenoid pigmentation in heterotrophic bacteria isolated from Antarctic environments increases resistance to environmental stressors</t>
  </si>
  <si>
    <t>[Dieser, Markus; Foreman, Christine M.] Montana State Univ, Ctr Biofilm Engn, Bozeman, MT 59717 USA; [Dieser, Markus; Foreman, Christine M.] Dept Land Resources &amp; Environm Sci, Bozeman, MT 59717 USA; [Greenwood, Mark] Montana State Univ, Dept Math Sci, Bozeman, MT 59717 USA</t>
  </si>
  <si>
    <t>Montana State University System; Montana State University Bozeman; Montana State University System; Montana State University Bozeman</t>
  </si>
  <si>
    <t>Foreman, CM (corresponding author), Montana State Univ, Ctr Biofilm Engn, 366 EPS Bldg, Bozeman, MT 59717 USA.</t>
  </si>
  <si>
    <t>Dieser, Markus/0000-0001-8539-6646; Foreman, Christine/0000-0003-0230-4692</t>
  </si>
  <si>
    <t>National Science Foundation [NSF OPP 0338342]; Montana Space Grant Consortium</t>
  </si>
  <si>
    <t>National Science Foundation(National Science Foundation (NSF)); Montana Space Grant Consortium</t>
  </si>
  <si>
    <t>We would like to thank our Pony Lake colleagues for field assistance Dr Ed Adams for use of the solar radiation simulator and Andrew Slaughter for his assistance in operating the simulator and conducting solar measurements We appreciate the valuable comments from independent reviewers Dr Jill Mikucki Dr Mark Burr, and Dr James Robison-Cox as well as three anonymous reviewers on earlier versions of this manuscript This study was supported by the National Science Foundation (NSF OPP 0338342) and the Montana Space Grant Consortium to Foreman</t>
  </si>
  <si>
    <t>10.1657/1938-4246-42.4.396</t>
  </si>
  <si>
    <t>WOS:000284986300003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</si>
</sst>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74</v>
      </c>
      <c r="AB2" t="s">
        <v>74</v>
      </c>
      <c r="AC2" t="s">
        <v>87</v>
      </c>
      <c r="AD2" t="s">
        <v>88</v>
      </c>
      <c r="AE2" t="s">
        <v>89</v>
      </c>
      <c r="AF2" t="s">
        <v>74</v>
      </c>
      <c r="AG2">
        <v>39</v>
      </c>
      <c r="AH2">
        <v>8</v>
      </c>
      <c r="AI2">
        <v>8</v>
      </c>
      <c r="AJ2">
        <v>2</v>
      </c>
      <c r="AK2">
        <v>19</v>
      </c>
      <c r="AL2" t="s">
        <v>90</v>
      </c>
      <c r="AM2" t="s">
        <v>91</v>
      </c>
      <c r="AN2" t="s">
        <v>92</v>
      </c>
      <c r="AO2" t="s">
        <v>93</v>
      </c>
      <c r="AP2" t="s">
        <v>94</v>
      </c>
      <c r="AQ2" t="s">
        <v>74</v>
      </c>
      <c r="AR2" t="s">
        <v>95</v>
      </c>
      <c r="AS2" t="s">
        <v>96</v>
      </c>
      <c r="AT2" t="s">
        <v>97</v>
      </c>
      <c r="AU2">
        <v>2011</v>
      </c>
      <c r="AV2">
        <v>23</v>
      </c>
      <c r="AW2">
        <v>1</v>
      </c>
      <c r="AX2" t="s">
        <v>74</v>
      </c>
      <c r="AY2" t="s">
        <v>74</v>
      </c>
      <c r="AZ2" t="s">
        <v>74</v>
      </c>
      <c r="BA2" t="s">
        <v>74</v>
      </c>
      <c r="BB2">
        <v>3</v>
      </c>
      <c r="BC2">
        <v>17</v>
      </c>
      <c r="BD2" t="s">
        <v>74</v>
      </c>
      <c r="BE2" t="s">
        <v>98</v>
      </c>
      <c r="BF2" t="str">
        <f>HYPERLINK("http://dx.doi.org/10.1017/S0954102010000519","http://dx.doi.org/10.1017/S0954102010000519")</f>
        <v>http://dx.doi.org/10.1017/S0954102010000519</v>
      </c>
      <c r="BG2" t="s">
        <v>74</v>
      </c>
      <c r="BH2" t="s">
        <v>74</v>
      </c>
      <c r="BI2">
        <v>15</v>
      </c>
      <c r="BJ2" t="s">
        <v>99</v>
      </c>
      <c r="BK2" t="s">
        <v>100</v>
      </c>
      <c r="BL2" t="s">
        <v>101</v>
      </c>
      <c r="BM2" t="s">
        <v>102</v>
      </c>
      <c r="BN2" t="s">
        <v>74</v>
      </c>
      <c r="BO2" t="s">
        <v>74</v>
      </c>
      <c r="BP2" t="s">
        <v>74</v>
      </c>
      <c r="BQ2" t="s">
        <v>74</v>
      </c>
      <c r="BR2" t="s">
        <v>103</v>
      </c>
      <c r="BS2" t="s">
        <v>104</v>
      </c>
      <c r="BT2" t="str">
        <f>HYPERLINK("https%3A%2F%2Fwww.webofscience.com%2Fwos%2Fwoscc%2Ffull-record%2FWOS:000287465600002","View Full Record in Web of Science")</f>
        <v>View Full Record in Web of Science</v>
      </c>
    </row>
    <row r="3" spans="1:72" x14ac:dyDescent="0.15">
      <c r="A3" t="s">
        <v>72</v>
      </c>
      <c r="B3" t="s">
        <v>105</v>
      </c>
      <c r="C3" t="s">
        <v>74</v>
      </c>
      <c r="D3" t="s">
        <v>74</v>
      </c>
      <c r="E3" t="s">
        <v>74</v>
      </c>
      <c r="F3" t="s">
        <v>106</v>
      </c>
      <c r="G3" t="s">
        <v>74</v>
      </c>
      <c r="H3" t="s">
        <v>74</v>
      </c>
      <c r="I3" t="s">
        <v>107</v>
      </c>
      <c r="J3" t="s">
        <v>77</v>
      </c>
      <c r="K3" t="s">
        <v>74</v>
      </c>
      <c r="L3" t="s">
        <v>74</v>
      </c>
      <c r="M3" t="s">
        <v>78</v>
      </c>
      <c r="N3" t="s">
        <v>79</v>
      </c>
      <c r="O3" t="s">
        <v>74</v>
      </c>
      <c r="P3" t="s">
        <v>74</v>
      </c>
      <c r="Q3" t="s">
        <v>74</v>
      </c>
      <c r="R3" t="s">
        <v>74</v>
      </c>
      <c r="S3" t="s">
        <v>74</v>
      </c>
      <c r="T3" t="s">
        <v>108</v>
      </c>
      <c r="U3" t="s">
        <v>109</v>
      </c>
      <c r="V3" t="s">
        <v>110</v>
      </c>
      <c r="W3" t="s">
        <v>111</v>
      </c>
      <c r="X3" t="s">
        <v>112</v>
      </c>
      <c r="Y3" t="s">
        <v>113</v>
      </c>
      <c r="Z3" t="s">
        <v>114</v>
      </c>
      <c r="AA3" t="s">
        <v>115</v>
      </c>
      <c r="AB3" t="s">
        <v>116</v>
      </c>
      <c r="AC3" t="s">
        <v>117</v>
      </c>
      <c r="AD3" t="s">
        <v>118</v>
      </c>
      <c r="AE3" t="s">
        <v>119</v>
      </c>
      <c r="AF3" t="s">
        <v>74</v>
      </c>
      <c r="AG3">
        <v>49</v>
      </c>
      <c r="AH3">
        <v>6</v>
      </c>
      <c r="AI3">
        <v>9</v>
      </c>
      <c r="AJ3">
        <v>0</v>
      </c>
      <c r="AK3">
        <v>12</v>
      </c>
      <c r="AL3" t="s">
        <v>90</v>
      </c>
      <c r="AM3" t="s">
        <v>91</v>
      </c>
      <c r="AN3" t="s">
        <v>92</v>
      </c>
      <c r="AO3" t="s">
        <v>93</v>
      </c>
      <c r="AP3" t="s">
        <v>94</v>
      </c>
      <c r="AQ3" t="s">
        <v>74</v>
      </c>
      <c r="AR3" t="s">
        <v>95</v>
      </c>
      <c r="AS3" t="s">
        <v>96</v>
      </c>
      <c r="AT3" t="s">
        <v>97</v>
      </c>
      <c r="AU3">
        <v>2011</v>
      </c>
      <c r="AV3">
        <v>23</v>
      </c>
      <c r="AW3">
        <v>1</v>
      </c>
      <c r="AX3" t="s">
        <v>74</v>
      </c>
      <c r="AY3" t="s">
        <v>74</v>
      </c>
      <c r="AZ3" t="s">
        <v>74</v>
      </c>
      <c r="BA3" t="s">
        <v>74</v>
      </c>
      <c r="BB3">
        <v>18</v>
      </c>
      <c r="BC3">
        <v>26</v>
      </c>
      <c r="BD3" t="s">
        <v>74</v>
      </c>
      <c r="BE3" t="s">
        <v>120</v>
      </c>
      <c r="BF3" t="str">
        <f>HYPERLINK("http://dx.doi.org/10.1017/S095410201000060X","http://dx.doi.org/10.1017/S095410201000060X")</f>
        <v>http://dx.doi.org/10.1017/S095410201000060X</v>
      </c>
      <c r="BG3" t="s">
        <v>74</v>
      </c>
      <c r="BH3" t="s">
        <v>74</v>
      </c>
      <c r="BI3">
        <v>9</v>
      </c>
      <c r="BJ3" t="s">
        <v>99</v>
      </c>
      <c r="BK3" t="s">
        <v>100</v>
      </c>
      <c r="BL3" t="s">
        <v>101</v>
      </c>
      <c r="BM3" t="s">
        <v>102</v>
      </c>
      <c r="BN3" t="s">
        <v>74</v>
      </c>
      <c r="BO3" t="s">
        <v>74</v>
      </c>
      <c r="BP3" t="s">
        <v>74</v>
      </c>
      <c r="BQ3" t="s">
        <v>74</v>
      </c>
      <c r="BR3" t="s">
        <v>103</v>
      </c>
      <c r="BS3" t="s">
        <v>121</v>
      </c>
      <c r="BT3" t="str">
        <f>HYPERLINK("https%3A%2F%2Fwww.webofscience.com%2Fwos%2Fwoscc%2Ffull-record%2FWOS:000287465600003","View Full Record in Web of Science")</f>
        <v>View Full Record in Web of Science</v>
      </c>
    </row>
    <row r="4" spans="1:72" x14ac:dyDescent="0.15">
      <c r="A4" t="s">
        <v>72</v>
      </c>
      <c r="B4" t="s">
        <v>122</v>
      </c>
      <c r="C4" t="s">
        <v>74</v>
      </c>
      <c r="D4" t="s">
        <v>74</v>
      </c>
      <c r="E4" t="s">
        <v>74</v>
      </c>
      <c r="F4" t="s">
        <v>123</v>
      </c>
      <c r="G4" t="s">
        <v>74</v>
      </c>
      <c r="H4" t="s">
        <v>74</v>
      </c>
      <c r="I4" t="s">
        <v>124</v>
      </c>
      <c r="J4" t="s">
        <v>77</v>
      </c>
      <c r="K4" t="s">
        <v>74</v>
      </c>
      <c r="L4" t="s">
        <v>74</v>
      </c>
      <c r="M4" t="s">
        <v>78</v>
      </c>
      <c r="N4" t="s">
        <v>79</v>
      </c>
      <c r="O4" t="s">
        <v>74</v>
      </c>
      <c r="P4" t="s">
        <v>74</v>
      </c>
      <c r="Q4" t="s">
        <v>74</v>
      </c>
      <c r="R4" t="s">
        <v>74</v>
      </c>
      <c r="S4" t="s">
        <v>74</v>
      </c>
      <c r="T4" t="s">
        <v>125</v>
      </c>
      <c r="U4" t="s">
        <v>126</v>
      </c>
      <c r="V4" t="s">
        <v>127</v>
      </c>
      <c r="W4" t="s">
        <v>128</v>
      </c>
      <c r="X4" t="s">
        <v>129</v>
      </c>
      <c r="Y4" t="s">
        <v>130</v>
      </c>
      <c r="Z4" t="s">
        <v>131</v>
      </c>
      <c r="AA4" t="s">
        <v>132</v>
      </c>
      <c r="AB4" t="s">
        <v>133</v>
      </c>
      <c r="AC4" t="s">
        <v>134</v>
      </c>
      <c r="AD4" t="s">
        <v>135</v>
      </c>
      <c r="AE4" t="s">
        <v>136</v>
      </c>
      <c r="AF4" t="s">
        <v>74</v>
      </c>
      <c r="AG4">
        <v>47</v>
      </c>
      <c r="AH4">
        <v>32</v>
      </c>
      <c r="AI4">
        <v>33</v>
      </c>
      <c r="AJ4">
        <v>2</v>
      </c>
      <c r="AK4">
        <v>36</v>
      </c>
      <c r="AL4" t="s">
        <v>90</v>
      </c>
      <c r="AM4" t="s">
        <v>91</v>
      </c>
      <c r="AN4" t="s">
        <v>92</v>
      </c>
      <c r="AO4" t="s">
        <v>93</v>
      </c>
      <c r="AP4" t="s">
        <v>94</v>
      </c>
      <c r="AQ4" t="s">
        <v>74</v>
      </c>
      <c r="AR4" t="s">
        <v>95</v>
      </c>
      <c r="AS4" t="s">
        <v>96</v>
      </c>
      <c r="AT4" t="s">
        <v>97</v>
      </c>
      <c r="AU4">
        <v>2011</v>
      </c>
      <c r="AV4">
        <v>23</v>
      </c>
      <c r="AW4">
        <v>1</v>
      </c>
      <c r="AX4" t="s">
        <v>74</v>
      </c>
      <c r="AY4" t="s">
        <v>74</v>
      </c>
      <c r="AZ4" t="s">
        <v>74</v>
      </c>
      <c r="BA4" t="s">
        <v>74</v>
      </c>
      <c r="BB4">
        <v>27</v>
      </c>
      <c r="BC4">
        <v>33</v>
      </c>
      <c r="BD4" t="s">
        <v>74</v>
      </c>
      <c r="BE4" t="s">
        <v>137</v>
      </c>
      <c r="BF4" t="str">
        <f>HYPERLINK("http://dx.doi.org/10.1017/S0954102010000581","http://dx.doi.org/10.1017/S0954102010000581")</f>
        <v>http://dx.doi.org/10.1017/S0954102010000581</v>
      </c>
      <c r="BG4" t="s">
        <v>74</v>
      </c>
      <c r="BH4" t="s">
        <v>74</v>
      </c>
      <c r="BI4">
        <v>7</v>
      </c>
      <c r="BJ4" t="s">
        <v>99</v>
      </c>
      <c r="BK4" t="s">
        <v>100</v>
      </c>
      <c r="BL4" t="s">
        <v>101</v>
      </c>
      <c r="BM4" t="s">
        <v>102</v>
      </c>
      <c r="BN4" t="s">
        <v>74</v>
      </c>
      <c r="BO4" t="s">
        <v>138</v>
      </c>
      <c r="BP4" t="s">
        <v>74</v>
      </c>
      <c r="BQ4" t="s">
        <v>74</v>
      </c>
      <c r="BR4" t="s">
        <v>103</v>
      </c>
      <c r="BS4" t="s">
        <v>139</v>
      </c>
      <c r="BT4" t="str">
        <f>HYPERLINK("https%3A%2F%2Fwww.webofscience.com%2Fwos%2Fwoscc%2Ffull-record%2FWOS:000287465600004","View Full Record in Web of Science")</f>
        <v>View Full Record in Web of Science</v>
      </c>
    </row>
    <row r="5" spans="1:72" x14ac:dyDescent="0.15">
      <c r="A5" t="s">
        <v>72</v>
      </c>
      <c r="B5" t="s">
        <v>140</v>
      </c>
      <c r="C5" t="s">
        <v>74</v>
      </c>
      <c r="D5" t="s">
        <v>74</v>
      </c>
      <c r="E5" t="s">
        <v>74</v>
      </c>
      <c r="F5" t="s">
        <v>141</v>
      </c>
      <c r="G5" t="s">
        <v>74</v>
      </c>
      <c r="H5" t="s">
        <v>74</v>
      </c>
      <c r="I5" t="s">
        <v>142</v>
      </c>
      <c r="J5" t="s">
        <v>77</v>
      </c>
      <c r="K5" t="s">
        <v>74</v>
      </c>
      <c r="L5" t="s">
        <v>74</v>
      </c>
      <c r="M5" t="s">
        <v>78</v>
      </c>
      <c r="N5" t="s">
        <v>79</v>
      </c>
      <c r="O5" t="s">
        <v>74</v>
      </c>
      <c r="P5" t="s">
        <v>74</v>
      </c>
      <c r="Q5" t="s">
        <v>74</v>
      </c>
      <c r="R5" t="s">
        <v>74</v>
      </c>
      <c r="S5" t="s">
        <v>74</v>
      </c>
      <c r="T5" t="s">
        <v>143</v>
      </c>
      <c r="U5" t="s">
        <v>144</v>
      </c>
      <c r="V5" t="s">
        <v>145</v>
      </c>
      <c r="W5" t="s">
        <v>146</v>
      </c>
      <c r="X5" t="s">
        <v>147</v>
      </c>
      <c r="Y5" t="s">
        <v>148</v>
      </c>
      <c r="Z5" t="s">
        <v>149</v>
      </c>
      <c r="AA5" t="s">
        <v>150</v>
      </c>
      <c r="AB5" t="s">
        <v>151</v>
      </c>
      <c r="AC5" t="s">
        <v>152</v>
      </c>
      <c r="AD5" t="s">
        <v>152</v>
      </c>
      <c r="AE5" t="s">
        <v>153</v>
      </c>
      <c r="AF5" t="s">
        <v>74</v>
      </c>
      <c r="AG5">
        <v>37</v>
      </c>
      <c r="AH5">
        <v>13</v>
      </c>
      <c r="AI5">
        <v>17</v>
      </c>
      <c r="AJ5">
        <v>2</v>
      </c>
      <c r="AK5">
        <v>32</v>
      </c>
      <c r="AL5" t="s">
        <v>90</v>
      </c>
      <c r="AM5" t="s">
        <v>91</v>
      </c>
      <c r="AN5" t="s">
        <v>92</v>
      </c>
      <c r="AO5" t="s">
        <v>93</v>
      </c>
      <c r="AP5" t="s">
        <v>94</v>
      </c>
      <c r="AQ5" t="s">
        <v>74</v>
      </c>
      <c r="AR5" t="s">
        <v>95</v>
      </c>
      <c r="AS5" t="s">
        <v>96</v>
      </c>
      <c r="AT5" t="s">
        <v>97</v>
      </c>
      <c r="AU5">
        <v>2011</v>
      </c>
      <c r="AV5">
        <v>23</v>
      </c>
      <c r="AW5">
        <v>1</v>
      </c>
      <c r="AX5" t="s">
        <v>74</v>
      </c>
      <c r="AY5" t="s">
        <v>74</v>
      </c>
      <c r="AZ5" t="s">
        <v>74</v>
      </c>
      <c r="BA5" t="s">
        <v>74</v>
      </c>
      <c r="BB5">
        <v>43</v>
      </c>
      <c r="BC5">
        <v>56</v>
      </c>
      <c r="BD5" t="s">
        <v>74</v>
      </c>
      <c r="BE5" t="s">
        <v>154</v>
      </c>
      <c r="BF5" t="str">
        <f>HYPERLINK("http://dx.doi.org/10.1017/S0954102010000611","http://dx.doi.org/10.1017/S0954102010000611")</f>
        <v>http://dx.doi.org/10.1017/S0954102010000611</v>
      </c>
      <c r="BG5" t="s">
        <v>74</v>
      </c>
      <c r="BH5" t="s">
        <v>74</v>
      </c>
      <c r="BI5">
        <v>14</v>
      </c>
      <c r="BJ5" t="s">
        <v>99</v>
      </c>
      <c r="BK5" t="s">
        <v>100</v>
      </c>
      <c r="BL5" t="s">
        <v>101</v>
      </c>
      <c r="BM5" t="s">
        <v>102</v>
      </c>
      <c r="BN5" t="s">
        <v>74</v>
      </c>
      <c r="BO5" t="s">
        <v>74</v>
      </c>
      <c r="BP5" t="s">
        <v>74</v>
      </c>
      <c r="BQ5" t="s">
        <v>74</v>
      </c>
      <c r="BR5" t="s">
        <v>103</v>
      </c>
      <c r="BS5" t="s">
        <v>155</v>
      </c>
      <c r="BT5" t="str">
        <f>HYPERLINK("https%3A%2F%2Fwww.webofscience.com%2Fwos%2Fwoscc%2Ffull-record%2FWOS:000287465600006","View Full Record in Web of Science")</f>
        <v>View Full Record in Web of Science</v>
      </c>
    </row>
    <row r="6" spans="1:72" x14ac:dyDescent="0.15">
      <c r="A6" t="s">
        <v>72</v>
      </c>
      <c r="B6" t="s">
        <v>156</v>
      </c>
      <c r="C6" t="s">
        <v>74</v>
      </c>
      <c r="D6" t="s">
        <v>74</v>
      </c>
      <c r="E6" t="s">
        <v>74</v>
      </c>
      <c r="F6" t="s">
        <v>157</v>
      </c>
      <c r="G6" t="s">
        <v>74</v>
      </c>
      <c r="H6" t="s">
        <v>74</v>
      </c>
      <c r="I6" t="s">
        <v>158</v>
      </c>
      <c r="J6" t="s">
        <v>77</v>
      </c>
      <c r="K6" t="s">
        <v>74</v>
      </c>
      <c r="L6" t="s">
        <v>74</v>
      </c>
      <c r="M6" t="s">
        <v>78</v>
      </c>
      <c r="N6" t="s">
        <v>79</v>
      </c>
      <c r="O6" t="s">
        <v>74</v>
      </c>
      <c r="P6" t="s">
        <v>74</v>
      </c>
      <c r="Q6" t="s">
        <v>74</v>
      </c>
      <c r="R6" t="s">
        <v>74</v>
      </c>
      <c r="S6" t="s">
        <v>74</v>
      </c>
      <c r="T6" t="s">
        <v>159</v>
      </c>
      <c r="U6" t="s">
        <v>160</v>
      </c>
      <c r="V6" t="s">
        <v>161</v>
      </c>
      <c r="W6" t="s">
        <v>162</v>
      </c>
      <c r="X6" t="s">
        <v>163</v>
      </c>
      <c r="Y6" t="s">
        <v>164</v>
      </c>
      <c r="Z6" t="s">
        <v>165</v>
      </c>
      <c r="AA6" t="s">
        <v>166</v>
      </c>
      <c r="AB6" t="s">
        <v>167</v>
      </c>
      <c r="AC6" t="s">
        <v>168</v>
      </c>
      <c r="AD6" t="s">
        <v>169</v>
      </c>
      <c r="AE6" t="s">
        <v>170</v>
      </c>
      <c r="AF6" t="s">
        <v>74</v>
      </c>
      <c r="AG6">
        <v>23</v>
      </c>
      <c r="AH6">
        <v>22</v>
      </c>
      <c r="AI6">
        <v>26</v>
      </c>
      <c r="AJ6">
        <v>2</v>
      </c>
      <c r="AK6">
        <v>53</v>
      </c>
      <c r="AL6" t="s">
        <v>90</v>
      </c>
      <c r="AM6" t="s">
        <v>91</v>
      </c>
      <c r="AN6" t="s">
        <v>92</v>
      </c>
      <c r="AO6" t="s">
        <v>93</v>
      </c>
      <c r="AP6" t="s">
        <v>94</v>
      </c>
      <c r="AQ6" t="s">
        <v>74</v>
      </c>
      <c r="AR6" t="s">
        <v>95</v>
      </c>
      <c r="AS6" t="s">
        <v>96</v>
      </c>
      <c r="AT6" t="s">
        <v>97</v>
      </c>
      <c r="AU6">
        <v>2011</v>
      </c>
      <c r="AV6">
        <v>23</v>
      </c>
      <c r="AW6">
        <v>1</v>
      </c>
      <c r="AX6" t="s">
        <v>74</v>
      </c>
      <c r="AY6" t="s">
        <v>74</v>
      </c>
      <c r="AZ6" t="s">
        <v>74</v>
      </c>
      <c r="BA6" t="s">
        <v>74</v>
      </c>
      <c r="BB6">
        <v>57</v>
      </c>
      <c r="BC6">
        <v>64</v>
      </c>
      <c r="BD6" t="s">
        <v>74</v>
      </c>
      <c r="BE6" t="s">
        <v>171</v>
      </c>
      <c r="BF6" t="str">
        <f>HYPERLINK("http://dx.doi.org/10.1017/S0954102010000635","http://dx.doi.org/10.1017/S0954102010000635")</f>
        <v>http://dx.doi.org/10.1017/S0954102010000635</v>
      </c>
      <c r="BG6" t="s">
        <v>74</v>
      </c>
      <c r="BH6" t="s">
        <v>74</v>
      </c>
      <c r="BI6">
        <v>8</v>
      </c>
      <c r="BJ6" t="s">
        <v>99</v>
      </c>
      <c r="BK6" t="s">
        <v>100</v>
      </c>
      <c r="BL6" t="s">
        <v>101</v>
      </c>
      <c r="BM6" t="s">
        <v>102</v>
      </c>
      <c r="BN6" t="s">
        <v>74</v>
      </c>
      <c r="BO6" t="s">
        <v>172</v>
      </c>
      <c r="BP6" t="s">
        <v>74</v>
      </c>
      <c r="BQ6" t="s">
        <v>74</v>
      </c>
      <c r="BR6" t="s">
        <v>103</v>
      </c>
      <c r="BS6" t="s">
        <v>173</v>
      </c>
      <c r="BT6" t="str">
        <f>HYPERLINK("https%3A%2F%2Fwww.webofscience.com%2Fwos%2Fwoscc%2Ffull-record%2FWOS:000287465600007","View Full Record in Web of Science")</f>
        <v>View Full Record in Web of Science</v>
      </c>
    </row>
    <row r="7" spans="1:72" x14ac:dyDescent="0.15">
      <c r="A7" t="s">
        <v>72</v>
      </c>
      <c r="B7" t="s">
        <v>174</v>
      </c>
      <c r="C7" t="s">
        <v>74</v>
      </c>
      <c r="D7" t="s">
        <v>74</v>
      </c>
      <c r="E7" t="s">
        <v>74</v>
      </c>
      <c r="F7" t="s">
        <v>175</v>
      </c>
      <c r="G7" t="s">
        <v>74</v>
      </c>
      <c r="H7" t="s">
        <v>74</v>
      </c>
      <c r="I7" t="s">
        <v>176</v>
      </c>
      <c r="J7" t="s">
        <v>77</v>
      </c>
      <c r="K7" t="s">
        <v>74</v>
      </c>
      <c r="L7" t="s">
        <v>74</v>
      </c>
      <c r="M7" t="s">
        <v>78</v>
      </c>
      <c r="N7" t="s">
        <v>79</v>
      </c>
      <c r="O7" t="s">
        <v>74</v>
      </c>
      <c r="P7" t="s">
        <v>74</v>
      </c>
      <c r="Q7" t="s">
        <v>74</v>
      </c>
      <c r="R7" t="s">
        <v>74</v>
      </c>
      <c r="S7" t="s">
        <v>74</v>
      </c>
      <c r="T7" t="s">
        <v>177</v>
      </c>
      <c r="U7" t="s">
        <v>178</v>
      </c>
      <c r="V7" t="s">
        <v>179</v>
      </c>
      <c r="W7" t="s">
        <v>180</v>
      </c>
      <c r="X7" t="s">
        <v>181</v>
      </c>
      <c r="Y7" t="s">
        <v>182</v>
      </c>
      <c r="Z7" t="s">
        <v>183</v>
      </c>
      <c r="AA7" t="s">
        <v>74</v>
      </c>
      <c r="AB7" t="s">
        <v>74</v>
      </c>
      <c r="AC7" t="s">
        <v>184</v>
      </c>
      <c r="AD7" t="s">
        <v>185</v>
      </c>
      <c r="AE7" t="s">
        <v>186</v>
      </c>
      <c r="AF7" t="s">
        <v>74</v>
      </c>
      <c r="AG7">
        <v>58</v>
      </c>
      <c r="AH7">
        <v>41</v>
      </c>
      <c r="AI7">
        <v>48</v>
      </c>
      <c r="AJ7">
        <v>4</v>
      </c>
      <c r="AK7">
        <v>35</v>
      </c>
      <c r="AL7" t="s">
        <v>90</v>
      </c>
      <c r="AM7" t="s">
        <v>91</v>
      </c>
      <c r="AN7" t="s">
        <v>92</v>
      </c>
      <c r="AO7" t="s">
        <v>93</v>
      </c>
      <c r="AP7" t="s">
        <v>94</v>
      </c>
      <c r="AQ7" t="s">
        <v>74</v>
      </c>
      <c r="AR7" t="s">
        <v>95</v>
      </c>
      <c r="AS7" t="s">
        <v>96</v>
      </c>
      <c r="AT7" t="s">
        <v>97</v>
      </c>
      <c r="AU7">
        <v>2011</v>
      </c>
      <c r="AV7">
        <v>23</v>
      </c>
      <c r="AW7">
        <v>1</v>
      </c>
      <c r="AX7" t="s">
        <v>74</v>
      </c>
      <c r="AY7" t="s">
        <v>74</v>
      </c>
      <c r="AZ7" t="s">
        <v>74</v>
      </c>
      <c r="BA7" t="s">
        <v>74</v>
      </c>
      <c r="BB7">
        <v>78</v>
      </c>
      <c r="BC7">
        <v>92</v>
      </c>
      <c r="BD7" t="s">
        <v>74</v>
      </c>
      <c r="BE7" t="s">
        <v>187</v>
      </c>
      <c r="BF7" t="str">
        <f>HYPERLINK("http://dx.doi.org/10.1017/S0954102010000623","http://dx.doi.org/10.1017/S0954102010000623")</f>
        <v>http://dx.doi.org/10.1017/S0954102010000623</v>
      </c>
      <c r="BG7" t="s">
        <v>74</v>
      </c>
      <c r="BH7" t="s">
        <v>74</v>
      </c>
      <c r="BI7">
        <v>15</v>
      </c>
      <c r="BJ7" t="s">
        <v>99</v>
      </c>
      <c r="BK7" t="s">
        <v>100</v>
      </c>
      <c r="BL7" t="s">
        <v>101</v>
      </c>
      <c r="BM7" t="s">
        <v>102</v>
      </c>
      <c r="BN7" t="s">
        <v>74</v>
      </c>
      <c r="BO7" t="s">
        <v>74</v>
      </c>
      <c r="BP7" t="s">
        <v>74</v>
      </c>
      <c r="BQ7" t="s">
        <v>74</v>
      </c>
      <c r="BR7" t="s">
        <v>103</v>
      </c>
      <c r="BS7" t="s">
        <v>188</v>
      </c>
      <c r="BT7" t="str">
        <f>HYPERLINK("https%3A%2F%2Fwww.webofscience.com%2Fwos%2Fwoscc%2Ffull-record%2FWOS:000287465600009","View Full Record in Web of Science")</f>
        <v>View Full Record in Web of Science</v>
      </c>
    </row>
    <row r="8" spans="1:72" x14ac:dyDescent="0.15">
      <c r="A8" t="s">
        <v>72</v>
      </c>
      <c r="B8" t="s">
        <v>189</v>
      </c>
      <c r="C8" t="s">
        <v>74</v>
      </c>
      <c r="D8" t="s">
        <v>74</v>
      </c>
      <c r="E8" t="s">
        <v>74</v>
      </c>
      <c r="F8" t="s">
        <v>190</v>
      </c>
      <c r="G8" t="s">
        <v>74</v>
      </c>
      <c r="H8" t="s">
        <v>74</v>
      </c>
      <c r="I8" t="s">
        <v>191</v>
      </c>
      <c r="J8" t="s">
        <v>77</v>
      </c>
      <c r="K8" t="s">
        <v>74</v>
      </c>
      <c r="L8" t="s">
        <v>74</v>
      </c>
      <c r="M8" t="s">
        <v>78</v>
      </c>
      <c r="N8" t="s">
        <v>79</v>
      </c>
      <c r="O8" t="s">
        <v>74</v>
      </c>
      <c r="P8" t="s">
        <v>74</v>
      </c>
      <c r="Q8" t="s">
        <v>74</v>
      </c>
      <c r="R8" t="s">
        <v>74</v>
      </c>
      <c r="S8" t="s">
        <v>74</v>
      </c>
      <c r="T8" t="s">
        <v>74</v>
      </c>
      <c r="U8" t="s">
        <v>192</v>
      </c>
      <c r="V8" t="s">
        <v>74</v>
      </c>
      <c r="W8" t="s">
        <v>193</v>
      </c>
      <c r="X8" t="s">
        <v>194</v>
      </c>
      <c r="Y8" t="s">
        <v>195</v>
      </c>
      <c r="Z8" t="s">
        <v>196</v>
      </c>
      <c r="AA8" t="s">
        <v>74</v>
      </c>
      <c r="AB8" t="s">
        <v>74</v>
      </c>
      <c r="AC8" t="s">
        <v>74</v>
      </c>
      <c r="AD8" t="s">
        <v>74</v>
      </c>
      <c r="AE8" t="s">
        <v>74</v>
      </c>
      <c r="AF8" t="s">
        <v>74</v>
      </c>
      <c r="AG8">
        <v>12</v>
      </c>
      <c r="AH8">
        <v>2</v>
      </c>
      <c r="AI8">
        <v>2</v>
      </c>
      <c r="AJ8">
        <v>0</v>
      </c>
      <c r="AK8">
        <v>8</v>
      </c>
      <c r="AL8" t="s">
        <v>90</v>
      </c>
      <c r="AM8" t="s">
        <v>91</v>
      </c>
      <c r="AN8" t="s">
        <v>92</v>
      </c>
      <c r="AO8" t="s">
        <v>93</v>
      </c>
      <c r="AP8" t="s">
        <v>74</v>
      </c>
      <c r="AQ8" t="s">
        <v>74</v>
      </c>
      <c r="AR8" t="s">
        <v>95</v>
      </c>
      <c r="AS8" t="s">
        <v>96</v>
      </c>
      <c r="AT8" t="s">
        <v>97</v>
      </c>
      <c r="AU8">
        <v>2011</v>
      </c>
      <c r="AV8">
        <v>23</v>
      </c>
      <c r="AW8">
        <v>1</v>
      </c>
      <c r="AX8" t="s">
        <v>74</v>
      </c>
      <c r="AY8" t="s">
        <v>74</v>
      </c>
      <c r="AZ8" t="s">
        <v>74</v>
      </c>
      <c r="BA8" t="s">
        <v>74</v>
      </c>
      <c r="BB8">
        <v>93</v>
      </c>
      <c r="BC8">
        <v>94</v>
      </c>
      <c r="BD8" t="s">
        <v>74</v>
      </c>
      <c r="BE8" t="s">
        <v>197</v>
      </c>
      <c r="BF8" t="str">
        <f>HYPERLINK("http://dx.doi.org/10.1017/S0954102010000672","http://dx.doi.org/10.1017/S0954102010000672")</f>
        <v>http://dx.doi.org/10.1017/S0954102010000672</v>
      </c>
      <c r="BG8" t="s">
        <v>74</v>
      </c>
      <c r="BH8" t="s">
        <v>74</v>
      </c>
      <c r="BI8">
        <v>2</v>
      </c>
      <c r="BJ8" t="s">
        <v>99</v>
      </c>
      <c r="BK8" t="s">
        <v>100</v>
      </c>
      <c r="BL8" t="s">
        <v>101</v>
      </c>
      <c r="BM8" t="s">
        <v>102</v>
      </c>
      <c r="BN8" t="s">
        <v>74</v>
      </c>
      <c r="BO8" t="s">
        <v>74</v>
      </c>
      <c r="BP8" t="s">
        <v>74</v>
      </c>
      <c r="BQ8" t="s">
        <v>74</v>
      </c>
      <c r="BR8" t="s">
        <v>103</v>
      </c>
      <c r="BS8" t="s">
        <v>198</v>
      </c>
      <c r="BT8" t="str">
        <f>HYPERLINK("https%3A%2F%2Fwww.webofscience.com%2Fwos%2Fwoscc%2Ffull-record%2FWOS:000287465600010","View Full Record in Web of Science")</f>
        <v>View Full Record in Web of Science</v>
      </c>
    </row>
    <row r="9" spans="1:72" x14ac:dyDescent="0.15">
      <c r="A9" t="s">
        <v>72</v>
      </c>
      <c r="B9" t="s">
        <v>199</v>
      </c>
      <c r="C9" t="s">
        <v>74</v>
      </c>
      <c r="D9" t="s">
        <v>74</v>
      </c>
      <c r="E9" t="s">
        <v>74</v>
      </c>
      <c r="F9" t="s">
        <v>200</v>
      </c>
      <c r="G9" t="s">
        <v>74</v>
      </c>
      <c r="H9" t="s">
        <v>74</v>
      </c>
      <c r="I9" t="s">
        <v>201</v>
      </c>
      <c r="J9" t="s">
        <v>202</v>
      </c>
      <c r="K9" t="s">
        <v>74</v>
      </c>
      <c r="L9" t="s">
        <v>74</v>
      </c>
      <c r="M9" t="s">
        <v>78</v>
      </c>
      <c r="N9" t="s">
        <v>79</v>
      </c>
      <c r="O9" t="s">
        <v>74</v>
      </c>
      <c r="P9" t="s">
        <v>74</v>
      </c>
      <c r="Q9" t="s">
        <v>74</v>
      </c>
      <c r="R9" t="s">
        <v>74</v>
      </c>
      <c r="S9" t="s">
        <v>74</v>
      </c>
      <c r="T9" t="s">
        <v>203</v>
      </c>
      <c r="U9" t="s">
        <v>204</v>
      </c>
      <c r="V9" t="s">
        <v>205</v>
      </c>
      <c r="W9" t="s">
        <v>206</v>
      </c>
      <c r="X9" t="s">
        <v>207</v>
      </c>
      <c r="Y9" t="s">
        <v>208</v>
      </c>
      <c r="Z9" t="s">
        <v>209</v>
      </c>
      <c r="AA9" t="s">
        <v>210</v>
      </c>
      <c r="AB9" t="s">
        <v>74</v>
      </c>
      <c r="AC9" t="s">
        <v>211</v>
      </c>
      <c r="AD9" t="s">
        <v>212</v>
      </c>
      <c r="AE9" t="s">
        <v>213</v>
      </c>
      <c r="AF9" t="s">
        <v>74</v>
      </c>
      <c r="AG9">
        <v>52</v>
      </c>
      <c r="AH9">
        <v>21</v>
      </c>
      <c r="AI9">
        <v>30</v>
      </c>
      <c r="AJ9">
        <v>1</v>
      </c>
      <c r="AK9">
        <v>19</v>
      </c>
      <c r="AL9" t="s">
        <v>214</v>
      </c>
      <c r="AM9" t="s">
        <v>215</v>
      </c>
      <c r="AN9" t="s">
        <v>216</v>
      </c>
      <c r="AO9" t="s">
        <v>217</v>
      </c>
      <c r="AP9" t="s">
        <v>218</v>
      </c>
      <c r="AQ9" t="s">
        <v>74</v>
      </c>
      <c r="AR9" t="s">
        <v>219</v>
      </c>
      <c r="AS9" t="s">
        <v>220</v>
      </c>
      <c r="AT9" t="s">
        <v>97</v>
      </c>
      <c r="AU9">
        <v>2011</v>
      </c>
      <c r="AV9">
        <v>36</v>
      </c>
      <c r="AW9">
        <v>2</v>
      </c>
      <c r="AX9" t="s">
        <v>74</v>
      </c>
      <c r="AY9" t="s">
        <v>74</v>
      </c>
      <c r="AZ9" t="s">
        <v>74</v>
      </c>
      <c r="BA9" t="s">
        <v>74</v>
      </c>
      <c r="BB9">
        <v>217</v>
      </c>
      <c r="BC9">
        <v>228</v>
      </c>
      <c r="BD9" t="s">
        <v>74</v>
      </c>
      <c r="BE9" t="s">
        <v>221</v>
      </c>
      <c r="BF9" t="str">
        <f>HYPERLINK("http://dx.doi.org/10.1002/esp.2039","http://dx.doi.org/10.1002/esp.2039")</f>
        <v>http://dx.doi.org/10.1002/esp.2039</v>
      </c>
      <c r="BG9" t="s">
        <v>74</v>
      </c>
      <c r="BH9" t="s">
        <v>74</v>
      </c>
      <c r="BI9">
        <v>12</v>
      </c>
      <c r="BJ9" t="s">
        <v>222</v>
      </c>
      <c r="BK9" t="s">
        <v>100</v>
      </c>
      <c r="BL9" t="s">
        <v>223</v>
      </c>
      <c r="BM9" t="s">
        <v>224</v>
      </c>
      <c r="BN9" t="s">
        <v>74</v>
      </c>
      <c r="BO9" t="s">
        <v>74</v>
      </c>
      <c r="BP9" t="s">
        <v>74</v>
      </c>
      <c r="BQ9" t="s">
        <v>74</v>
      </c>
      <c r="BR9" t="s">
        <v>103</v>
      </c>
      <c r="BS9" t="s">
        <v>225</v>
      </c>
      <c r="BT9" t="str">
        <f>HYPERLINK("https%3A%2F%2Fwww.webofscience.com%2Fwos%2Fwoscc%2Ffull-record%2FWOS:000287154000007","View Full Record in Web of Science")</f>
        <v>View Full Record in Web of Science</v>
      </c>
    </row>
    <row r="10" spans="1:72" x14ac:dyDescent="0.15">
      <c r="A10" t="s">
        <v>72</v>
      </c>
      <c r="B10" t="s">
        <v>226</v>
      </c>
      <c r="C10" t="s">
        <v>74</v>
      </c>
      <c r="D10" t="s">
        <v>74</v>
      </c>
      <c r="E10" t="s">
        <v>74</v>
      </c>
      <c r="F10" t="s">
        <v>227</v>
      </c>
      <c r="G10" t="s">
        <v>74</v>
      </c>
      <c r="H10" t="s">
        <v>74</v>
      </c>
      <c r="I10" t="s">
        <v>228</v>
      </c>
      <c r="J10" t="s">
        <v>229</v>
      </c>
      <c r="K10" t="s">
        <v>74</v>
      </c>
      <c r="L10" t="s">
        <v>74</v>
      </c>
      <c r="M10" t="s">
        <v>78</v>
      </c>
      <c r="N10" t="s">
        <v>79</v>
      </c>
      <c r="O10" t="s">
        <v>74</v>
      </c>
      <c r="P10" t="s">
        <v>74</v>
      </c>
      <c r="Q10" t="s">
        <v>74</v>
      </c>
      <c r="R10" t="s">
        <v>74</v>
      </c>
      <c r="S10" t="s">
        <v>74</v>
      </c>
      <c r="T10" t="s">
        <v>74</v>
      </c>
      <c r="U10" t="s">
        <v>230</v>
      </c>
      <c r="V10" t="s">
        <v>231</v>
      </c>
      <c r="W10" t="s">
        <v>232</v>
      </c>
      <c r="X10" t="s">
        <v>233</v>
      </c>
      <c r="Y10" t="s">
        <v>234</v>
      </c>
      <c r="Z10" t="s">
        <v>235</v>
      </c>
      <c r="AA10" t="s">
        <v>236</v>
      </c>
      <c r="AB10" t="s">
        <v>74</v>
      </c>
      <c r="AC10" t="s">
        <v>237</v>
      </c>
      <c r="AD10" t="s">
        <v>238</v>
      </c>
      <c r="AE10" t="s">
        <v>239</v>
      </c>
      <c r="AF10" t="s">
        <v>74</v>
      </c>
      <c r="AG10">
        <v>27</v>
      </c>
      <c r="AH10">
        <v>13</v>
      </c>
      <c r="AI10">
        <v>15</v>
      </c>
      <c r="AJ10">
        <v>2</v>
      </c>
      <c r="AK10">
        <v>13</v>
      </c>
      <c r="AL10" t="s">
        <v>240</v>
      </c>
      <c r="AM10" t="s">
        <v>241</v>
      </c>
      <c r="AN10" t="s">
        <v>242</v>
      </c>
      <c r="AO10" t="s">
        <v>243</v>
      </c>
      <c r="AP10" t="s">
        <v>244</v>
      </c>
      <c r="AQ10" t="s">
        <v>74</v>
      </c>
      <c r="AR10" t="s">
        <v>245</v>
      </c>
      <c r="AS10" t="s">
        <v>246</v>
      </c>
      <c r="AT10" t="s">
        <v>247</v>
      </c>
      <c r="AU10">
        <v>2011</v>
      </c>
      <c r="AV10">
        <v>116</v>
      </c>
      <c r="AW10" t="s">
        <v>74</v>
      </c>
      <c r="AX10" t="s">
        <v>74</v>
      </c>
      <c r="AY10" t="s">
        <v>74</v>
      </c>
      <c r="AZ10" t="s">
        <v>74</v>
      </c>
      <c r="BA10" t="s">
        <v>74</v>
      </c>
      <c r="BB10" t="s">
        <v>74</v>
      </c>
      <c r="BC10" t="s">
        <v>74</v>
      </c>
      <c r="BD10" t="s">
        <v>248</v>
      </c>
      <c r="BE10" t="s">
        <v>249</v>
      </c>
      <c r="BF10" t="str">
        <f>HYPERLINK("http://dx.doi.org/10.1029/2010JC006386","http://dx.doi.org/10.1029/2010JC006386")</f>
        <v>http://dx.doi.org/10.1029/2010JC006386</v>
      </c>
      <c r="BG10" t="s">
        <v>74</v>
      </c>
      <c r="BH10" t="s">
        <v>74</v>
      </c>
      <c r="BI10">
        <v>22</v>
      </c>
      <c r="BJ10" t="s">
        <v>250</v>
      </c>
      <c r="BK10" t="s">
        <v>100</v>
      </c>
      <c r="BL10" t="s">
        <v>250</v>
      </c>
      <c r="BM10" t="s">
        <v>251</v>
      </c>
      <c r="BN10" t="s">
        <v>74</v>
      </c>
      <c r="BO10" t="s">
        <v>252</v>
      </c>
      <c r="BP10" t="s">
        <v>74</v>
      </c>
      <c r="BQ10" t="s">
        <v>74</v>
      </c>
      <c r="BR10" t="s">
        <v>103</v>
      </c>
      <c r="BS10" t="s">
        <v>253</v>
      </c>
      <c r="BT10" t="str">
        <f>HYPERLINK("https%3A%2F%2Fwww.webofscience.com%2Fwos%2Fwoscc%2Ffull-record%2FWOS:000287032400002","View Full Record in Web of Science")</f>
        <v>View Full Record in Web of Science</v>
      </c>
    </row>
    <row r="11" spans="1:72" x14ac:dyDescent="0.15">
      <c r="A11" t="s">
        <v>72</v>
      </c>
      <c r="B11" t="s">
        <v>254</v>
      </c>
      <c r="C11" t="s">
        <v>74</v>
      </c>
      <c r="D11" t="s">
        <v>74</v>
      </c>
      <c r="E11" t="s">
        <v>74</v>
      </c>
      <c r="F11" t="s">
        <v>255</v>
      </c>
      <c r="G11" t="s">
        <v>74</v>
      </c>
      <c r="H11" t="s">
        <v>74</v>
      </c>
      <c r="I11" t="s">
        <v>256</v>
      </c>
      <c r="J11" t="s">
        <v>257</v>
      </c>
      <c r="K11" t="s">
        <v>74</v>
      </c>
      <c r="L11" t="s">
        <v>74</v>
      </c>
      <c r="M11" t="s">
        <v>78</v>
      </c>
      <c r="N11" t="s">
        <v>79</v>
      </c>
      <c r="O11" t="s">
        <v>74</v>
      </c>
      <c r="P11" t="s">
        <v>74</v>
      </c>
      <c r="Q11" t="s">
        <v>74</v>
      </c>
      <c r="R11" t="s">
        <v>74</v>
      </c>
      <c r="S11" t="s">
        <v>74</v>
      </c>
      <c r="T11" t="s">
        <v>258</v>
      </c>
      <c r="U11" t="s">
        <v>259</v>
      </c>
      <c r="V11" t="s">
        <v>260</v>
      </c>
      <c r="W11" t="s">
        <v>261</v>
      </c>
      <c r="X11" t="s">
        <v>262</v>
      </c>
      <c r="Y11" t="s">
        <v>263</v>
      </c>
      <c r="Z11" t="s">
        <v>264</v>
      </c>
      <c r="AA11" t="s">
        <v>265</v>
      </c>
      <c r="AB11" t="s">
        <v>266</v>
      </c>
      <c r="AC11" t="s">
        <v>267</v>
      </c>
      <c r="AD11" t="s">
        <v>268</v>
      </c>
      <c r="AE11" t="s">
        <v>269</v>
      </c>
      <c r="AF11" t="s">
        <v>74</v>
      </c>
      <c r="AG11">
        <v>65</v>
      </c>
      <c r="AH11">
        <v>23</v>
      </c>
      <c r="AI11">
        <v>25</v>
      </c>
      <c r="AJ11">
        <v>1</v>
      </c>
      <c r="AK11">
        <v>19</v>
      </c>
      <c r="AL11" t="s">
        <v>270</v>
      </c>
      <c r="AM11" t="s">
        <v>271</v>
      </c>
      <c r="AN11" t="s">
        <v>272</v>
      </c>
      <c r="AO11" t="s">
        <v>273</v>
      </c>
      <c r="AP11" t="s">
        <v>74</v>
      </c>
      <c r="AQ11" t="s">
        <v>74</v>
      </c>
      <c r="AR11" t="s">
        <v>274</v>
      </c>
      <c r="AS11" t="s">
        <v>275</v>
      </c>
      <c r="AT11" t="s">
        <v>97</v>
      </c>
      <c r="AU11">
        <v>2011</v>
      </c>
      <c r="AV11">
        <v>45</v>
      </c>
      <c r="AW11">
        <v>2</v>
      </c>
      <c r="AX11" t="s">
        <v>74</v>
      </c>
      <c r="AY11" t="s">
        <v>74</v>
      </c>
      <c r="AZ11" t="s">
        <v>74</v>
      </c>
      <c r="BA11" t="s">
        <v>74</v>
      </c>
      <c r="BB11">
        <v>273</v>
      </c>
      <c r="BC11">
        <v>285</v>
      </c>
      <c r="BD11" t="s">
        <v>74</v>
      </c>
      <c r="BE11" t="s">
        <v>276</v>
      </c>
      <c r="BF11" t="str">
        <f>HYPERLINK("http://dx.doi.org/10.1007/s10933-011-9497-x","http://dx.doi.org/10.1007/s10933-011-9497-x")</f>
        <v>http://dx.doi.org/10.1007/s10933-011-9497-x</v>
      </c>
      <c r="BG11" t="s">
        <v>74</v>
      </c>
      <c r="BH11" t="s">
        <v>74</v>
      </c>
      <c r="BI11">
        <v>13</v>
      </c>
      <c r="BJ11" t="s">
        <v>277</v>
      </c>
      <c r="BK11" t="s">
        <v>100</v>
      </c>
      <c r="BL11" t="s">
        <v>278</v>
      </c>
      <c r="BM11" t="s">
        <v>279</v>
      </c>
      <c r="BN11" t="s">
        <v>74</v>
      </c>
      <c r="BO11" t="s">
        <v>74</v>
      </c>
      <c r="BP11" t="s">
        <v>74</v>
      </c>
      <c r="BQ11" t="s">
        <v>74</v>
      </c>
      <c r="BR11" t="s">
        <v>103</v>
      </c>
      <c r="BS11" t="s">
        <v>280</v>
      </c>
      <c r="BT11" t="str">
        <f>HYPERLINK("https%3A%2F%2Fwww.webofscience.com%2Fwos%2Fwoscc%2Ffull-record%2FWOS:000286677000011","View Full Record in Web of Science")</f>
        <v>View Full Record in Web of Science</v>
      </c>
    </row>
    <row r="12" spans="1:72" x14ac:dyDescent="0.15">
      <c r="A12" t="s">
        <v>72</v>
      </c>
      <c r="B12" t="s">
        <v>281</v>
      </c>
      <c r="C12" t="s">
        <v>74</v>
      </c>
      <c r="D12" t="s">
        <v>74</v>
      </c>
      <c r="E12" t="s">
        <v>74</v>
      </c>
      <c r="F12" t="s">
        <v>282</v>
      </c>
      <c r="G12" t="s">
        <v>74</v>
      </c>
      <c r="H12" t="s">
        <v>74</v>
      </c>
      <c r="I12" t="s">
        <v>283</v>
      </c>
      <c r="J12" t="s">
        <v>284</v>
      </c>
      <c r="K12" t="s">
        <v>74</v>
      </c>
      <c r="L12" t="s">
        <v>74</v>
      </c>
      <c r="M12" t="s">
        <v>78</v>
      </c>
      <c r="N12" t="s">
        <v>79</v>
      </c>
      <c r="O12" t="s">
        <v>74</v>
      </c>
      <c r="P12" t="s">
        <v>74</v>
      </c>
      <c r="Q12" t="s">
        <v>74</v>
      </c>
      <c r="R12" t="s">
        <v>74</v>
      </c>
      <c r="S12" t="s">
        <v>74</v>
      </c>
      <c r="T12" t="s">
        <v>285</v>
      </c>
      <c r="U12" t="s">
        <v>286</v>
      </c>
      <c r="V12" t="s">
        <v>287</v>
      </c>
      <c r="W12" t="s">
        <v>288</v>
      </c>
      <c r="X12" t="s">
        <v>289</v>
      </c>
      <c r="Y12" t="s">
        <v>290</v>
      </c>
      <c r="Z12" t="s">
        <v>291</v>
      </c>
      <c r="AA12" t="s">
        <v>74</v>
      </c>
      <c r="AB12" t="s">
        <v>292</v>
      </c>
      <c r="AC12" t="s">
        <v>293</v>
      </c>
      <c r="AD12" t="s">
        <v>294</v>
      </c>
      <c r="AE12" t="s">
        <v>295</v>
      </c>
      <c r="AF12" t="s">
        <v>74</v>
      </c>
      <c r="AG12">
        <v>27</v>
      </c>
      <c r="AH12">
        <v>16</v>
      </c>
      <c r="AI12">
        <v>17</v>
      </c>
      <c r="AJ12">
        <v>0</v>
      </c>
      <c r="AK12">
        <v>12</v>
      </c>
      <c r="AL12" t="s">
        <v>270</v>
      </c>
      <c r="AM12" t="s">
        <v>91</v>
      </c>
      <c r="AN12" t="s">
        <v>296</v>
      </c>
      <c r="AO12" t="s">
        <v>297</v>
      </c>
      <c r="AP12" t="s">
        <v>298</v>
      </c>
      <c r="AQ12" t="s">
        <v>74</v>
      </c>
      <c r="AR12" t="s">
        <v>299</v>
      </c>
      <c r="AS12" t="s">
        <v>300</v>
      </c>
      <c r="AT12" t="s">
        <v>97</v>
      </c>
      <c r="AU12">
        <v>2011</v>
      </c>
      <c r="AV12">
        <v>89</v>
      </c>
      <c r="AW12">
        <v>3</v>
      </c>
      <c r="AX12" t="s">
        <v>74</v>
      </c>
      <c r="AY12" t="s">
        <v>74</v>
      </c>
      <c r="AZ12" t="s">
        <v>74</v>
      </c>
      <c r="BA12" t="s">
        <v>74</v>
      </c>
      <c r="BB12">
        <v>613</v>
      </c>
      <c r="BC12">
        <v>621</v>
      </c>
      <c r="BD12" t="s">
        <v>74</v>
      </c>
      <c r="BE12" t="s">
        <v>301</v>
      </c>
      <c r="BF12" t="str">
        <f>HYPERLINK("http://dx.doi.org/10.1007/s00253-010-2890-y","http://dx.doi.org/10.1007/s00253-010-2890-y")</f>
        <v>http://dx.doi.org/10.1007/s00253-010-2890-y</v>
      </c>
      <c r="BG12" t="s">
        <v>74</v>
      </c>
      <c r="BH12" t="s">
        <v>74</v>
      </c>
      <c r="BI12">
        <v>9</v>
      </c>
      <c r="BJ12" t="s">
        <v>302</v>
      </c>
      <c r="BK12" t="s">
        <v>100</v>
      </c>
      <c r="BL12" t="s">
        <v>302</v>
      </c>
      <c r="BM12" t="s">
        <v>303</v>
      </c>
      <c r="BN12">
        <v>20922383</v>
      </c>
      <c r="BO12" t="s">
        <v>74</v>
      </c>
      <c r="BP12" t="s">
        <v>74</v>
      </c>
      <c r="BQ12" t="s">
        <v>74</v>
      </c>
      <c r="BR12" t="s">
        <v>103</v>
      </c>
      <c r="BS12" t="s">
        <v>304</v>
      </c>
      <c r="BT12" t="str">
        <f>HYPERLINK("https%3A%2F%2Fwww.webofscience.com%2Fwos%2Fwoscc%2Ffull-record%2FWOS:000286429400014","View Full Record in Web of Science")</f>
        <v>View Full Record in Web of Science</v>
      </c>
    </row>
    <row r="13" spans="1:72" x14ac:dyDescent="0.15">
      <c r="A13" t="s">
        <v>72</v>
      </c>
      <c r="B13" t="s">
        <v>305</v>
      </c>
      <c r="C13" t="s">
        <v>74</v>
      </c>
      <c r="D13" t="s">
        <v>74</v>
      </c>
      <c r="E13" t="s">
        <v>74</v>
      </c>
      <c r="F13" t="s">
        <v>306</v>
      </c>
      <c r="G13" t="s">
        <v>74</v>
      </c>
      <c r="H13" t="s">
        <v>74</v>
      </c>
      <c r="I13" t="s">
        <v>307</v>
      </c>
      <c r="J13" t="s">
        <v>308</v>
      </c>
      <c r="K13" t="s">
        <v>74</v>
      </c>
      <c r="L13" t="s">
        <v>74</v>
      </c>
      <c r="M13" t="s">
        <v>78</v>
      </c>
      <c r="N13" t="s">
        <v>79</v>
      </c>
      <c r="O13" t="s">
        <v>74</v>
      </c>
      <c r="P13" t="s">
        <v>74</v>
      </c>
      <c r="Q13" t="s">
        <v>74</v>
      </c>
      <c r="R13" t="s">
        <v>74</v>
      </c>
      <c r="S13" t="s">
        <v>74</v>
      </c>
      <c r="T13" t="s">
        <v>74</v>
      </c>
      <c r="U13" t="s">
        <v>309</v>
      </c>
      <c r="V13" t="s">
        <v>310</v>
      </c>
      <c r="W13" t="s">
        <v>311</v>
      </c>
      <c r="X13" t="s">
        <v>312</v>
      </c>
      <c r="Y13" t="s">
        <v>313</v>
      </c>
      <c r="Z13" t="s">
        <v>314</v>
      </c>
      <c r="AA13" t="s">
        <v>315</v>
      </c>
      <c r="AB13" t="s">
        <v>316</v>
      </c>
      <c r="AC13" t="s">
        <v>317</v>
      </c>
      <c r="AD13" t="s">
        <v>318</v>
      </c>
      <c r="AE13" t="s">
        <v>319</v>
      </c>
      <c r="AF13" t="s">
        <v>74</v>
      </c>
      <c r="AG13">
        <v>14</v>
      </c>
      <c r="AH13">
        <v>89</v>
      </c>
      <c r="AI13">
        <v>91</v>
      </c>
      <c r="AJ13">
        <v>1</v>
      </c>
      <c r="AK13">
        <v>36</v>
      </c>
      <c r="AL13" t="s">
        <v>270</v>
      </c>
      <c r="AM13" t="s">
        <v>91</v>
      </c>
      <c r="AN13" t="s">
        <v>320</v>
      </c>
      <c r="AO13" t="s">
        <v>321</v>
      </c>
      <c r="AP13" t="s">
        <v>74</v>
      </c>
      <c r="AQ13" t="s">
        <v>74</v>
      </c>
      <c r="AR13" t="s">
        <v>322</v>
      </c>
      <c r="AS13" t="s">
        <v>323</v>
      </c>
      <c r="AT13" t="s">
        <v>97</v>
      </c>
      <c r="AU13">
        <v>2011</v>
      </c>
      <c r="AV13">
        <v>62</v>
      </c>
      <c r="AW13">
        <v>2</v>
      </c>
      <c r="AX13" t="s">
        <v>74</v>
      </c>
      <c r="AY13" t="s">
        <v>74</v>
      </c>
      <c r="AZ13" t="s">
        <v>74</v>
      </c>
      <c r="BA13" t="s">
        <v>74</v>
      </c>
      <c r="BB13">
        <v>544</v>
      </c>
      <c r="BC13">
        <v>546</v>
      </c>
      <c r="BD13" t="s">
        <v>74</v>
      </c>
      <c r="BE13" t="s">
        <v>324</v>
      </c>
      <c r="BF13" t="str">
        <f>HYPERLINK("http://dx.doi.org/10.1007/s00284-010-9742-y","http://dx.doi.org/10.1007/s00284-010-9742-y")</f>
        <v>http://dx.doi.org/10.1007/s00284-010-9742-y</v>
      </c>
      <c r="BG13" t="s">
        <v>74</v>
      </c>
      <c r="BH13" t="s">
        <v>74</v>
      </c>
      <c r="BI13">
        <v>3</v>
      </c>
      <c r="BJ13" t="s">
        <v>325</v>
      </c>
      <c r="BK13" t="s">
        <v>100</v>
      </c>
      <c r="BL13" t="s">
        <v>325</v>
      </c>
      <c r="BM13" t="s">
        <v>326</v>
      </c>
      <c r="BN13">
        <v>20730433</v>
      </c>
      <c r="BO13" t="s">
        <v>74</v>
      </c>
      <c r="BP13" t="s">
        <v>74</v>
      </c>
      <c r="BQ13" t="s">
        <v>74</v>
      </c>
      <c r="BR13" t="s">
        <v>103</v>
      </c>
      <c r="BS13" t="s">
        <v>327</v>
      </c>
      <c r="BT13" t="str">
        <f>HYPERLINK("https%3A%2F%2Fwww.webofscience.com%2Fwos%2Fwoscc%2Ffull-record%2FWOS:000286205500033","View Full Record in Web of Science")</f>
        <v>View Full Record in Web of Science</v>
      </c>
    </row>
    <row r="14" spans="1:72" x14ac:dyDescent="0.15">
      <c r="A14" t="s">
        <v>72</v>
      </c>
      <c r="B14" t="s">
        <v>328</v>
      </c>
      <c r="C14" t="s">
        <v>74</v>
      </c>
      <c r="D14" t="s">
        <v>74</v>
      </c>
      <c r="E14" t="s">
        <v>74</v>
      </c>
      <c r="F14" t="s">
        <v>329</v>
      </c>
      <c r="G14" t="s">
        <v>74</v>
      </c>
      <c r="H14" t="s">
        <v>74</v>
      </c>
      <c r="I14" t="s">
        <v>330</v>
      </c>
      <c r="J14" t="s">
        <v>331</v>
      </c>
      <c r="K14" t="s">
        <v>74</v>
      </c>
      <c r="L14" t="s">
        <v>74</v>
      </c>
      <c r="M14" t="s">
        <v>78</v>
      </c>
      <c r="N14" t="s">
        <v>79</v>
      </c>
      <c r="O14" t="s">
        <v>74</v>
      </c>
      <c r="P14" t="s">
        <v>74</v>
      </c>
      <c r="Q14" t="s">
        <v>74</v>
      </c>
      <c r="R14" t="s">
        <v>74</v>
      </c>
      <c r="S14" t="s">
        <v>74</v>
      </c>
      <c r="T14" t="s">
        <v>332</v>
      </c>
      <c r="U14" t="s">
        <v>333</v>
      </c>
      <c r="V14" t="s">
        <v>334</v>
      </c>
      <c r="W14" t="s">
        <v>335</v>
      </c>
      <c r="X14" t="s">
        <v>336</v>
      </c>
      <c r="Y14" t="s">
        <v>337</v>
      </c>
      <c r="Z14" t="s">
        <v>338</v>
      </c>
      <c r="AA14" t="s">
        <v>339</v>
      </c>
      <c r="AB14" t="s">
        <v>340</v>
      </c>
      <c r="AC14" t="s">
        <v>74</v>
      </c>
      <c r="AD14" t="s">
        <v>74</v>
      </c>
      <c r="AE14" t="s">
        <v>74</v>
      </c>
      <c r="AF14" t="s">
        <v>74</v>
      </c>
      <c r="AG14">
        <v>39</v>
      </c>
      <c r="AH14">
        <v>3</v>
      </c>
      <c r="AI14">
        <v>4</v>
      </c>
      <c r="AJ14">
        <v>0</v>
      </c>
      <c r="AK14">
        <v>14</v>
      </c>
      <c r="AL14" t="s">
        <v>270</v>
      </c>
      <c r="AM14" t="s">
        <v>91</v>
      </c>
      <c r="AN14" t="s">
        <v>320</v>
      </c>
      <c r="AO14" t="s">
        <v>341</v>
      </c>
      <c r="AP14" t="s">
        <v>342</v>
      </c>
      <c r="AQ14" t="s">
        <v>74</v>
      </c>
      <c r="AR14" t="s">
        <v>343</v>
      </c>
      <c r="AS14" t="s">
        <v>344</v>
      </c>
      <c r="AT14" t="s">
        <v>97</v>
      </c>
      <c r="AU14">
        <v>2011</v>
      </c>
      <c r="AV14">
        <v>90</v>
      </c>
      <c r="AW14">
        <v>2</v>
      </c>
      <c r="AX14" t="s">
        <v>74</v>
      </c>
      <c r="AY14" t="s">
        <v>74</v>
      </c>
      <c r="AZ14" t="s">
        <v>74</v>
      </c>
      <c r="BA14" t="s">
        <v>74</v>
      </c>
      <c r="BB14">
        <v>111</v>
      </c>
      <c r="BC14">
        <v>120</v>
      </c>
      <c r="BD14" t="s">
        <v>74</v>
      </c>
      <c r="BE14" t="s">
        <v>345</v>
      </c>
      <c r="BF14" t="str">
        <f>HYPERLINK("http://dx.doi.org/10.1007/s10641-010-9723-9","http://dx.doi.org/10.1007/s10641-010-9723-9")</f>
        <v>http://dx.doi.org/10.1007/s10641-010-9723-9</v>
      </c>
      <c r="BG14" t="s">
        <v>74</v>
      </c>
      <c r="BH14" t="s">
        <v>74</v>
      </c>
      <c r="BI14">
        <v>10</v>
      </c>
      <c r="BJ14" t="s">
        <v>346</v>
      </c>
      <c r="BK14" t="s">
        <v>100</v>
      </c>
      <c r="BL14" t="s">
        <v>347</v>
      </c>
      <c r="BM14" t="s">
        <v>348</v>
      </c>
      <c r="BN14" t="s">
        <v>74</v>
      </c>
      <c r="BO14" t="s">
        <v>74</v>
      </c>
      <c r="BP14" t="s">
        <v>74</v>
      </c>
      <c r="BQ14" t="s">
        <v>74</v>
      </c>
      <c r="BR14" t="s">
        <v>103</v>
      </c>
      <c r="BS14" t="s">
        <v>349</v>
      </c>
      <c r="BT14" t="str">
        <f>HYPERLINK("https%3A%2F%2Fwww.webofscience.com%2Fwos%2Fwoscc%2Ffull-record%2FWOS:000286392400001","View Full Record in Web of Science")</f>
        <v>View Full Record in Web of Science</v>
      </c>
    </row>
    <row r="15" spans="1:72" x14ac:dyDescent="0.15">
      <c r="A15" t="s">
        <v>72</v>
      </c>
      <c r="B15" t="s">
        <v>350</v>
      </c>
      <c r="C15" t="s">
        <v>74</v>
      </c>
      <c r="D15" t="s">
        <v>74</v>
      </c>
      <c r="E15" t="s">
        <v>74</v>
      </c>
      <c r="F15" t="s">
        <v>351</v>
      </c>
      <c r="G15" t="s">
        <v>74</v>
      </c>
      <c r="H15" t="s">
        <v>74</v>
      </c>
      <c r="I15" t="s">
        <v>352</v>
      </c>
      <c r="J15" t="s">
        <v>353</v>
      </c>
      <c r="K15" t="s">
        <v>74</v>
      </c>
      <c r="L15" t="s">
        <v>74</v>
      </c>
      <c r="M15" t="s">
        <v>78</v>
      </c>
      <c r="N15" t="s">
        <v>79</v>
      </c>
      <c r="O15" t="s">
        <v>74</v>
      </c>
      <c r="P15" t="s">
        <v>74</v>
      </c>
      <c r="Q15" t="s">
        <v>74</v>
      </c>
      <c r="R15" t="s">
        <v>74</v>
      </c>
      <c r="S15" t="s">
        <v>74</v>
      </c>
      <c r="T15" t="s">
        <v>354</v>
      </c>
      <c r="U15" t="s">
        <v>355</v>
      </c>
      <c r="V15" t="s">
        <v>356</v>
      </c>
      <c r="W15" t="s">
        <v>357</v>
      </c>
      <c r="X15" t="s">
        <v>358</v>
      </c>
      <c r="Y15" t="s">
        <v>359</v>
      </c>
      <c r="Z15" t="s">
        <v>360</v>
      </c>
      <c r="AA15" t="s">
        <v>361</v>
      </c>
      <c r="AB15" t="s">
        <v>362</v>
      </c>
      <c r="AC15" t="s">
        <v>363</v>
      </c>
      <c r="AD15" t="s">
        <v>364</v>
      </c>
      <c r="AE15" t="s">
        <v>365</v>
      </c>
      <c r="AF15" t="s">
        <v>74</v>
      </c>
      <c r="AG15">
        <v>30</v>
      </c>
      <c r="AH15">
        <v>39</v>
      </c>
      <c r="AI15">
        <v>43</v>
      </c>
      <c r="AJ15">
        <v>0</v>
      </c>
      <c r="AK15">
        <v>5</v>
      </c>
      <c r="AL15" t="s">
        <v>366</v>
      </c>
      <c r="AM15" t="s">
        <v>367</v>
      </c>
      <c r="AN15" t="s">
        <v>368</v>
      </c>
      <c r="AO15" t="s">
        <v>369</v>
      </c>
      <c r="AP15" t="s">
        <v>74</v>
      </c>
      <c r="AQ15" t="s">
        <v>74</v>
      </c>
      <c r="AR15" t="s">
        <v>370</v>
      </c>
      <c r="AS15" t="s">
        <v>371</v>
      </c>
      <c r="AT15" t="s">
        <v>97</v>
      </c>
      <c r="AU15">
        <v>2011</v>
      </c>
      <c r="AV15">
        <v>411</v>
      </c>
      <c r="AW15">
        <v>1</v>
      </c>
      <c r="AX15" t="s">
        <v>74</v>
      </c>
      <c r="AY15" t="s">
        <v>74</v>
      </c>
      <c r="AZ15" t="s">
        <v>74</v>
      </c>
      <c r="BA15" t="s">
        <v>74</v>
      </c>
      <c r="BB15">
        <v>693</v>
      </c>
      <c r="BC15">
        <v>704</v>
      </c>
      <c r="BD15" t="s">
        <v>74</v>
      </c>
      <c r="BE15" t="s">
        <v>372</v>
      </c>
      <c r="BF15" t="str">
        <f>HYPERLINK("http://dx.doi.org/10.1111/j.1365-2966.2010.17709.x","http://dx.doi.org/10.1111/j.1365-2966.2010.17709.x")</f>
        <v>http://dx.doi.org/10.1111/j.1365-2966.2010.17709.x</v>
      </c>
      <c r="BG15" t="s">
        <v>74</v>
      </c>
      <c r="BH15" t="s">
        <v>74</v>
      </c>
      <c r="BI15">
        <v>12</v>
      </c>
      <c r="BJ15" t="s">
        <v>373</v>
      </c>
      <c r="BK15" t="s">
        <v>100</v>
      </c>
      <c r="BL15" t="s">
        <v>373</v>
      </c>
      <c r="BM15" t="s">
        <v>374</v>
      </c>
      <c r="BN15" t="s">
        <v>74</v>
      </c>
      <c r="BO15" t="s">
        <v>375</v>
      </c>
      <c r="BP15" t="s">
        <v>74</v>
      </c>
      <c r="BQ15" t="s">
        <v>74</v>
      </c>
      <c r="BR15" t="s">
        <v>103</v>
      </c>
      <c r="BS15" t="s">
        <v>376</v>
      </c>
      <c r="BT15" t="str">
        <f>HYPERLINK("https%3A%2F%2Fwww.webofscience.com%2Fwos%2Fwoscc%2Ffull-record%2FWOS:000286525600072","View Full Record in Web of Science")</f>
        <v>View Full Record in Web of Science</v>
      </c>
    </row>
    <row r="16" spans="1:72" x14ac:dyDescent="0.15">
      <c r="A16" t="s">
        <v>72</v>
      </c>
      <c r="B16" t="s">
        <v>377</v>
      </c>
      <c r="C16" t="s">
        <v>74</v>
      </c>
      <c r="D16" t="s">
        <v>74</v>
      </c>
      <c r="E16" t="s">
        <v>74</v>
      </c>
      <c r="F16" t="s">
        <v>378</v>
      </c>
      <c r="G16" t="s">
        <v>74</v>
      </c>
      <c r="H16" t="s">
        <v>74</v>
      </c>
      <c r="I16" t="s">
        <v>379</v>
      </c>
      <c r="J16" t="s">
        <v>380</v>
      </c>
      <c r="K16" t="s">
        <v>74</v>
      </c>
      <c r="L16" t="s">
        <v>74</v>
      </c>
      <c r="M16" t="s">
        <v>78</v>
      </c>
      <c r="N16" t="s">
        <v>79</v>
      </c>
      <c r="O16" t="s">
        <v>74</v>
      </c>
      <c r="P16" t="s">
        <v>74</v>
      </c>
      <c r="Q16" t="s">
        <v>74</v>
      </c>
      <c r="R16" t="s">
        <v>74</v>
      </c>
      <c r="S16" t="s">
        <v>74</v>
      </c>
      <c r="T16" t="s">
        <v>74</v>
      </c>
      <c r="U16" t="s">
        <v>381</v>
      </c>
      <c r="V16" t="s">
        <v>382</v>
      </c>
      <c r="W16" t="s">
        <v>383</v>
      </c>
      <c r="X16" t="s">
        <v>384</v>
      </c>
      <c r="Y16" t="s">
        <v>385</v>
      </c>
      <c r="Z16" t="s">
        <v>386</v>
      </c>
      <c r="AA16" t="s">
        <v>387</v>
      </c>
      <c r="AB16" t="s">
        <v>74</v>
      </c>
      <c r="AC16" t="s">
        <v>74</v>
      </c>
      <c r="AD16" t="s">
        <v>74</v>
      </c>
      <c r="AE16" t="s">
        <v>74</v>
      </c>
      <c r="AF16" t="s">
        <v>74</v>
      </c>
      <c r="AG16">
        <v>30</v>
      </c>
      <c r="AH16">
        <v>136</v>
      </c>
      <c r="AI16">
        <v>149</v>
      </c>
      <c r="AJ16">
        <v>4</v>
      </c>
      <c r="AK16">
        <v>69</v>
      </c>
      <c r="AL16" t="s">
        <v>388</v>
      </c>
      <c r="AM16" t="s">
        <v>389</v>
      </c>
      <c r="AN16" t="s">
        <v>390</v>
      </c>
      <c r="AO16" t="s">
        <v>391</v>
      </c>
      <c r="AP16" t="s">
        <v>392</v>
      </c>
      <c r="AQ16" t="s">
        <v>74</v>
      </c>
      <c r="AR16" t="s">
        <v>393</v>
      </c>
      <c r="AS16" t="s">
        <v>394</v>
      </c>
      <c r="AT16" t="s">
        <v>97</v>
      </c>
      <c r="AU16">
        <v>2011</v>
      </c>
      <c r="AV16">
        <v>4</v>
      </c>
      <c r="AW16">
        <v>2</v>
      </c>
      <c r="AX16" t="s">
        <v>74</v>
      </c>
      <c r="AY16" t="s">
        <v>74</v>
      </c>
      <c r="AZ16" t="s">
        <v>74</v>
      </c>
      <c r="BA16" t="s">
        <v>74</v>
      </c>
      <c r="BB16">
        <v>83</v>
      </c>
      <c r="BC16">
        <v>87</v>
      </c>
      <c r="BD16" t="s">
        <v>74</v>
      </c>
      <c r="BE16" t="s">
        <v>395</v>
      </c>
      <c r="BF16" t="str">
        <f>HYPERLINK("http://dx.doi.org/10.1038/NGEO1047","http://dx.doi.org/10.1038/NGEO1047")</f>
        <v>http://dx.doi.org/10.1038/NGEO1047</v>
      </c>
      <c r="BG16" t="s">
        <v>74</v>
      </c>
      <c r="BH16" t="s">
        <v>74</v>
      </c>
      <c r="BI16">
        <v>5</v>
      </c>
      <c r="BJ16" t="s">
        <v>396</v>
      </c>
      <c r="BK16" t="s">
        <v>100</v>
      </c>
      <c r="BL16" t="s">
        <v>397</v>
      </c>
      <c r="BM16" t="s">
        <v>398</v>
      </c>
      <c r="BN16" t="s">
        <v>74</v>
      </c>
      <c r="BO16" t="s">
        <v>74</v>
      </c>
      <c r="BP16" t="s">
        <v>74</v>
      </c>
      <c r="BQ16" t="s">
        <v>74</v>
      </c>
      <c r="BR16" t="s">
        <v>103</v>
      </c>
      <c r="BS16" t="s">
        <v>399</v>
      </c>
      <c r="BT16" t="str">
        <f>HYPERLINK("https%3A%2F%2Fwww.webofscience.com%2Fwos%2Fwoscc%2Ffull-record%2FWOS:000286723300010","View Full Record in Web of Science")</f>
        <v>View Full Record in Web of Science</v>
      </c>
    </row>
    <row r="17" spans="1:72" x14ac:dyDescent="0.15">
      <c r="A17" t="s">
        <v>72</v>
      </c>
      <c r="B17" t="s">
        <v>400</v>
      </c>
      <c r="C17" t="s">
        <v>74</v>
      </c>
      <c r="D17" t="s">
        <v>74</v>
      </c>
      <c r="E17" t="s">
        <v>74</v>
      </c>
      <c r="F17" t="s">
        <v>401</v>
      </c>
      <c r="G17" t="s">
        <v>74</v>
      </c>
      <c r="H17" t="s">
        <v>74</v>
      </c>
      <c r="I17" t="s">
        <v>402</v>
      </c>
      <c r="J17" t="s">
        <v>77</v>
      </c>
      <c r="K17" t="s">
        <v>74</v>
      </c>
      <c r="L17" t="s">
        <v>74</v>
      </c>
      <c r="M17" t="s">
        <v>78</v>
      </c>
      <c r="N17" t="s">
        <v>403</v>
      </c>
      <c r="O17" t="s">
        <v>74</v>
      </c>
      <c r="P17" t="s">
        <v>74</v>
      </c>
      <c r="Q17" t="s">
        <v>74</v>
      </c>
      <c r="R17" t="s">
        <v>74</v>
      </c>
      <c r="S17" t="s">
        <v>74</v>
      </c>
      <c r="T17" t="s">
        <v>74</v>
      </c>
      <c r="U17" t="s">
        <v>74</v>
      </c>
      <c r="V17" t="s">
        <v>74</v>
      </c>
      <c r="W17" t="s">
        <v>404</v>
      </c>
      <c r="X17" t="s">
        <v>405</v>
      </c>
      <c r="Y17" t="s">
        <v>406</v>
      </c>
      <c r="Z17" t="s">
        <v>74</v>
      </c>
      <c r="AA17" t="s">
        <v>74</v>
      </c>
      <c r="AB17" t="s">
        <v>74</v>
      </c>
      <c r="AC17" t="s">
        <v>74</v>
      </c>
      <c r="AD17" t="s">
        <v>74</v>
      </c>
      <c r="AE17" t="s">
        <v>74</v>
      </c>
      <c r="AF17" t="s">
        <v>74</v>
      </c>
      <c r="AG17">
        <v>0</v>
      </c>
      <c r="AH17">
        <v>1</v>
      </c>
      <c r="AI17">
        <v>1</v>
      </c>
      <c r="AJ17">
        <v>0</v>
      </c>
      <c r="AK17">
        <v>5</v>
      </c>
      <c r="AL17" t="s">
        <v>90</v>
      </c>
      <c r="AM17" t="s">
        <v>91</v>
      </c>
      <c r="AN17" t="s">
        <v>92</v>
      </c>
      <c r="AO17" t="s">
        <v>93</v>
      </c>
      <c r="AP17" t="s">
        <v>74</v>
      </c>
      <c r="AQ17" t="s">
        <v>74</v>
      </c>
      <c r="AR17" t="s">
        <v>95</v>
      </c>
      <c r="AS17" t="s">
        <v>96</v>
      </c>
      <c r="AT17" t="s">
        <v>97</v>
      </c>
      <c r="AU17">
        <v>2011</v>
      </c>
      <c r="AV17">
        <v>23</v>
      </c>
      <c r="AW17">
        <v>1</v>
      </c>
      <c r="AX17" t="s">
        <v>74</v>
      </c>
      <c r="AY17" t="s">
        <v>74</v>
      </c>
      <c r="AZ17" t="s">
        <v>74</v>
      </c>
      <c r="BA17" t="s">
        <v>74</v>
      </c>
      <c r="BB17">
        <v>1</v>
      </c>
      <c r="BC17">
        <v>1</v>
      </c>
      <c r="BD17" t="s">
        <v>74</v>
      </c>
      <c r="BE17" t="s">
        <v>407</v>
      </c>
      <c r="BF17" t="str">
        <f>HYPERLINK("http://dx.doi.org/10.1017/S0954102011000010","http://dx.doi.org/10.1017/S0954102011000010")</f>
        <v>http://dx.doi.org/10.1017/S0954102011000010</v>
      </c>
      <c r="BG17" t="s">
        <v>74</v>
      </c>
      <c r="BH17" t="s">
        <v>74</v>
      </c>
      <c r="BI17">
        <v>1</v>
      </c>
      <c r="BJ17" t="s">
        <v>99</v>
      </c>
      <c r="BK17" t="s">
        <v>100</v>
      </c>
      <c r="BL17" t="s">
        <v>101</v>
      </c>
      <c r="BM17" t="s">
        <v>102</v>
      </c>
      <c r="BN17" t="s">
        <v>74</v>
      </c>
      <c r="BO17" t="s">
        <v>252</v>
      </c>
      <c r="BP17" t="s">
        <v>74</v>
      </c>
      <c r="BQ17" t="s">
        <v>74</v>
      </c>
      <c r="BR17" t="s">
        <v>103</v>
      </c>
      <c r="BS17" t="s">
        <v>408</v>
      </c>
      <c r="BT17" t="str">
        <f>HYPERLINK("https%3A%2F%2Fwww.webofscience.com%2Fwos%2Fwoscc%2Ffull-record%2FWOS:000287465600001","View Full Record in Web of Science")</f>
        <v>View Full Record in Web of Science</v>
      </c>
    </row>
    <row r="18" spans="1:72" x14ac:dyDescent="0.15">
      <c r="A18" t="s">
        <v>72</v>
      </c>
      <c r="B18" t="s">
        <v>409</v>
      </c>
      <c r="C18" t="s">
        <v>74</v>
      </c>
      <c r="D18" t="s">
        <v>74</v>
      </c>
      <c r="E18" t="s">
        <v>74</v>
      </c>
      <c r="F18" t="s">
        <v>410</v>
      </c>
      <c r="G18" t="s">
        <v>74</v>
      </c>
      <c r="H18" t="s">
        <v>74</v>
      </c>
      <c r="I18" t="s">
        <v>411</v>
      </c>
      <c r="J18" t="s">
        <v>77</v>
      </c>
      <c r="K18" t="s">
        <v>74</v>
      </c>
      <c r="L18" t="s">
        <v>74</v>
      </c>
      <c r="M18" t="s">
        <v>78</v>
      </c>
      <c r="N18" t="s">
        <v>79</v>
      </c>
      <c r="O18" t="s">
        <v>74</v>
      </c>
      <c r="P18" t="s">
        <v>74</v>
      </c>
      <c r="Q18" t="s">
        <v>74</v>
      </c>
      <c r="R18" t="s">
        <v>74</v>
      </c>
      <c r="S18" t="s">
        <v>74</v>
      </c>
      <c r="T18" t="s">
        <v>412</v>
      </c>
      <c r="U18" t="s">
        <v>413</v>
      </c>
      <c r="V18" t="s">
        <v>414</v>
      </c>
      <c r="W18" t="s">
        <v>415</v>
      </c>
      <c r="X18" t="s">
        <v>416</v>
      </c>
      <c r="Y18" t="s">
        <v>417</v>
      </c>
      <c r="Z18" t="s">
        <v>418</v>
      </c>
      <c r="AA18" t="s">
        <v>419</v>
      </c>
      <c r="AB18" t="s">
        <v>420</v>
      </c>
      <c r="AC18" t="s">
        <v>421</v>
      </c>
      <c r="AD18" t="s">
        <v>422</v>
      </c>
      <c r="AE18" t="s">
        <v>423</v>
      </c>
      <c r="AF18" t="s">
        <v>74</v>
      </c>
      <c r="AG18">
        <v>33</v>
      </c>
      <c r="AH18">
        <v>38</v>
      </c>
      <c r="AI18">
        <v>41</v>
      </c>
      <c r="AJ18">
        <v>0</v>
      </c>
      <c r="AK18">
        <v>21</v>
      </c>
      <c r="AL18" t="s">
        <v>90</v>
      </c>
      <c r="AM18" t="s">
        <v>91</v>
      </c>
      <c r="AN18" t="s">
        <v>92</v>
      </c>
      <c r="AO18" t="s">
        <v>93</v>
      </c>
      <c r="AP18" t="s">
        <v>94</v>
      </c>
      <c r="AQ18" t="s">
        <v>74</v>
      </c>
      <c r="AR18" t="s">
        <v>95</v>
      </c>
      <c r="AS18" t="s">
        <v>96</v>
      </c>
      <c r="AT18" t="s">
        <v>97</v>
      </c>
      <c r="AU18">
        <v>2011</v>
      </c>
      <c r="AV18">
        <v>23</v>
      </c>
      <c r="AW18">
        <v>1</v>
      </c>
      <c r="AX18" t="s">
        <v>74</v>
      </c>
      <c r="AY18" t="s">
        <v>74</v>
      </c>
      <c r="AZ18" t="s">
        <v>74</v>
      </c>
      <c r="BA18" t="s">
        <v>74</v>
      </c>
      <c r="BB18">
        <v>34</v>
      </c>
      <c r="BC18">
        <v>42</v>
      </c>
      <c r="BD18" t="s">
        <v>74</v>
      </c>
      <c r="BE18" t="s">
        <v>424</v>
      </c>
      <c r="BF18" t="str">
        <f>HYPERLINK("http://dx.doi.org/10.1017/S0954102010000593","http://dx.doi.org/10.1017/S0954102010000593")</f>
        <v>http://dx.doi.org/10.1017/S0954102010000593</v>
      </c>
      <c r="BG18" t="s">
        <v>74</v>
      </c>
      <c r="BH18" t="s">
        <v>74</v>
      </c>
      <c r="BI18">
        <v>9</v>
      </c>
      <c r="BJ18" t="s">
        <v>99</v>
      </c>
      <c r="BK18" t="s">
        <v>100</v>
      </c>
      <c r="BL18" t="s">
        <v>101</v>
      </c>
      <c r="BM18" t="s">
        <v>102</v>
      </c>
      <c r="BN18" t="s">
        <v>74</v>
      </c>
      <c r="BO18" t="s">
        <v>425</v>
      </c>
      <c r="BP18" t="s">
        <v>74</v>
      </c>
      <c r="BQ18" t="s">
        <v>74</v>
      </c>
      <c r="BR18" t="s">
        <v>103</v>
      </c>
      <c r="BS18" t="s">
        <v>426</v>
      </c>
      <c r="BT18" t="str">
        <f>HYPERLINK("https%3A%2F%2Fwww.webofscience.com%2Fwos%2Fwoscc%2Ffull-record%2FWOS:000287465600005","View Full Record in Web of Science")</f>
        <v>View Full Record in Web of Science</v>
      </c>
    </row>
    <row r="19" spans="1:72" x14ac:dyDescent="0.15">
      <c r="A19" t="s">
        <v>72</v>
      </c>
      <c r="B19" t="s">
        <v>427</v>
      </c>
      <c r="C19" t="s">
        <v>74</v>
      </c>
      <c r="D19" t="s">
        <v>74</v>
      </c>
      <c r="E19" t="s">
        <v>74</v>
      </c>
      <c r="F19" t="s">
        <v>428</v>
      </c>
      <c r="G19" t="s">
        <v>74</v>
      </c>
      <c r="H19" t="s">
        <v>74</v>
      </c>
      <c r="I19" t="s">
        <v>429</v>
      </c>
      <c r="J19" t="s">
        <v>77</v>
      </c>
      <c r="K19" t="s">
        <v>74</v>
      </c>
      <c r="L19" t="s">
        <v>74</v>
      </c>
      <c r="M19" t="s">
        <v>78</v>
      </c>
      <c r="N19" t="s">
        <v>79</v>
      </c>
      <c r="O19" t="s">
        <v>74</v>
      </c>
      <c r="P19" t="s">
        <v>74</v>
      </c>
      <c r="Q19" t="s">
        <v>74</v>
      </c>
      <c r="R19" t="s">
        <v>74</v>
      </c>
      <c r="S19" t="s">
        <v>74</v>
      </c>
      <c r="T19" t="s">
        <v>430</v>
      </c>
      <c r="U19" t="s">
        <v>431</v>
      </c>
      <c r="V19" t="s">
        <v>432</v>
      </c>
      <c r="W19" t="s">
        <v>433</v>
      </c>
      <c r="X19" t="s">
        <v>434</v>
      </c>
      <c r="Y19" t="s">
        <v>435</v>
      </c>
      <c r="Z19" t="s">
        <v>436</v>
      </c>
      <c r="AA19" t="s">
        <v>437</v>
      </c>
      <c r="AB19" t="s">
        <v>438</v>
      </c>
      <c r="AC19" t="s">
        <v>439</v>
      </c>
      <c r="AD19" t="s">
        <v>440</v>
      </c>
      <c r="AE19" t="s">
        <v>441</v>
      </c>
      <c r="AF19" t="s">
        <v>74</v>
      </c>
      <c r="AG19">
        <v>46</v>
      </c>
      <c r="AH19">
        <v>27</v>
      </c>
      <c r="AI19">
        <v>29</v>
      </c>
      <c r="AJ19">
        <v>0</v>
      </c>
      <c r="AK19">
        <v>37</v>
      </c>
      <c r="AL19" t="s">
        <v>90</v>
      </c>
      <c r="AM19" t="s">
        <v>91</v>
      </c>
      <c r="AN19" t="s">
        <v>92</v>
      </c>
      <c r="AO19" t="s">
        <v>93</v>
      </c>
      <c r="AP19" t="s">
        <v>94</v>
      </c>
      <c r="AQ19" t="s">
        <v>74</v>
      </c>
      <c r="AR19" t="s">
        <v>95</v>
      </c>
      <c r="AS19" t="s">
        <v>96</v>
      </c>
      <c r="AT19" t="s">
        <v>97</v>
      </c>
      <c r="AU19">
        <v>2011</v>
      </c>
      <c r="AV19">
        <v>23</v>
      </c>
      <c r="AW19">
        <v>1</v>
      </c>
      <c r="AX19" t="s">
        <v>74</v>
      </c>
      <c r="AY19" t="s">
        <v>74</v>
      </c>
      <c r="AZ19" t="s">
        <v>74</v>
      </c>
      <c r="BA19" t="s">
        <v>74</v>
      </c>
      <c r="BB19">
        <v>65</v>
      </c>
      <c r="BC19">
        <v>77</v>
      </c>
      <c r="BD19" t="s">
        <v>74</v>
      </c>
      <c r="BE19" t="s">
        <v>442</v>
      </c>
      <c r="BF19" t="str">
        <f>HYPERLINK("http://dx.doi.org/10.1017/S0954102010000684","http://dx.doi.org/10.1017/S0954102010000684")</f>
        <v>http://dx.doi.org/10.1017/S0954102010000684</v>
      </c>
      <c r="BG19" t="s">
        <v>74</v>
      </c>
      <c r="BH19" t="s">
        <v>74</v>
      </c>
      <c r="BI19">
        <v>13</v>
      </c>
      <c r="BJ19" t="s">
        <v>99</v>
      </c>
      <c r="BK19" t="s">
        <v>100</v>
      </c>
      <c r="BL19" t="s">
        <v>101</v>
      </c>
      <c r="BM19" t="s">
        <v>102</v>
      </c>
      <c r="BN19" t="s">
        <v>74</v>
      </c>
      <c r="BO19" t="s">
        <v>425</v>
      </c>
      <c r="BP19" t="s">
        <v>74</v>
      </c>
      <c r="BQ19" t="s">
        <v>74</v>
      </c>
      <c r="BR19" t="s">
        <v>103</v>
      </c>
      <c r="BS19" t="s">
        <v>443</v>
      </c>
      <c r="BT19" t="str">
        <f>HYPERLINK("https%3A%2F%2Fwww.webofscience.com%2Fwos%2Fwoscc%2Ffull-record%2FWOS:000287465600008","View Full Record in Web of Science")</f>
        <v>View Full Record in Web of Science</v>
      </c>
    </row>
    <row r="20" spans="1:72" x14ac:dyDescent="0.15">
      <c r="A20" t="s">
        <v>72</v>
      </c>
      <c r="B20" t="s">
        <v>444</v>
      </c>
      <c r="C20" t="s">
        <v>74</v>
      </c>
      <c r="D20" t="s">
        <v>74</v>
      </c>
      <c r="E20" t="s">
        <v>74</v>
      </c>
      <c r="F20" t="s">
        <v>445</v>
      </c>
      <c r="G20" t="s">
        <v>74</v>
      </c>
      <c r="H20" t="s">
        <v>74</v>
      </c>
      <c r="I20" t="s">
        <v>446</v>
      </c>
      <c r="J20" t="s">
        <v>77</v>
      </c>
      <c r="K20" t="s">
        <v>74</v>
      </c>
      <c r="L20" t="s">
        <v>74</v>
      </c>
      <c r="M20" t="s">
        <v>78</v>
      </c>
      <c r="N20" t="s">
        <v>79</v>
      </c>
      <c r="O20" t="s">
        <v>74</v>
      </c>
      <c r="P20" t="s">
        <v>74</v>
      </c>
      <c r="Q20" t="s">
        <v>74</v>
      </c>
      <c r="R20" t="s">
        <v>74</v>
      </c>
      <c r="S20" t="s">
        <v>74</v>
      </c>
      <c r="T20" t="s">
        <v>447</v>
      </c>
      <c r="U20" t="s">
        <v>448</v>
      </c>
      <c r="V20" t="s">
        <v>449</v>
      </c>
      <c r="W20" t="s">
        <v>450</v>
      </c>
      <c r="X20" t="s">
        <v>451</v>
      </c>
      <c r="Y20" t="s">
        <v>452</v>
      </c>
      <c r="Z20" t="s">
        <v>453</v>
      </c>
      <c r="AA20" t="s">
        <v>74</v>
      </c>
      <c r="AB20" t="s">
        <v>454</v>
      </c>
      <c r="AC20" t="s">
        <v>455</v>
      </c>
      <c r="AD20" t="s">
        <v>455</v>
      </c>
      <c r="AE20" t="s">
        <v>456</v>
      </c>
      <c r="AF20" t="s">
        <v>74</v>
      </c>
      <c r="AG20">
        <v>37</v>
      </c>
      <c r="AH20">
        <v>54</v>
      </c>
      <c r="AI20">
        <v>58</v>
      </c>
      <c r="AJ20">
        <v>1</v>
      </c>
      <c r="AK20">
        <v>17</v>
      </c>
      <c r="AL20" t="s">
        <v>90</v>
      </c>
      <c r="AM20" t="s">
        <v>91</v>
      </c>
      <c r="AN20" t="s">
        <v>92</v>
      </c>
      <c r="AO20" t="s">
        <v>93</v>
      </c>
      <c r="AP20" t="s">
        <v>94</v>
      </c>
      <c r="AQ20" t="s">
        <v>74</v>
      </c>
      <c r="AR20" t="s">
        <v>95</v>
      </c>
      <c r="AS20" t="s">
        <v>96</v>
      </c>
      <c r="AT20" t="s">
        <v>97</v>
      </c>
      <c r="AU20">
        <v>2011</v>
      </c>
      <c r="AV20">
        <v>23</v>
      </c>
      <c r="AW20">
        <v>1</v>
      </c>
      <c r="AX20" t="s">
        <v>74</v>
      </c>
      <c r="AY20" t="s">
        <v>74</v>
      </c>
      <c r="AZ20" t="s">
        <v>74</v>
      </c>
      <c r="BA20" t="s">
        <v>74</v>
      </c>
      <c r="BB20">
        <v>95</v>
      </c>
      <c r="BC20">
        <v>103</v>
      </c>
      <c r="BD20" t="s">
        <v>74</v>
      </c>
      <c r="BE20" t="s">
        <v>457</v>
      </c>
      <c r="BF20" t="str">
        <f>HYPERLINK("http://dx.doi.org/10.1017/S095410201000074X","http://dx.doi.org/10.1017/S095410201000074X")</f>
        <v>http://dx.doi.org/10.1017/S095410201000074X</v>
      </c>
      <c r="BG20" t="s">
        <v>74</v>
      </c>
      <c r="BH20" t="s">
        <v>74</v>
      </c>
      <c r="BI20">
        <v>9</v>
      </c>
      <c r="BJ20" t="s">
        <v>99</v>
      </c>
      <c r="BK20" t="s">
        <v>100</v>
      </c>
      <c r="BL20" t="s">
        <v>101</v>
      </c>
      <c r="BM20" t="s">
        <v>102</v>
      </c>
      <c r="BN20" t="s">
        <v>74</v>
      </c>
      <c r="BO20" t="s">
        <v>74</v>
      </c>
      <c r="BP20" t="s">
        <v>74</v>
      </c>
      <c r="BQ20" t="s">
        <v>74</v>
      </c>
      <c r="BR20" t="s">
        <v>103</v>
      </c>
      <c r="BS20" t="s">
        <v>458</v>
      </c>
      <c r="BT20" t="str">
        <f>HYPERLINK("https%3A%2F%2Fwww.webofscience.com%2Fwos%2Fwoscc%2Ffull-record%2FWOS:000287465600011","View Full Record in Web of Science")</f>
        <v>View Full Record in Web of Science</v>
      </c>
    </row>
    <row r="21" spans="1:72" x14ac:dyDescent="0.15">
      <c r="A21" t="s">
        <v>72</v>
      </c>
      <c r="B21" t="s">
        <v>459</v>
      </c>
      <c r="C21" t="s">
        <v>74</v>
      </c>
      <c r="D21" t="s">
        <v>74</v>
      </c>
      <c r="E21" t="s">
        <v>74</v>
      </c>
      <c r="F21" t="s">
        <v>460</v>
      </c>
      <c r="G21" t="s">
        <v>74</v>
      </c>
      <c r="H21" t="s">
        <v>74</v>
      </c>
      <c r="I21" t="s">
        <v>461</v>
      </c>
      <c r="J21" t="s">
        <v>462</v>
      </c>
      <c r="K21" t="s">
        <v>74</v>
      </c>
      <c r="L21" t="s">
        <v>74</v>
      </c>
      <c r="M21" t="s">
        <v>78</v>
      </c>
      <c r="N21" t="s">
        <v>79</v>
      </c>
      <c r="O21" t="s">
        <v>74</v>
      </c>
      <c r="P21" t="s">
        <v>74</v>
      </c>
      <c r="Q21" t="s">
        <v>74</v>
      </c>
      <c r="R21" t="s">
        <v>74</v>
      </c>
      <c r="S21" t="s">
        <v>74</v>
      </c>
      <c r="T21" t="s">
        <v>74</v>
      </c>
      <c r="U21" t="s">
        <v>463</v>
      </c>
      <c r="V21" t="s">
        <v>464</v>
      </c>
      <c r="W21" t="s">
        <v>465</v>
      </c>
      <c r="X21" t="s">
        <v>466</v>
      </c>
      <c r="Y21" t="s">
        <v>467</v>
      </c>
      <c r="Z21" t="s">
        <v>468</v>
      </c>
      <c r="AA21" t="s">
        <v>469</v>
      </c>
      <c r="AB21" t="s">
        <v>470</v>
      </c>
      <c r="AC21" t="s">
        <v>471</v>
      </c>
      <c r="AD21" t="s">
        <v>472</v>
      </c>
      <c r="AE21" t="s">
        <v>473</v>
      </c>
      <c r="AF21" t="s">
        <v>74</v>
      </c>
      <c r="AG21">
        <v>72</v>
      </c>
      <c r="AH21">
        <v>19</v>
      </c>
      <c r="AI21">
        <v>23</v>
      </c>
      <c r="AJ21">
        <v>1</v>
      </c>
      <c r="AK21">
        <v>51</v>
      </c>
      <c r="AL21" t="s">
        <v>474</v>
      </c>
      <c r="AM21" t="s">
        <v>475</v>
      </c>
      <c r="AN21" t="s">
        <v>476</v>
      </c>
      <c r="AO21" t="s">
        <v>477</v>
      </c>
      <c r="AP21" t="s">
        <v>478</v>
      </c>
      <c r="AQ21" t="s">
        <v>74</v>
      </c>
      <c r="AR21" t="s">
        <v>479</v>
      </c>
      <c r="AS21" t="s">
        <v>480</v>
      </c>
      <c r="AT21" t="s">
        <v>97</v>
      </c>
      <c r="AU21">
        <v>2011</v>
      </c>
      <c r="AV21">
        <v>43</v>
      </c>
      <c r="AW21">
        <v>1</v>
      </c>
      <c r="AX21" t="s">
        <v>74</v>
      </c>
      <c r="AY21" t="s">
        <v>74</v>
      </c>
      <c r="AZ21" t="s">
        <v>74</v>
      </c>
      <c r="BA21" t="s">
        <v>74</v>
      </c>
      <c r="BB21">
        <v>35</v>
      </c>
      <c r="BC21">
        <v>45</v>
      </c>
      <c r="BD21" t="s">
        <v>74</v>
      </c>
      <c r="BE21" t="s">
        <v>481</v>
      </c>
      <c r="BF21" t="str">
        <f>HYPERLINK("http://dx.doi.org/10.1657/1938-4246-43.1.35","http://dx.doi.org/10.1657/1938-4246-43.1.35")</f>
        <v>http://dx.doi.org/10.1657/1938-4246-43.1.35</v>
      </c>
      <c r="BG21" t="s">
        <v>74</v>
      </c>
      <c r="BH21" t="s">
        <v>74</v>
      </c>
      <c r="BI21">
        <v>11</v>
      </c>
      <c r="BJ21" t="s">
        <v>482</v>
      </c>
      <c r="BK21" t="s">
        <v>100</v>
      </c>
      <c r="BL21" t="s">
        <v>483</v>
      </c>
      <c r="BM21" t="s">
        <v>484</v>
      </c>
      <c r="BN21" t="s">
        <v>74</v>
      </c>
      <c r="BO21" t="s">
        <v>375</v>
      </c>
      <c r="BP21" t="s">
        <v>74</v>
      </c>
      <c r="BQ21" t="s">
        <v>74</v>
      </c>
      <c r="BR21" t="s">
        <v>103</v>
      </c>
      <c r="BS21" t="s">
        <v>485</v>
      </c>
      <c r="BT21" t="str">
        <f>HYPERLINK("https%3A%2F%2Fwww.webofscience.com%2Fwos%2Fwoscc%2Ffull-record%2FWOS:000288633400004","View Full Record in Web of Science")</f>
        <v>View Full Record in Web of Science</v>
      </c>
    </row>
    <row r="22" spans="1:72" x14ac:dyDescent="0.15">
      <c r="A22" t="s">
        <v>72</v>
      </c>
      <c r="B22" t="s">
        <v>486</v>
      </c>
      <c r="C22" t="s">
        <v>74</v>
      </c>
      <c r="D22" t="s">
        <v>74</v>
      </c>
      <c r="E22" t="s">
        <v>74</v>
      </c>
      <c r="F22" t="s">
        <v>487</v>
      </c>
      <c r="G22" t="s">
        <v>74</v>
      </c>
      <c r="H22" t="s">
        <v>74</v>
      </c>
      <c r="I22" t="s">
        <v>488</v>
      </c>
      <c r="J22" t="s">
        <v>462</v>
      </c>
      <c r="K22" t="s">
        <v>74</v>
      </c>
      <c r="L22" t="s">
        <v>74</v>
      </c>
      <c r="M22" t="s">
        <v>78</v>
      </c>
      <c r="N22" t="s">
        <v>79</v>
      </c>
      <c r="O22" t="s">
        <v>74</v>
      </c>
      <c r="P22" t="s">
        <v>74</v>
      </c>
      <c r="Q22" t="s">
        <v>74</v>
      </c>
      <c r="R22" t="s">
        <v>74</v>
      </c>
      <c r="S22" t="s">
        <v>74</v>
      </c>
      <c r="T22" t="s">
        <v>74</v>
      </c>
      <c r="U22" t="s">
        <v>489</v>
      </c>
      <c r="V22" t="s">
        <v>490</v>
      </c>
      <c r="W22" t="s">
        <v>491</v>
      </c>
      <c r="X22" t="s">
        <v>492</v>
      </c>
      <c r="Y22" t="s">
        <v>493</v>
      </c>
      <c r="Z22" t="s">
        <v>494</v>
      </c>
      <c r="AA22" t="s">
        <v>74</v>
      </c>
      <c r="AB22" t="s">
        <v>74</v>
      </c>
      <c r="AC22" t="s">
        <v>74</v>
      </c>
      <c r="AD22" t="s">
        <v>74</v>
      </c>
      <c r="AE22" t="s">
        <v>74</v>
      </c>
      <c r="AF22" t="s">
        <v>74</v>
      </c>
      <c r="AG22">
        <v>85</v>
      </c>
      <c r="AH22">
        <v>23</v>
      </c>
      <c r="AI22">
        <v>28</v>
      </c>
      <c r="AJ22">
        <v>0</v>
      </c>
      <c r="AK22">
        <v>40</v>
      </c>
      <c r="AL22" t="s">
        <v>495</v>
      </c>
      <c r="AM22" t="s">
        <v>496</v>
      </c>
      <c r="AN22" t="s">
        <v>497</v>
      </c>
      <c r="AO22" t="s">
        <v>477</v>
      </c>
      <c r="AP22" t="s">
        <v>74</v>
      </c>
      <c r="AQ22" t="s">
        <v>74</v>
      </c>
      <c r="AR22" t="s">
        <v>479</v>
      </c>
      <c r="AS22" t="s">
        <v>480</v>
      </c>
      <c r="AT22" t="s">
        <v>97</v>
      </c>
      <c r="AU22">
        <v>2011</v>
      </c>
      <c r="AV22">
        <v>43</v>
      </c>
      <c r="AW22">
        <v>1</v>
      </c>
      <c r="AX22" t="s">
        <v>74</v>
      </c>
      <c r="AY22" t="s">
        <v>74</v>
      </c>
      <c r="AZ22" t="s">
        <v>74</v>
      </c>
      <c r="BA22" t="s">
        <v>74</v>
      </c>
      <c r="BB22">
        <v>46</v>
      </c>
      <c r="BC22">
        <v>55</v>
      </c>
      <c r="BD22" t="s">
        <v>74</v>
      </c>
      <c r="BE22" t="s">
        <v>498</v>
      </c>
      <c r="BF22" t="str">
        <f>HYPERLINK("http://dx.doi.org/10.1657/1938-4246-43.1.46","http://dx.doi.org/10.1657/1938-4246-43.1.46")</f>
        <v>http://dx.doi.org/10.1657/1938-4246-43.1.46</v>
      </c>
      <c r="BG22" t="s">
        <v>74</v>
      </c>
      <c r="BH22" t="s">
        <v>74</v>
      </c>
      <c r="BI22">
        <v>10</v>
      </c>
      <c r="BJ22" t="s">
        <v>482</v>
      </c>
      <c r="BK22" t="s">
        <v>100</v>
      </c>
      <c r="BL22" t="s">
        <v>483</v>
      </c>
      <c r="BM22" t="s">
        <v>484</v>
      </c>
      <c r="BN22" t="s">
        <v>74</v>
      </c>
      <c r="BO22" t="s">
        <v>138</v>
      </c>
      <c r="BP22" t="s">
        <v>74</v>
      </c>
      <c r="BQ22" t="s">
        <v>74</v>
      </c>
      <c r="BR22" t="s">
        <v>103</v>
      </c>
      <c r="BS22" t="s">
        <v>499</v>
      </c>
      <c r="BT22" t="str">
        <f>HYPERLINK("https%3A%2F%2Fwww.webofscience.com%2Fwos%2Fwoscc%2Ffull-record%2FWOS:000288633400005","View Full Record in Web of Science")</f>
        <v>View Full Record in Web of Science</v>
      </c>
    </row>
    <row r="23" spans="1:72" x14ac:dyDescent="0.15">
      <c r="A23" t="s">
        <v>72</v>
      </c>
      <c r="B23" t="s">
        <v>500</v>
      </c>
      <c r="C23" t="s">
        <v>74</v>
      </c>
      <c r="D23" t="s">
        <v>74</v>
      </c>
      <c r="E23" t="s">
        <v>74</v>
      </c>
      <c r="F23" t="s">
        <v>501</v>
      </c>
      <c r="G23" t="s">
        <v>74</v>
      </c>
      <c r="H23" t="s">
        <v>74</v>
      </c>
      <c r="I23" t="s">
        <v>502</v>
      </c>
      <c r="J23" t="s">
        <v>462</v>
      </c>
      <c r="K23" t="s">
        <v>74</v>
      </c>
      <c r="L23" t="s">
        <v>74</v>
      </c>
      <c r="M23" t="s">
        <v>78</v>
      </c>
      <c r="N23" t="s">
        <v>79</v>
      </c>
      <c r="O23" t="s">
        <v>74</v>
      </c>
      <c r="P23" t="s">
        <v>74</v>
      </c>
      <c r="Q23" t="s">
        <v>74</v>
      </c>
      <c r="R23" t="s">
        <v>74</v>
      </c>
      <c r="S23" t="s">
        <v>74</v>
      </c>
      <c r="T23" t="s">
        <v>74</v>
      </c>
      <c r="U23" t="s">
        <v>503</v>
      </c>
      <c r="V23" t="s">
        <v>504</v>
      </c>
      <c r="W23" t="s">
        <v>505</v>
      </c>
      <c r="X23" t="s">
        <v>506</v>
      </c>
      <c r="Y23" t="s">
        <v>507</v>
      </c>
      <c r="Z23" t="s">
        <v>508</v>
      </c>
      <c r="AA23" t="s">
        <v>509</v>
      </c>
      <c r="AB23" t="s">
        <v>510</v>
      </c>
      <c r="AC23" t="s">
        <v>511</v>
      </c>
      <c r="AD23" t="s">
        <v>512</v>
      </c>
      <c r="AE23" t="s">
        <v>513</v>
      </c>
      <c r="AF23" t="s">
        <v>74</v>
      </c>
      <c r="AG23">
        <v>54</v>
      </c>
      <c r="AH23">
        <v>18</v>
      </c>
      <c r="AI23">
        <v>18</v>
      </c>
      <c r="AJ23">
        <v>0</v>
      </c>
      <c r="AK23">
        <v>15</v>
      </c>
      <c r="AL23" t="s">
        <v>495</v>
      </c>
      <c r="AM23" t="s">
        <v>496</v>
      </c>
      <c r="AN23" t="s">
        <v>497</v>
      </c>
      <c r="AO23" t="s">
        <v>477</v>
      </c>
      <c r="AP23" t="s">
        <v>478</v>
      </c>
      <c r="AQ23" t="s">
        <v>74</v>
      </c>
      <c r="AR23" t="s">
        <v>479</v>
      </c>
      <c r="AS23" t="s">
        <v>480</v>
      </c>
      <c r="AT23" t="s">
        <v>97</v>
      </c>
      <c r="AU23">
        <v>2011</v>
      </c>
      <c r="AV23">
        <v>43</v>
      </c>
      <c r="AW23">
        <v>1</v>
      </c>
      <c r="AX23" t="s">
        <v>74</v>
      </c>
      <c r="AY23" t="s">
        <v>74</v>
      </c>
      <c r="AZ23" t="s">
        <v>74</v>
      </c>
      <c r="BA23" t="s">
        <v>74</v>
      </c>
      <c r="BB23">
        <v>56</v>
      </c>
      <c r="BC23">
        <v>65</v>
      </c>
      <c r="BD23" t="s">
        <v>74</v>
      </c>
      <c r="BE23" t="s">
        <v>514</v>
      </c>
      <c r="BF23" t="str">
        <f>HYPERLINK("http://dx.doi.org/10.1657/1938-4246-43.1.56","http://dx.doi.org/10.1657/1938-4246-43.1.56")</f>
        <v>http://dx.doi.org/10.1657/1938-4246-43.1.56</v>
      </c>
      <c r="BG23" t="s">
        <v>74</v>
      </c>
      <c r="BH23" t="s">
        <v>74</v>
      </c>
      <c r="BI23">
        <v>10</v>
      </c>
      <c r="BJ23" t="s">
        <v>482</v>
      </c>
      <c r="BK23" t="s">
        <v>100</v>
      </c>
      <c r="BL23" t="s">
        <v>483</v>
      </c>
      <c r="BM23" t="s">
        <v>484</v>
      </c>
      <c r="BN23" t="s">
        <v>74</v>
      </c>
      <c r="BO23" t="s">
        <v>515</v>
      </c>
      <c r="BP23" t="s">
        <v>74</v>
      </c>
      <c r="BQ23" t="s">
        <v>74</v>
      </c>
      <c r="BR23" t="s">
        <v>103</v>
      </c>
      <c r="BS23" t="s">
        <v>516</v>
      </c>
      <c r="BT23" t="str">
        <f>HYPERLINK("https%3A%2F%2Fwww.webofscience.com%2Fwos%2Fwoscc%2Ffull-record%2FWOS:000288633400006","View Full Record in Web of Science")</f>
        <v>View Full Record in Web of Science</v>
      </c>
    </row>
    <row r="24" spans="1:72" x14ac:dyDescent="0.15">
      <c r="A24" t="s">
        <v>72</v>
      </c>
      <c r="B24" t="s">
        <v>517</v>
      </c>
      <c r="C24" t="s">
        <v>74</v>
      </c>
      <c r="D24" t="s">
        <v>74</v>
      </c>
      <c r="E24" t="s">
        <v>74</v>
      </c>
      <c r="F24" t="s">
        <v>518</v>
      </c>
      <c r="G24" t="s">
        <v>74</v>
      </c>
      <c r="H24" t="s">
        <v>74</v>
      </c>
      <c r="I24" t="s">
        <v>519</v>
      </c>
      <c r="J24" t="s">
        <v>462</v>
      </c>
      <c r="K24" t="s">
        <v>74</v>
      </c>
      <c r="L24" t="s">
        <v>74</v>
      </c>
      <c r="M24" t="s">
        <v>78</v>
      </c>
      <c r="N24" t="s">
        <v>79</v>
      </c>
      <c r="O24" t="s">
        <v>74</v>
      </c>
      <c r="P24" t="s">
        <v>74</v>
      </c>
      <c r="Q24" t="s">
        <v>74</v>
      </c>
      <c r="R24" t="s">
        <v>74</v>
      </c>
      <c r="S24" t="s">
        <v>74</v>
      </c>
      <c r="T24" t="s">
        <v>74</v>
      </c>
      <c r="U24" t="s">
        <v>520</v>
      </c>
      <c r="V24" t="s">
        <v>521</v>
      </c>
      <c r="W24" t="s">
        <v>522</v>
      </c>
      <c r="X24" t="s">
        <v>523</v>
      </c>
      <c r="Y24" t="s">
        <v>524</v>
      </c>
      <c r="Z24" t="s">
        <v>525</v>
      </c>
      <c r="AA24" t="s">
        <v>526</v>
      </c>
      <c r="AB24" t="s">
        <v>527</v>
      </c>
      <c r="AC24" t="s">
        <v>528</v>
      </c>
      <c r="AD24" t="s">
        <v>529</v>
      </c>
      <c r="AE24" t="s">
        <v>530</v>
      </c>
      <c r="AF24" t="s">
        <v>74</v>
      </c>
      <c r="AG24">
        <v>30</v>
      </c>
      <c r="AH24">
        <v>13</v>
      </c>
      <c r="AI24">
        <v>14</v>
      </c>
      <c r="AJ24">
        <v>0</v>
      </c>
      <c r="AK24">
        <v>16</v>
      </c>
      <c r="AL24" t="s">
        <v>474</v>
      </c>
      <c r="AM24" t="s">
        <v>475</v>
      </c>
      <c r="AN24" t="s">
        <v>476</v>
      </c>
      <c r="AO24" t="s">
        <v>477</v>
      </c>
      <c r="AP24" t="s">
        <v>478</v>
      </c>
      <c r="AQ24" t="s">
        <v>74</v>
      </c>
      <c r="AR24" t="s">
        <v>479</v>
      </c>
      <c r="AS24" t="s">
        <v>480</v>
      </c>
      <c r="AT24" t="s">
        <v>97</v>
      </c>
      <c r="AU24">
        <v>2011</v>
      </c>
      <c r="AV24">
        <v>43</v>
      </c>
      <c r="AW24">
        <v>1</v>
      </c>
      <c r="AX24" t="s">
        <v>74</v>
      </c>
      <c r="AY24" t="s">
        <v>74</v>
      </c>
      <c r="AZ24" t="s">
        <v>74</v>
      </c>
      <c r="BA24" t="s">
        <v>74</v>
      </c>
      <c r="BB24">
        <v>66</v>
      </c>
      <c r="BC24">
        <v>72</v>
      </c>
      <c r="BD24" t="s">
        <v>74</v>
      </c>
      <c r="BE24" t="s">
        <v>531</v>
      </c>
      <c r="BF24" t="str">
        <f>HYPERLINK("http://dx.doi.org/10.1657/1938-4246-43.1.66","http://dx.doi.org/10.1657/1938-4246-43.1.66")</f>
        <v>http://dx.doi.org/10.1657/1938-4246-43.1.66</v>
      </c>
      <c r="BG24" t="s">
        <v>74</v>
      </c>
      <c r="BH24" t="s">
        <v>74</v>
      </c>
      <c r="BI24">
        <v>7</v>
      </c>
      <c r="BJ24" t="s">
        <v>482</v>
      </c>
      <c r="BK24" t="s">
        <v>100</v>
      </c>
      <c r="BL24" t="s">
        <v>483</v>
      </c>
      <c r="BM24" t="s">
        <v>484</v>
      </c>
      <c r="BN24" t="s">
        <v>74</v>
      </c>
      <c r="BO24" t="s">
        <v>138</v>
      </c>
      <c r="BP24" t="s">
        <v>74</v>
      </c>
      <c r="BQ24" t="s">
        <v>74</v>
      </c>
      <c r="BR24" t="s">
        <v>103</v>
      </c>
      <c r="BS24" t="s">
        <v>532</v>
      </c>
      <c r="BT24" t="str">
        <f>HYPERLINK("https%3A%2F%2Fwww.webofscience.com%2Fwos%2Fwoscc%2Ffull-record%2FWOS:000288633400007","View Full Record in Web of Science")</f>
        <v>View Full Record in Web of Science</v>
      </c>
    </row>
    <row r="25" spans="1:72" x14ac:dyDescent="0.15">
      <c r="A25" t="s">
        <v>72</v>
      </c>
      <c r="B25" t="s">
        <v>533</v>
      </c>
      <c r="C25" t="s">
        <v>74</v>
      </c>
      <c r="D25" t="s">
        <v>74</v>
      </c>
      <c r="E25" t="s">
        <v>74</v>
      </c>
      <c r="F25" t="s">
        <v>534</v>
      </c>
      <c r="G25" t="s">
        <v>74</v>
      </c>
      <c r="H25" t="s">
        <v>74</v>
      </c>
      <c r="I25" t="s">
        <v>535</v>
      </c>
      <c r="J25" t="s">
        <v>462</v>
      </c>
      <c r="K25" t="s">
        <v>74</v>
      </c>
      <c r="L25" t="s">
        <v>74</v>
      </c>
      <c r="M25" t="s">
        <v>78</v>
      </c>
      <c r="N25" t="s">
        <v>79</v>
      </c>
      <c r="O25" t="s">
        <v>74</v>
      </c>
      <c r="P25" t="s">
        <v>74</v>
      </c>
      <c r="Q25" t="s">
        <v>74</v>
      </c>
      <c r="R25" t="s">
        <v>74</v>
      </c>
      <c r="S25" t="s">
        <v>74</v>
      </c>
      <c r="T25" t="s">
        <v>74</v>
      </c>
      <c r="U25" t="s">
        <v>536</v>
      </c>
      <c r="V25" t="s">
        <v>537</v>
      </c>
      <c r="W25" t="s">
        <v>538</v>
      </c>
      <c r="X25" t="s">
        <v>539</v>
      </c>
      <c r="Y25" t="s">
        <v>540</v>
      </c>
      <c r="Z25" t="s">
        <v>541</v>
      </c>
      <c r="AA25" t="s">
        <v>542</v>
      </c>
      <c r="AB25" t="s">
        <v>543</v>
      </c>
      <c r="AC25" t="s">
        <v>544</v>
      </c>
      <c r="AD25" t="s">
        <v>545</v>
      </c>
      <c r="AE25" t="s">
        <v>546</v>
      </c>
      <c r="AF25" t="s">
        <v>74</v>
      </c>
      <c r="AG25">
        <v>81</v>
      </c>
      <c r="AH25">
        <v>41</v>
      </c>
      <c r="AI25">
        <v>52</v>
      </c>
      <c r="AJ25">
        <v>4</v>
      </c>
      <c r="AK25">
        <v>87</v>
      </c>
      <c r="AL25" t="s">
        <v>474</v>
      </c>
      <c r="AM25" t="s">
        <v>475</v>
      </c>
      <c r="AN25" t="s">
        <v>476</v>
      </c>
      <c r="AO25" t="s">
        <v>477</v>
      </c>
      <c r="AP25" t="s">
        <v>478</v>
      </c>
      <c r="AQ25" t="s">
        <v>74</v>
      </c>
      <c r="AR25" t="s">
        <v>479</v>
      </c>
      <c r="AS25" t="s">
        <v>480</v>
      </c>
      <c r="AT25" t="s">
        <v>97</v>
      </c>
      <c r="AU25">
        <v>2011</v>
      </c>
      <c r="AV25">
        <v>43</v>
      </c>
      <c r="AW25">
        <v>1</v>
      </c>
      <c r="AX25" t="s">
        <v>74</v>
      </c>
      <c r="AY25" t="s">
        <v>74</v>
      </c>
      <c r="AZ25" t="s">
        <v>74</v>
      </c>
      <c r="BA25" t="s">
        <v>74</v>
      </c>
      <c r="BB25">
        <v>95</v>
      </c>
      <c r="BC25">
        <v>106</v>
      </c>
      <c r="BD25" t="s">
        <v>74</v>
      </c>
      <c r="BE25" t="s">
        <v>547</v>
      </c>
      <c r="BF25" t="str">
        <f>HYPERLINK("http://dx.doi.org/10.1657/1938-4246-43.1.95","http://dx.doi.org/10.1657/1938-4246-43.1.95")</f>
        <v>http://dx.doi.org/10.1657/1938-4246-43.1.95</v>
      </c>
      <c r="BG25" t="s">
        <v>74</v>
      </c>
      <c r="BH25" t="s">
        <v>74</v>
      </c>
      <c r="BI25">
        <v>12</v>
      </c>
      <c r="BJ25" t="s">
        <v>482</v>
      </c>
      <c r="BK25" t="s">
        <v>100</v>
      </c>
      <c r="BL25" t="s">
        <v>483</v>
      </c>
      <c r="BM25" t="s">
        <v>484</v>
      </c>
      <c r="BN25" t="s">
        <v>74</v>
      </c>
      <c r="BO25" t="s">
        <v>375</v>
      </c>
      <c r="BP25" t="s">
        <v>74</v>
      </c>
      <c r="BQ25" t="s">
        <v>74</v>
      </c>
      <c r="BR25" t="s">
        <v>103</v>
      </c>
      <c r="BS25" t="s">
        <v>548</v>
      </c>
      <c r="BT25" t="str">
        <f>HYPERLINK("https%3A%2F%2Fwww.webofscience.com%2Fwos%2Fwoscc%2Ffull-record%2FWOS:000288633400010","View Full Record in Web of Science")</f>
        <v>View Full Record in Web of Science</v>
      </c>
    </row>
    <row r="26" spans="1:72" x14ac:dyDescent="0.15">
      <c r="A26" t="s">
        <v>72</v>
      </c>
      <c r="B26" t="s">
        <v>549</v>
      </c>
      <c r="C26" t="s">
        <v>74</v>
      </c>
      <c r="D26" t="s">
        <v>74</v>
      </c>
      <c r="E26" t="s">
        <v>74</v>
      </c>
      <c r="F26" t="s">
        <v>550</v>
      </c>
      <c r="G26" t="s">
        <v>74</v>
      </c>
      <c r="H26" t="s">
        <v>74</v>
      </c>
      <c r="I26" t="s">
        <v>551</v>
      </c>
      <c r="J26" t="s">
        <v>462</v>
      </c>
      <c r="K26" t="s">
        <v>74</v>
      </c>
      <c r="L26" t="s">
        <v>74</v>
      </c>
      <c r="M26" t="s">
        <v>78</v>
      </c>
      <c r="N26" t="s">
        <v>79</v>
      </c>
      <c r="O26" t="s">
        <v>74</v>
      </c>
      <c r="P26" t="s">
        <v>74</v>
      </c>
      <c r="Q26" t="s">
        <v>74</v>
      </c>
      <c r="R26" t="s">
        <v>74</v>
      </c>
      <c r="S26" t="s">
        <v>74</v>
      </c>
      <c r="T26" t="s">
        <v>74</v>
      </c>
      <c r="U26" t="s">
        <v>552</v>
      </c>
      <c r="V26" t="s">
        <v>553</v>
      </c>
      <c r="W26" t="s">
        <v>554</v>
      </c>
      <c r="X26" t="s">
        <v>555</v>
      </c>
      <c r="Y26" t="s">
        <v>556</v>
      </c>
      <c r="Z26" t="s">
        <v>557</v>
      </c>
      <c r="AA26" t="s">
        <v>558</v>
      </c>
      <c r="AB26" t="s">
        <v>559</v>
      </c>
      <c r="AC26" t="s">
        <v>560</v>
      </c>
      <c r="AD26" t="s">
        <v>561</v>
      </c>
      <c r="AE26" t="s">
        <v>562</v>
      </c>
      <c r="AF26" t="s">
        <v>74</v>
      </c>
      <c r="AG26">
        <v>49</v>
      </c>
      <c r="AH26">
        <v>10</v>
      </c>
      <c r="AI26">
        <v>16</v>
      </c>
      <c r="AJ26">
        <v>3</v>
      </c>
      <c r="AK26">
        <v>48</v>
      </c>
      <c r="AL26" t="s">
        <v>474</v>
      </c>
      <c r="AM26" t="s">
        <v>475</v>
      </c>
      <c r="AN26" t="s">
        <v>476</v>
      </c>
      <c r="AO26" t="s">
        <v>477</v>
      </c>
      <c r="AP26" t="s">
        <v>478</v>
      </c>
      <c r="AQ26" t="s">
        <v>74</v>
      </c>
      <c r="AR26" t="s">
        <v>479</v>
      </c>
      <c r="AS26" t="s">
        <v>480</v>
      </c>
      <c r="AT26" t="s">
        <v>97</v>
      </c>
      <c r="AU26">
        <v>2011</v>
      </c>
      <c r="AV26">
        <v>43</v>
      </c>
      <c r="AW26">
        <v>1</v>
      </c>
      <c r="AX26" t="s">
        <v>74</v>
      </c>
      <c r="AY26" t="s">
        <v>74</v>
      </c>
      <c r="AZ26" t="s">
        <v>74</v>
      </c>
      <c r="BA26" t="s">
        <v>74</v>
      </c>
      <c r="BB26">
        <v>127</v>
      </c>
      <c r="BC26">
        <v>136</v>
      </c>
      <c r="BD26" t="s">
        <v>74</v>
      </c>
      <c r="BE26" t="s">
        <v>563</v>
      </c>
      <c r="BF26" t="str">
        <f>HYPERLINK("http://dx.doi.org/10.1657/1938-4246-43.1.127","http://dx.doi.org/10.1657/1938-4246-43.1.127")</f>
        <v>http://dx.doi.org/10.1657/1938-4246-43.1.127</v>
      </c>
      <c r="BG26" t="s">
        <v>74</v>
      </c>
      <c r="BH26" t="s">
        <v>74</v>
      </c>
      <c r="BI26">
        <v>10</v>
      </c>
      <c r="BJ26" t="s">
        <v>482</v>
      </c>
      <c r="BK26" t="s">
        <v>100</v>
      </c>
      <c r="BL26" t="s">
        <v>483</v>
      </c>
      <c r="BM26" t="s">
        <v>484</v>
      </c>
      <c r="BN26" t="s">
        <v>74</v>
      </c>
      <c r="BO26" t="s">
        <v>138</v>
      </c>
      <c r="BP26" t="s">
        <v>74</v>
      </c>
      <c r="BQ26" t="s">
        <v>74</v>
      </c>
      <c r="BR26" t="s">
        <v>103</v>
      </c>
      <c r="BS26" t="s">
        <v>564</v>
      </c>
      <c r="BT26" t="str">
        <f>HYPERLINK("https%3A%2F%2Fwww.webofscience.com%2Fwos%2Fwoscc%2Ffull-record%2FWOS:000288633400013","View Full Record in Web of Science")</f>
        <v>View Full Record in Web of Science</v>
      </c>
    </row>
    <row r="27" spans="1:72" x14ac:dyDescent="0.15">
      <c r="A27" t="s">
        <v>72</v>
      </c>
      <c r="B27" t="s">
        <v>565</v>
      </c>
      <c r="C27" t="s">
        <v>74</v>
      </c>
      <c r="D27" t="s">
        <v>74</v>
      </c>
      <c r="E27" t="s">
        <v>74</v>
      </c>
      <c r="F27" t="s">
        <v>566</v>
      </c>
      <c r="G27" t="s">
        <v>74</v>
      </c>
      <c r="H27" t="s">
        <v>74</v>
      </c>
      <c r="I27" t="s">
        <v>567</v>
      </c>
      <c r="J27" t="s">
        <v>462</v>
      </c>
      <c r="K27" t="s">
        <v>74</v>
      </c>
      <c r="L27" t="s">
        <v>74</v>
      </c>
      <c r="M27" t="s">
        <v>78</v>
      </c>
      <c r="N27" t="s">
        <v>79</v>
      </c>
      <c r="O27" t="s">
        <v>74</v>
      </c>
      <c r="P27" t="s">
        <v>74</v>
      </c>
      <c r="Q27" t="s">
        <v>74</v>
      </c>
      <c r="R27" t="s">
        <v>74</v>
      </c>
      <c r="S27" t="s">
        <v>74</v>
      </c>
      <c r="T27" t="s">
        <v>74</v>
      </c>
      <c r="U27" t="s">
        <v>568</v>
      </c>
      <c r="V27" t="s">
        <v>569</v>
      </c>
      <c r="W27" t="s">
        <v>570</v>
      </c>
      <c r="X27" t="s">
        <v>571</v>
      </c>
      <c r="Y27" t="s">
        <v>572</v>
      </c>
      <c r="Z27" t="s">
        <v>573</v>
      </c>
      <c r="AA27" t="s">
        <v>574</v>
      </c>
      <c r="AB27" t="s">
        <v>575</v>
      </c>
      <c r="AC27" t="s">
        <v>576</v>
      </c>
      <c r="AD27" t="s">
        <v>577</v>
      </c>
      <c r="AE27" t="s">
        <v>578</v>
      </c>
      <c r="AF27" t="s">
        <v>74</v>
      </c>
      <c r="AG27">
        <v>49</v>
      </c>
      <c r="AH27">
        <v>15</v>
      </c>
      <c r="AI27">
        <v>18</v>
      </c>
      <c r="AJ27">
        <v>1</v>
      </c>
      <c r="AK27">
        <v>36</v>
      </c>
      <c r="AL27" t="s">
        <v>474</v>
      </c>
      <c r="AM27" t="s">
        <v>475</v>
      </c>
      <c r="AN27" t="s">
        <v>476</v>
      </c>
      <c r="AO27" t="s">
        <v>477</v>
      </c>
      <c r="AP27" t="s">
        <v>478</v>
      </c>
      <c r="AQ27" t="s">
        <v>74</v>
      </c>
      <c r="AR27" t="s">
        <v>479</v>
      </c>
      <c r="AS27" t="s">
        <v>480</v>
      </c>
      <c r="AT27" t="s">
        <v>97</v>
      </c>
      <c r="AU27">
        <v>2011</v>
      </c>
      <c r="AV27">
        <v>43</v>
      </c>
      <c r="AW27">
        <v>1</v>
      </c>
      <c r="AX27" t="s">
        <v>74</v>
      </c>
      <c r="AY27" t="s">
        <v>74</v>
      </c>
      <c r="AZ27" t="s">
        <v>74</v>
      </c>
      <c r="BA27" t="s">
        <v>74</v>
      </c>
      <c r="BB27">
        <v>137</v>
      </c>
      <c r="BC27">
        <v>146</v>
      </c>
      <c r="BD27" t="s">
        <v>74</v>
      </c>
      <c r="BE27" t="s">
        <v>579</v>
      </c>
      <c r="BF27" t="str">
        <f>HYPERLINK("http://dx.doi.org/10.1657/1938-4246-43.1.137","http://dx.doi.org/10.1657/1938-4246-43.1.137")</f>
        <v>http://dx.doi.org/10.1657/1938-4246-43.1.137</v>
      </c>
      <c r="BG27" t="s">
        <v>74</v>
      </c>
      <c r="BH27" t="s">
        <v>74</v>
      </c>
      <c r="BI27">
        <v>10</v>
      </c>
      <c r="BJ27" t="s">
        <v>482</v>
      </c>
      <c r="BK27" t="s">
        <v>100</v>
      </c>
      <c r="BL27" t="s">
        <v>483</v>
      </c>
      <c r="BM27" t="s">
        <v>484</v>
      </c>
      <c r="BN27" t="s">
        <v>74</v>
      </c>
      <c r="BO27" t="s">
        <v>375</v>
      </c>
      <c r="BP27" t="s">
        <v>74</v>
      </c>
      <c r="BQ27" t="s">
        <v>74</v>
      </c>
      <c r="BR27" t="s">
        <v>103</v>
      </c>
      <c r="BS27" t="s">
        <v>580</v>
      </c>
      <c r="BT27" t="str">
        <f>HYPERLINK("https%3A%2F%2Fwww.webofscience.com%2Fwos%2Fwoscc%2Ffull-record%2FWOS:000288633400014","View Full Record in Web of Science")</f>
        <v>View Full Record in Web of Science</v>
      </c>
    </row>
    <row r="28" spans="1:72" x14ac:dyDescent="0.15">
      <c r="A28" t="s">
        <v>72</v>
      </c>
      <c r="B28" t="s">
        <v>581</v>
      </c>
      <c r="C28" t="s">
        <v>74</v>
      </c>
      <c r="D28" t="s">
        <v>74</v>
      </c>
      <c r="E28" t="s">
        <v>74</v>
      </c>
      <c r="F28" t="s">
        <v>582</v>
      </c>
      <c r="G28" t="s">
        <v>74</v>
      </c>
      <c r="H28" t="s">
        <v>74</v>
      </c>
      <c r="I28" t="s">
        <v>583</v>
      </c>
      <c r="J28" t="s">
        <v>584</v>
      </c>
      <c r="K28" t="s">
        <v>74</v>
      </c>
      <c r="L28" t="s">
        <v>74</v>
      </c>
      <c r="M28" t="s">
        <v>78</v>
      </c>
      <c r="N28" t="s">
        <v>79</v>
      </c>
      <c r="O28" t="s">
        <v>74</v>
      </c>
      <c r="P28" t="s">
        <v>74</v>
      </c>
      <c r="Q28" t="s">
        <v>74</v>
      </c>
      <c r="R28" t="s">
        <v>74</v>
      </c>
      <c r="S28" t="s">
        <v>74</v>
      </c>
      <c r="T28" t="s">
        <v>585</v>
      </c>
      <c r="U28" t="s">
        <v>586</v>
      </c>
      <c r="V28" t="s">
        <v>587</v>
      </c>
      <c r="W28" t="s">
        <v>588</v>
      </c>
      <c r="X28" t="s">
        <v>589</v>
      </c>
      <c r="Y28" t="s">
        <v>590</v>
      </c>
      <c r="Z28" t="s">
        <v>591</v>
      </c>
      <c r="AA28" t="s">
        <v>592</v>
      </c>
      <c r="AB28" t="s">
        <v>593</v>
      </c>
      <c r="AC28" t="s">
        <v>594</v>
      </c>
      <c r="AD28" t="s">
        <v>595</v>
      </c>
      <c r="AE28" t="s">
        <v>596</v>
      </c>
      <c r="AF28" t="s">
        <v>74</v>
      </c>
      <c r="AG28">
        <v>52</v>
      </c>
      <c r="AH28">
        <v>53</v>
      </c>
      <c r="AI28">
        <v>56</v>
      </c>
      <c r="AJ28">
        <v>0</v>
      </c>
      <c r="AK28">
        <v>33</v>
      </c>
      <c r="AL28" t="s">
        <v>270</v>
      </c>
      <c r="AM28" t="s">
        <v>91</v>
      </c>
      <c r="AN28" t="s">
        <v>320</v>
      </c>
      <c r="AO28" t="s">
        <v>597</v>
      </c>
      <c r="AP28" t="s">
        <v>598</v>
      </c>
      <c r="AQ28" t="s">
        <v>74</v>
      </c>
      <c r="AR28" t="s">
        <v>599</v>
      </c>
      <c r="AS28" t="s">
        <v>600</v>
      </c>
      <c r="AT28" t="s">
        <v>97</v>
      </c>
      <c r="AU28">
        <v>2011</v>
      </c>
      <c r="AV28">
        <v>36</v>
      </c>
      <c r="AW28" t="s">
        <v>601</v>
      </c>
      <c r="AX28" t="s">
        <v>74</v>
      </c>
      <c r="AY28" t="s">
        <v>74</v>
      </c>
      <c r="AZ28" t="s">
        <v>74</v>
      </c>
      <c r="BA28" t="s">
        <v>74</v>
      </c>
      <c r="BB28">
        <v>451</v>
      </c>
      <c r="BC28">
        <v>462</v>
      </c>
      <c r="BD28" t="s">
        <v>74</v>
      </c>
      <c r="BE28" t="s">
        <v>602</v>
      </c>
      <c r="BF28" t="str">
        <f>HYPERLINK("http://dx.doi.org/10.1007/s00382-009-0717-2","http://dx.doi.org/10.1007/s00382-009-0717-2")</f>
        <v>http://dx.doi.org/10.1007/s00382-009-0717-2</v>
      </c>
      <c r="BG28" t="s">
        <v>74</v>
      </c>
      <c r="BH28" t="s">
        <v>74</v>
      </c>
      <c r="BI28">
        <v>12</v>
      </c>
      <c r="BJ28" t="s">
        <v>603</v>
      </c>
      <c r="BK28" t="s">
        <v>100</v>
      </c>
      <c r="BL28" t="s">
        <v>603</v>
      </c>
      <c r="BM28" t="s">
        <v>604</v>
      </c>
      <c r="BN28" t="s">
        <v>74</v>
      </c>
      <c r="BO28" t="s">
        <v>74</v>
      </c>
      <c r="BP28" t="s">
        <v>74</v>
      </c>
      <c r="BQ28" t="s">
        <v>74</v>
      </c>
      <c r="BR28" t="s">
        <v>103</v>
      </c>
      <c r="BS28" t="s">
        <v>605</v>
      </c>
      <c r="BT28" t="str">
        <f>HYPERLINK("https%3A%2F%2Fwww.webofscience.com%2Fwos%2Fwoscc%2Ffull-record%2FWOS:000286937100004","View Full Record in Web of Science")</f>
        <v>View Full Record in Web of Science</v>
      </c>
    </row>
    <row r="29" spans="1:72" x14ac:dyDescent="0.15">
      <c r="A29" t="s">
        <v>72</v>
      </c>
      <c r="B29" t="s">
        <v>606</v>
      </c>
      <c r="C29" t="s">
        <v>74</v>
      </c>
      <c r="D29" t="s">
        <v>74</v>
      </c>
      <c r="E29" t="s">
        <v>74</v>
      </c>
      <c r="F29" t="s">
        <v>607</v>
      </c>
      <c r="G29" t="s">
        <v>74</v>
      </c>
      <c r="H29" t="s">
        <v>74</v>
      </c>
      <c r="I29" t="s">
        <v>608</v>
      </c>
      <c r="J29" t="s">
        <v>584</v>
      </c>
      <c r="K29" t="s">
        <v>74</v>
      </c>
      <c r="L29" t="s">
        <v>74</v>
      </c>
      <c r="M29" t="s">
        <v>78</v>
      </c>
      <c r="N29" t="s">
        <v>79</v>
      </c>
      <c r="O29" t="s">
        <v>74</v>
      </c>
      <c r="P29" t="s">
        <v>74</v>
      </c>
      <c r="Q29" t="s">
        <v>74</v>
      </c>
      <c r="R29" t="s">
        <v>74</v>
      </c>
      <c r="S29" t="s">
        <v>74</v>
      </c>
      <c r="T29" t="s">
        <v>609</v>
      </c>
      <c r="U29" t="s">
        <v>610</v>
      </c>
      <c r="V29" t="s">
        <v>611</v>
      </c>
      <c r="W29" t="s">
        <v>612</v>
      </c>
      <c r="X29" t="s">
        <v>613</v>
      </c>
      <c r="Y29" t="s">
        <v>614</v>
      </c>
      <c r="Z29" t="s">
        <v>615</v>
      </c>
      <c r="AA29" t="s">
        <v>616</v>
      </c>
      <c r="AB29" t="s">
        <v>617</v>
      </c>
      <c r="AC29" t="s">
        <v>618</v>
      </c>
      <c r="AD29" t="s">
        <v>619</v>
      </c>
      <c r="AE29" t="s">
        <v>620</v>
      </c>
      <c r="AF29" t="s">
        <v>74</v>
      </c>
      <c r="AG29">
        <v>58</v>
      </c>
      <c r="AH29">
        <v>29</v>
      </c>
      <c r="AI29">
        <v>33</v>
      </c>
      <c r="AJ29">
        <v>0</v>
      </c>
      <c r="AK29">
        <v>27</v>
      </c>
      <c r="AL29" t="s">
        <v>270</v>
      </c>
      <c r="AM29" t="s">
        <v>91</v>
      </c>
      <c r="AN29" t="s">
        <v>296</v>
      </c>
      <c r="AO29" t="s">
        <v>597</v>
      </c>
      <c r="AP29" t="s">
        <v>598</v>
      </c>
      <c r="AQ29" t="s">
        <v>74</v>
      </c>
      <c r="AR29" t="s">
        <v>599</v>
      </c>
      <c r="AS29" t="s">
        <v>600</v>
      </c>
      <c r="AT29" t="s">
        <v>97</v>
      </c>
      <c r="AU29">
        <v>2011</v>
      </c>
      <c r="AV29">
        <v>36</v>
      </c>
      <c r="AW29" t="s">
        <v>601</v>
      </c>
      <c r="AX29" t="s">
        <v>74</v>
      </c>
      <c r="AY29" t="s">
        <v>74</v>
      </c>
      <c r="AZ29" t="s">
        <v>74</v>
      </c>
      <c r="BA29" t="s">
        <v>74</v>
      </c>
      <c r="BB29">
        <v>533</v>
      </c>
      <c r="BC29">
        <v>543</v>
      </c>
      <c r="BD29" t="s">
        <v>74</v>
      </c>
      <c r="BE29" t="s">
        <v>621</v>
      </c>
      <c r="BF29" t="str">
        <f>HYPERLINK("http://dx.doi.org/10.1007/s00382-010-0791-5","http://dx.doi.org/10.1007/s00382-010-0791-5")</f>
        <v>http://dx.doi.org/10.1007/s00382-010-0791-5</v>
      </c>
      <c r="BG29" t="s">
        <v>74</v>
      </c>
      <c r="BH29" t="s">
        <v>74</v>
      </c>
      <c r="BI29">
        <v>11</v>
      </c>
      <c r="BJ29" t="s">
        <v>603</v>
      </c>
      <c r="BK29" t="s">
        <v>100</v>
      </c>
      <c r="BL29" t="s">
        <v>603</v>
      </c>
      <c r="BM29" t="s">
        <v>604</v>
      </c>
      <c r="BN29" t="s">
        <v>74</v>
      </c>
      <c r="BO29" t="s">
        <v>74</v>
      </c>
      <c r="BP29" t="s">
        <v>74</v>
      </c>
      <c r="BQ29" t="s">
        <v>74</v>
      </c>
      <c r="BR29" t="s">
        <v>103</v>
      </c>
      <c r="BS29" t="s">
        <v>622</v>
      </c>
      <c r="BT29" t="str">
        <f>HYPERLINK("https%3A%2F%2Fwww.webofscience.com%2Fwos%2Fwoscc%2Ffull-record%2FWOS:000286937100010","View Full Record in Web of Science")</f>
        <v>View Full Record in Web of Science</v>
      </c>
    </row>
    <row r="30" spans="1:72" x14ac:dyDescent="0.15">
      <c r="A30" t="s">
        <v>72</v>
      </c>
      <c r="B30" t="s">
        <v>623</v>
      </c>
      <c r="C30" t="s">
        <v>74</v>
      </c>
      <c r="D30" t="s">
        <v>74</v>
      </c>
      <c r="E30" t="s">
        <v>74</v>
      </c>
      <c r="F30" t="s">
        <v>624</v>
      </c>
      <c r="G30" t="s">
        <v>74</v>
      </c>
      <c r="H30" t="s">
        <v>74</v>
      </c>
      <c r="I30" t="s">
        <v>625</v>
      </c>
      <c r="J30" t="s">
        <v>626</v>
      </c>
      <c r="K30" t="s">
        <v>74</v>
      </c>
      <c r="L30" t="s">
        <v>74</v>
      </c>
      <c r="M30" t="s">
        <v>78</v>
      </c>
      <c r="N30" t="s">
        <v>79</v>
      </c>
      <c r="O30" t="s">
        <v>74</v>
      </c>
      <c r="P30" t="s">
        <v>74</v>
      </c>
      <c r="Q30" t="s">
        <v>74</v>
      </c>
      <c r="R30" t="s">
        <v>74</v>
      </c>
      <c r="S30" t="s">
        <v>74</v>
      </c>
      <c r="T30" t="s">
        <v>627</v>
      </c>
      <c r="U30" t="s">
        <v>628</v>
      </c>
      <c r="V30" t="s">
        <v>629</v>
      </c>
      <c r="W30" t="s">
        <v>630</v>
      </c>
      <c r="X30" t="s">
        <v>631</v>
      </c>
      <c r="Y30" t="s">
        <v>632</v>
      </c>
      <c r="Z30" t="s">
        <v>633</v>
      </c>
      <c r="AA30" t="s">
        <v>634</v>
      </c>
      <c r="AB30" t="s">
        <v>635</v>
      </c>
      <c r="AC30" t="s">
        <v>636</v>
      </c>
      <c r="AD30" t="s">
        <v>637</v>
      </c>
      <c r="AE30" t="s">
        <v>638</v>
      </c>
      <c r="AF30" t="s">
        <v>74</v>
      </c>
      <c r="AG30">
        <v>20</v>
      </c>
      <c r="AH30">
        <v>7</v>
      </c>
      <c r="AI30">
        <v>7</v>
      </c>
      <c r="AJ30">
        <v>0</v>
      </c>
      <c r="AK30">
        <v>3</v>
      </c>
      <c r="AL30" t="s">
        <v>639</v>
      </c>
      <c r="AM30" t="s">
        <v>640</v>
      </c>
      <c r="AN30" t="s">
        <v>641</v>
      </c>
      <c r="AO30" t="s">
        <v>642</v>
      </c>
      <c r="AP30" t="s">
        <v>643</v>
      </c>
      <c r="AQ30" t="s">
        <v>74</v>
      </c>
      <c r="AR30" t="s">
        <v>644</v>
      </c>
      <c r="AS30" t="s">
        <v>645</v>
      </c>
      <c r="AT30" t="s">
        <v>97</v>
      </c>
      <c r="AU30">
        <v>2011</v>
      </c>
      <c r="AV30">
        <v>16</v>
      </c>
      <c r="AW30">
        <v>2</v>
      </c>
      <c r="AX30" t="s">
        <v>74</v>
      </c>
      <c r="AY30" t="s">
        <v>74</v>
      </c>
      <c r="AZ30" t="s">
        <v>74</v>
      </c>
      <c r="BA30" t="s">
        <v>74</v>
      </c>
      <c r="BB30">
        <v>787</v>
      </c>
      <c r="BC30">
        <v>797</v>
      </c>
      <c r="BD30" t="s">
        <v>74</v>
      </c>
      <c r="BE30" t="s">
        <v>646</v>
      </c>
      <c r="BF30" t="str">
        <f>HYPERLINK("http://dx.doi.org/10.1016/j.cnsns.2010.04.016","http://dx.doi.org/10.1016/j.cnsns.2010.04.016")</f>
        <v>http://dx.doi.org/10.1016/j.cnsns.2010.04.016</v>
      </c>
      <c r="BG30" t="s">
        <v>74</v>
      </c>
      <c r="BH30" t="s">
        <v>74</v>
      </c>
      <c r="BI30">
        <v>11</v>
      </c>
      <c r="BJ30" t="s">
        <v>647</v>
      </c>
      <c r="BK30" t="s">
        <v>100</v>
      </c>
      <c r="BL30" t="s">
        <v>648</v>
      </c>
      <c r="BM30" t="s">
        <v>649</v>
      </c>
      <c r="BN30" t="s">
        <v>74</v>
      </c>
      <c r="BO30" t="s">
        <v>74</v>
      </c>
      <c r="BP30" t="s">
        <v>74</v>
      </c>
      <c r="BQ30" t="s">
        <v>74</v>
      </c>
      <c r="BR30" t="s">
        <v>103</v>
      </c>
      <c r="BS30" t="s">
        <v>650</v>
      </c>
      <c r="BT30" t="str">
        <f>HYPERLINK("https%3A%2F%2Fwww.webofscience.com%2Fwos%2Fwoscc%2Ffull-record%2FWOS:000282533900021","View Full Record in Web of Science")</f>
        <v>View Full Record in Web of Science</v>
      </c>
    </row>
    <row r="31" spans="1:72" x14ac:dyDescent="0.15">
      <c r="A31" t="s">
        <v>72</v>
      </c>
      <c r="B31" t="s">
        <v>651</v>
      </c>
      <c r="C31" t="s">
        <v>74</v>
      </c>
      <c r="D31" t="s">
        <v>74</v>
      </c>
      <c r="E31" t="s">
        <v>74</v>
      </c>
      <c r="F31" t="s">
        <v>652</v>
      </c>
      <c r="G31" t="s">
        <v>74</v>
      </c>
      <c r="H31" t="s">
        <v>74</v>
      </c>
      <c r="I31" t="s">
        <v>653</v>
      </c>
      <c r="J31" t="s">
        <v>654</v>
      </c>
      <c r="K31" t="s">
        <v>74</v>
      </c>
      <c r="L31" t="s">
        <v>74</v>
      </c>
      <c r="M31" t="s">
        <v>78</v>
      </c>
      <c r="N31" t="s">
        <v>79</v>
      </c>
      <c r="O31" t="s">
        <v>74</v>
      </c>
      <c r="P31" t="s">
        <v>74</v>
      </c>
      <c r="Q31" t="s">
        <v>74</v>
      </c>
      <c r="R31" t="s">
        <v>74</v>
      </c>
      <c r="S31" t="s">
        <v>74</v>
      </c>
      <c r="T31" t="s">
        <v>655</v>
      </c>
      <c r="U31" t="s">
        <v>656</v>
      </c>
      <c r="V31" t="s">
        <v>657</v>
      </c>
      <c r="W31" t="s">
        <v>658</v>
      </c>
      <c r="X31" t="s">
        <v>659</v>
      </c>
      <c r="Y31" t="s">
        <v>660</v>
      </c>
      <c r="Z31" t="s">
        <v>661</v>
      </c>
      <c r="AA31" t="s">
        <v>74</v>
      </c>
      <c r="AB31" t="s">
        <v>662</v>
      </c>
      <c r="AC31" t="s">
        <v>663</v>
      </c>
      <c r="AD31" t="s">
        <v>664</v>
      </c>
      <c r="AE31" t="s">
        <v>665</v>
      </c>
      <c r="AF31" t="s">
        <v>74</v>
      </c>
      <c r="AG31">
        <v>53</v>
      </c>
      <c r="AH31">
        <v>27</v>
      </c>
      <c r="AI31">
        <v>29</v>
      </c>
      <c r="AJ31">
        <v>0</v>
      </c>
      <c r="AK31">
        <v>41</v>
      </c>
      <c r="AL31" t="s">
        <v>666</v>
      </c>
      <c r="AM31" t="s">
        <v>667</v>
      </c>
      <c r="AN31" t="s">
        <v>668</v>
      </c>
      <c r="AO31" t="s">
        <v>669</v>
      </c>
      <c r="AP31" t="s">
        <v>670</v>
      </c>
      <c r="AQ31" t="s">
        <v>74</v>
      </c>
      <c r="AR31" t="s">
        <v>654</v>
      </c>
      <c r="AS31" t="s">
        <v>671</v>
      </c>
      <c r="AT31" t="s">
        <v>97</v>
      </c>
      <c r="AU31">
        <v>2011</v>
      </c>
      <c r="AV31">
        <v>113</v>
      </c>
      <c r="AW31">
        <v>1</v>
      </c>
      <c r="AX31" t="s">
        <v>74</v>
      </c>
      <c r="AY31" t="s">
        <v>74</v>
      </c>
      <c r="AZ31" t="s">
        <v>74</v>
      </c>
      <c r="BA31" t="s">
        <v>74</v>
      </c>
      <c r="BB31">
        <v>71</v>
      </c>
      <c r="BC31">
        <v>79</v>
      </c>
      <c r="BD31" t="s">
        <v>74</v>
      </c>
      <c r="BE31" t="s">
        <v>672</v>
      </c>
      <c r="BF31" t="str">
        <f>HYPERLINK("http://dx.doi.org/10.1525/cond.2011.100064","http://dx.doi.org/10.1525/cond.2011.100064")</f>
        <v>http://dx.doi.org/10.1525/cond.2011.100064</v>
      </c>
      <c r="BG31" t="s">
        <v>74</v>
      </c>
      <c r="BH31" t="s">
        <v>74</v>
      </c>
      <c r="BI31">
        <v>9</v>
      </c>
      <c r="BJ31" t="s">
        <v>673</v>
      </c>
      <c r="BK31" t="s">
        <v>100</v>
      </c>
      <c r="BL31" t="s">
        <v>674</v>
      </c>
      <c r="BM31" t="s">
        <v>675</v>
      </c>
      <c r="BN31" t="s">
        <v>74</v>
      </c>
      <c r="BO31" t="s">
        <v>252</v>
      </c>
      <c r="BP31" t="s">
        <v>74</v>
      </c>
      <c r="BQ31" t="s">
        <v>74</v>
      </c>
      <c r="BR31" t="s">
        <v>103</v>
      </c>
      <c r="BS31" t="s">
        <v>676</v>
      </c>
      <c r="BT31" t="str">
        <f>HYPERLINK("https%3A%2F%2Fwww.webofscience.com%2Fwos%2Fwoscc%2Ffull-record%2FWOS:000288736400008","View Full Record in Web of Science")</f>
        <v>View Full Record in Web of Science</v>
      </c>
    </row>
    <row r="32" spans="1:72" x14ac:dyDescent="0.15">
      <c r="A32" t="s">
        <v>72</v>
      </c>
      <c r="B32" t="s">
        <v>677</v>
      </c>
      <c r="C32" t="s">
        <v>74</v>
      </c>
      <c r="D32" t="s">
        <v>74</v>
      </c>
      <c r="E32" t="s">
        <v>74</v>
      </c>
      <c r="F32" t="s">
        <v>678</v>
      </c>
      <c r="G32" t="s">
        <v>74</v>
      </c>
      <c r="H32" t="s">
        <v>74</v>
      </c>
      <c r="I32" t="s">
        <v>679</v>
      </c>
      <c r="J32" t="s">
        <v>680</v>
      </c>
      <c r="K32" t="s">
        <v>74</v>
      </c>
      <c r="L32" t="s">
        <v>74</v>
      </c>
      <c r="M32" t="s">
        <v>78</v>
      </c>
      <c r="N32" t="s">
        <v>681</v>
      </c>
      <c r="O32" t="s">
        <v>74</v>
      </c>
      <c r="P32" t="s">
        <v>74</v>
      </c>
      <c r="Q32" t="s">
        <v>74</v>
      </c>
      <c r="R32" t="s">
        <v>74</v>
      </c>
      <c r="S32" t="s">
        <v>74</v>
      </c>
      <c r="T32" t="s">
        <v>682</v>
      </c>
      <c r="U32" t="s">
        <v>683</v>
      </c>
      <c r="V32" t="s">
        <v>684</v>
      </c>
      <c r="W32" t="s">
        <v>685</v>
      </c>
      <c r="X32" t="s">
        <v>686</v>
      </c>
      <c r="Y32" t="s">
        <v>687</v>
      </c>
      <c r="Z32" t="s">
        <v>688</v>
      </c>
      <c r="AA32" t="s">
        <v>74</v>
      </c>
      <c r="AB32" t="s">
        <v>74</v>
      </c>
      <c r="AC32" t="s">
        <v>689</v>
      </c>
      <c r="AD32" t="s">
        <v>689</v>
      </c>
      <c r="AE32" t="s">
        <v>690</v>
      </c>
      <c r="AF32" t="s">
        <v>74</v>
      </c>
      <c r="AG32">
        <v>137</v>
      </c>
      <c r="AH32">
        <v>94</v>
      </c>
      <c r="AI32">
        <v>99</v>
      </c>
      <c r="AJ32">
        <v>5</v>
      </c>
      <c r="AK32">
        <v>59</v>
      </c>
      <c r="AL32" t="s">
        <v>691</v>
      </c>
      <c r="AM32" t="s">
        <v>692</v>
      </c>
      <c r="AN32" t="s">
        <v>693</v>
      </c>
      <c r="AO32" t="s">
        <v>694</v>
      </c>
      <c r="AP32" t="s">
        <v>695</v>
      </c>
      <c r="AQ32" t="s">
        <v>74</v>
      </c>
      <c r="AR32" t="s">
        <v>696</v>
      </c>
      <c r="AS32" t="s">
        <v>697</v>
      </c>
      <c r="AT32" t="s">
        <v>97</v>
      </c>
      <c r="AU32">
        <v>2011</v>
      </c>
      <c r="AV32">
        <v>18</v>
      </c>
      <c r="AW32">
        <v>4</v>
      </c>
      <c r="AX32" t="s">
        <v>74</v>
      </c>
      <c r="AY32" t="s">
        <v>74</v>
      </c>
      <c r="AZ32" t="s">
        <v>74</v>
      </c>
      <c r="BA32" t="s">
        <v>74</v>
      </c>
      <c r="BB32">
        <v>615</v>
      </c>
      <c r="BC32">
        <v>637</v>
      </c>
      <c r="BD32" t="s">
        <v>74</v>
      </c>
      <c r="BE32" t="s">
        <v>74</v>
      </c>
      <c r="BF32" t="s">
        <v>74</v>
      </c>
      <c r="BG32" t="s">
        <v>74</v>
      </c>
      <c r="BH32" t="s">
        <v>74</v>
      </c>
      <c r="BI32">
        <v>23</v>
      </c>
      <c r="BJ32" t="s">
        <v>698</v>
      </c>
      <c r="BK32" t="s">
        <v>100</v>
      </c>
      <c r="BL32" t="s">
        <v>699</v>
      </c>
      <c r="BM32" t="s">
        <v>700</v>
      </c>
      <c r="BN32">
        <v>21143107</v>
      </c>
      <c r="BO32" t="s">
        <v>74</v>
      </c>
      <c r="BP32" t="s">
        <v>74</v>
      </c>
      <c r="BQ32" t="s">
        <v>74</v>
      </c>
      <c r="BR32" t="s">
        <v>103</v>
      </c>
      <c r="BS32" t="s">
        <v>701</v>
      </c>
      <c r="BT32" t="str">
        <f>HYPERLINK("https%3A%2F%2Fwww.webofscience.com%2Fwos%2Fwoscc%2Ffull-record%2FWOS:000287301000010","View Full Record in Web of Science")</f>
        <v>View Full Record in Web of Science</v>
      </c>
    </row>
    <row r="33" spans="1:72" x14ac:dyDescent="0.15">
      <c r="A33" t="s">
        <v>72</v>
      </c>
      <c r="B33" t="s">
        <v>702</v>
      </c>
      <c r="C33" t="s">
        <v>74</v>
      </c>
      <c r="D33" t="s">
        <v>74</v>
      </c>
      <c r="E33" t="s">
        <v>74</v>
      </c>
      <c r="F33" t="s">
        <v>703</v>
      </c>
      <c r="G33" t="s">
        <v>74</v>
      </c>
      <c r="H33" t="s">
        <v>74</v>
      </c>
      <c r="I33" t="s">
        <v>704</v>
      </c>
      <c r="J33" t="s">
        <v>705</v>
      </c>
      <c r="K33" t="s">
        <v>74</v>
      </c>
      <c r="L33" t="s">
        <v>74</v>
      </c>
      <c r="M33" t="s">
        <v>78</v>
      </c>
      <c r="N33" t="s">
        <v>79</v>
      </c>
      <c r="O33" t="s">
        <v>74</v>
      </c>
      <c r="P33" t="s">
        <v>74</v>
      </c>
      <c r="Q33" t="s">
        <v>74</v>
      </c>
      <c r="R33" t="s">
        <v>74</v>
      </c>
      <c r="S33" t="s">
        <v>74</v>
      </c>
      <c r="T33" t="s">
        <v>706</v>
      </c>
      <c r="U33" t="s">
        <v>707</v>
      </c>
      <c r="V33" t="s">
        <v>708</v>
      </c>
      <c r="W33" t="s">
        <v>709</v>
      </c>
      <c r="X33" t="s">
        <v>710</v>
      </c>
      <c r="Y33" t="s">
        <v>711</v>
      </c>
      <c r="Z33" t="s">
        <v>712</v>
      </c>
      <c r="AA33" t="s">
        <v>713</v>
      </c>
      <c r="AB33" t="s">
        <v>714</v>
      </c>
      <c r="AC33" t="s">
        <v>715</v>
      </c>
      <c r="AD33" t="s">
        <v>716</v>
      </c>
      <c r="AE33" t="s">
        <v>717</v>
      </c>
      <c r="AF33" t="s">
        <v>74</v>
      </c>
      <c r="AG33">
        <v>37</v>
      </c>
      <c r="AH33">
        <v>26</v>
      </c>
      <c r="AI33">
        <v>26</v>
      </c>
      <c r="AJ33">
        <v>0</v>
      </c>
      <c r="AK33">
        <v>12</v>
      </c>
      <c r="AL33" t="s">
        <v>718</v>
      </c>
      <c r="AM33" t="s">
        <v>719</v>
      </c>
      <c r="AN33" t="s">
        <v>720</v>
      </c>
      <c r="AO33" t="s">
        <v>721</v>
      </c>
      <c r="AP33" t="s">
        <v>74</v>
      </c>
      <c r="AQ33" t="s">
        <v>74</v>
      </c>
      <c r="AR33" t="s">
        <v>722</v>
      </c>
      <c r="AS33" t="s">
        <v>723</v>
      </c>
      <c r="AT33" t="s">
        <v>97</v>
      </c>
      <c r="AU33">
        <v>2011</v>
      </c>
      <c r="AV33">
        <v>58</v>
      </c>
      <c r="AW33">
        <v>2</v>
      </c>
      <c r="AX33" t="s">
        <v>74</v>
      </c>
      <c r="AY33" t="s">
        <v>74</v>
      </c>
      <c r="AZ33" t="s">
        <v>74</v>
      </c>
      <c r="BA33" t="s">
        <v>74</v>
      </c>
      <c r="BB33">
        <v>186</v>
      </c>
      <c r="BC33">
        <v>199</v>
      </c>
      <c r="BD33" t="s">
        <v>74</v>
      </c>
      <c r="BE33" t="s">
        <v>724</v>
      </c>
      <c r="BF33" t="str">
        <f>HYPERLINK("http://dx.doi.org/10.1016/j.dsr.2010.12.001","http://dx.doi.org/10.1016/j.dsr.2010.12.001")</f>
        <v>http://dx.doi.org/10.1016/j.dsr.2010.12.001</v>
      </c>
      <c r="BG33" t="s">
        <v>74</v>
      </c>
      <c r="BH33" t="s">
        <v>74</v>
      </c>
      <c r="BI33">
        <v>14</v>
      </c>
      <c r="BJ33" t="s">
        <v>250</v>
      </c>
      <c r="BK33" t="s">
        <v>100</v>
      </c>
      <c r="BL33" t="s">
        <v>250</v>
      </c>
      <c r="BM33" t="s">
        <v>725</v>
      </c>
      <c r="BN33" t="s">
        <v>74</v>
      </c>
      <c r="BO33" t="s">
        <v>726</v>
      </c>
      <c r="BP33" t="s">
        <v>74</v>
      </c>
      <c r="BQ33" t="s">
        <v>74</v>
      </c>
      <c r="BR33" t="s">
        <v>103</v>
      </c>
      <c r="BS33" t="s">
        <v>727</v>
      </c>
      <c r="BT33" t="str">
        <f>HYPERLINK("https%3A%2F%2Fwww.webofscience.com%2Fwos%2Fwoscc%2Ffull-record%2FWOS:000287987800006","View Full Record in Web of Science")</f>
        <v>View Full Record in Web of Science</v>
      </c>
    </row>
    <row r="34" spans="1:72" x14ac:dyDescent="0.15">
      <c r="A34" t="s">
        <v>72</v>
      </c>
      <c r="B34" t="s">
        <v>728</v>
      </c>
      <c r="C34" t="s">
        <v>74</v>
      </c>
      <c r="D34" t="s">
        <v>74</v>
      </c>
      <c r="E34" t="s">
        <v>74</v>
      </c>
      <c r="F34" t="s">
        <v>729</v>
      </c>
      <c r="G34" t="s">
        <v>74</v>
      </c>
      <c r="H34" t="s">
        <v>74</v>
      </c>
      <c r="I34" t="s">
        <v>730</v>
      </c>
      <c r="J34" t="s">
        <v>731</v>
      </c>
      <c r="K34" t="s">
        <v>74</v>
      </c>
      <c r="L34" t="s">
        <v>74</v>
      </c>
      <c r="M34" t="s">
        <v>78</v>
      </c>
      <c r="N34" t="s">
        <v>79</v>
      </c>
      <c r="O34" t="s">
        <v>74</v>
      </c>
      <c r="P34" t="s">
        <v>74</v>
      </c>
      <c r="Q34" t="s">
        <v>74</v>
      </c>
      <c r="R34" t="s">
        <v>74</v>
      </c>
      <c r="S34" t="s">
        <v>74</v>
      </c>
      <c r="T34" t="s">
        <v>732</v>
      </c>
      <c r="U34" t="s">
        <v>733</v>
      </c>
      <c r="V34" t="s">
        <v>734</v>
      </c>
      <c r="W34" t="s">
        <v>735</v>
      </c>
      <c r="X34" t="s">
        <v>736</v>
      </c>
      <c r="Y34" t="s">
        <v>737</v>
      </c>
      <c r="Z34" t="s">
        <v>738</v>
      </c>
      <c r="AA34" t="s">
        <v>739</v>
      </c>
      <c r="AB34" t="s">
        <v>740</v>
      </c>
      <c r="AC34" t="s">
        <v>741</v>
      </c>
      <c r="AD34" t="s">
        <v>742</v>
      </c>
      <c r="AE34" t="s">
        <v>743</v>
      </c>
      <c r="AF34" t="s">
        <v>74</v>
      </c>
      <c r="AG34">
        <v>102</v>
      </c>
      <c r="AH34">
        <v>78</v>
      </c>
      <c r="AI34">
        <v>88</v>
      </c>
      <c r="AJ34">
        <v>1</v>
      </c>
      <c r="AK34">
        <v>94</v>
      </c>
      <c r="AL34" t="s">
        <v>718</v>
      </c>
      <c r="AM34" t="s">
        <v>719</v>
      </c>
      <c r="AN34" t="s">
        <v>720</v>
      </c>
      <c r="AO34" t="s">
        <v>744</v>
      </c>
      <c r="AP34" t="s">
        <v>745</v>
      </c>
      <c r="AQ34" t="s">
        <v>74</v>
      </c>
      <c r="AR34" t="s">
        <v>746</v>
      </c>
      <c r="AS34" t="s">
        <v>747</v>
      </c>
      <c r="AT34" t="s">
        <v>97</v>
      </c>
      <c r="AU34">
        <v>2011</v>
      </c>
      <c r="AV34">
        <v>58</v>
      </c>
      <c r="AW34" t="s">
        <v>601</v>
      </c>
      <c r="AX34" t="s">
        <v>74</v>
      </c>
      <c r="AY34" t="s">
        <v>74</v>
      </c>
      <c r="AZ34" t="s">
        <v>74</v>
      </c>
      <c r="BA34" t="s">
        <v>74</v>
      </c>
      <c r="BB34">
        <v>493</v>
      </c>
      <c r="BC34">
        <v>511</v>
      </c>
      <c r="BD34" t="s">
        <v>74</v>
      </c>
      <c r="BE34" t="s">
        <v>748</v>
      </c>
      <c r="BF34" t="str">
        <f>HYPERLINK("http://dx.doi.org/10.1016/j.dsr2.2010.08.005","http://dx.doi.org/10.1016/j.dsr2.2010.08.005")</f>
        <v>http://dx.doi.org/10.1016/j.dsr2.2010.08.005</v>
      </c>
      <c r="BG34" t="s">
        <v>74</v>
      </c>
      <c r="BH34" t="s">
        <v>74</v>
      </c>
      <c r="BI34">
        <v>19</v>
      </c>
      <c r="BJ34" t="s">
        <v>250</v>
      </c>
      <c r="BK34" t="s">
        <v>100</v>
      </c>
      <c r="BL34" t="s">
        <v>250</v>
      </c>
      <c r="BM34" t="s">
        <v>749</v>
      </c>
      <c r="BN34" t="s">
        <v>74</v>
      </c>
      <c r="BO34" t="s">
        <v>74</v>
      </c>
      <c r="BP34" t="s">
        <v>74</v>
      </c>
      <c r="BQ34" t="s">
        <v>74</v>
      </c>
      <c r="BR34" t="s">
        <v>103</v>
      </c>
      <c r="BS34" t="s">
        <v>750</v>
      </c>
      <c r="BT34" t="str">
        <f>HYPERLINK("https%3A%2F%2Fwww.webofscience.com%2Fwos%2Fwoscc%2Ffull-record%2FWOS:000288313100016","View Full Record in Web of Science")</f>
        <v>View Full Record in Web of Science</v>
      </c>
    </row>
    <row r="35" spans="1:72" x14ac:dyDescent="0.15">
      <c r="A35" t="s">
        <v>72</v>
      </c>
      <c r="B35" t="s">
        <v>751</v>
      </c>
      <c r="C35" t="s">
        <v>74</v>
      </c>
      <c r="D35" t="s">
        <v>74</v>
      </c>
      <c r="E35" t="s">
        <v>74</v>
      </c>
      <c r="F35" t="s">
        <v>752</v>
      </c>
      <c r="G35" t="s">
        <v>74</v>
      </c>
      <c r="H35" t="s">
        <v>74</v>
      </c>
      <c r="I35" t="s">
        <v>753</v>
      </c>
      <c r="J35" t="s">
        <v>754</v>
      </c>
      <c r="K35" t="s">
        <v>74</v>
      </c>
      <c r="L35" t="s">
        <v>74</v>
      </c>
      <c r="M35" t="s">
        <v>78</v>
      </c>
      <c r="N35" t="s">
        <v>79</v>
      </c>
      <c r="O35" t="s">
        <v>74</v>
      </c>
      <c r="P35" t="s">
        <v>74</v>
      </c>
      <c r="Q35" t="s">
        <v>74</v>
      </c>
      <c r="R35" t="s">
        <v>74</v>
      </c>
      <c r="S35" t="s">
        <v>74</v>
      </c>
      <c r="T35" t="s">
        <v>755</v>
      </c>
      <c r="U35" t="s">
        <v>756</v>
      </c>
      <c r="V35" t="s">
        <v>757</v>
      </c>
      <c r="W35" t="s">
        <v>758</v>
      </c>
      <c r="X35" t="s">
        <v>759</v>
      </c>
      <c r="Y35" t="s">
        <v>760</v>
      </c>
      <c r="Z35" t="s">
        <v>761</v>
      </c>
      <c r="AA35" t="s">
        <v>762</v>
      </c>
      <c r="AB35" t="s">
        <v>763</v>
      </c>
      <c r="AC35" t="s">
        <v>764</v>
      </c>
      <c r="AD35" t="s">
        <v>765</v>
      </c>
      <c r="AE35" t="s">
        <v>766</v>
      </c>
      <c r="AF35" t="s">
        <v>74</v>
      </c>
      <c r="AG35">
        <v>80</v>
      </c>
      <c r="AH35">
        <v>35</v>
      </c>
      <c r="AI35">
        <v>38</v>
      </c>
      <c r="AJ35">
        <v>0</v>
      </c>
      <c r="AK35">
        <v>21</v>
      </c>
      <c r="AL35" t="s">
        <v>767</v>
      </c>
      <c r="AM35" t="s">
        <v>640</v>
      </c>
      <c r="AN35" t="s">
        <v>768</v>
      </c>
      <c r="AO35" t="s">
        <v>769</v>
      </c>
      <c r="AP35" t="s">
        <v>770</v>
      </c>
      <c r="AQ35" t="s">
        <v>74</v>
      </c>
      <c r="AR35" t="s">
        <v>771</v>
      </c>
      <c r="AS35" t="s">
        <v>772</v>
      </c>
      <c r="AT35" t="s">
        <v>247</v>
      </c>
      <c r="AU35">
        <v>2011</v>
      </c>
      <c r="AV35">
        <v>302</v>
      </c>
      <c r="AW35" t="s">
        <v>601</v>
      </c>
      <c r="AX35" t="s">
        <v>74</v>
      </c>
      <c r="AY35" t="s">
        <v>74</v>
      </c>
      <c r="AZ35" t="s">
        <v>74</v>
      </c>
      <c r="BA35" t="s">
        <v>74</v>
      </c>
      <c r="BB35">
        <v>299</v>
      </c>
      <c r="BC35">
        <v>313</v>
      </c>
      <c r="BD35" t="s">
        <v>74</v>
      </c>
      <c r="BE35" t="s">
        <v>773</v>
      </c>
      <c r="BF35" t="str">
        <f>HYPERLINK("http://dx.doi.org/10.1016/j.epsl.2010.12.019","http://dx.doi.org/10.1016/j.epsl.2010.12.019")</f>
        <v>http://dx.doi.org/10.1016/j.epsl.2010.12.019</v>
      </c>
      <c r="BG35" t="s">
        <v>74</v>
      </c>
      <c r="BH35" t="s">
        <v>74</v>
      </c>
      <c r="BI35">
        <v>15</v>
      </c>
      <c r="BJ35" t="s">
        <v>774</v>
      </c>
      <c r="BK35" t="s">
        <v>100</v>
      </c>
      <c r="BL35" t="s">
        <v>774</v>
      </c>
      <c r="BM35" t="s">
        <v>775</v>
      </c>
      <c r="BN35" t="s">
        <v>74</v>
      </c>
      <c r="BO35" t="s">
        <v>74</v>
      </c>
      <c r="BP35" t="s">
        <v>74</v>
      </c>
      <c r="BQ35" t="s">
        <v>74</v>
      </c>
      <c r="BR35" t="s">
        <v>103</v>
      </c>
      <c r="BS35" t="s">
        <v>776</v>
      </c>
      <c r="BT35" t="str">
        <f>HYPERLINK("https%3A%2F%2Fwww.webofscience.com%2Fwos%2Fwoscc%2Ffull-record%2FWOS:000287614900005","View Full Record in Web of Science")</f>
        <v>View Full Record in Web of Science</v>
      </c>
    </row>
    <row r="36" spans="1:72" x14ac:dyDescent="0.15">
      <c r="A36" t="s">
        <v>72</v>
      </c>
      <c r="B36" t="s">
        <v>777</v>
      </c>
      <c r="C36" t="s">
        <v>74</v>
      </c>
      <c r="D36" t="s">
        <v>74</v>
      </c>
      <c r="E36" t="s">
        <v>74</v>
      </c>
      <c r="F36" t="s">
        <v>778</v>
      </c>
      <c r="G36" t="s">
        <v>74</v>
      </c>
      <c r="H36" t="s">
        <v>74</v>
      </c>
      <c r="I36" t="s">
        <v>779</v>
      </c>
      <c r="J36" t="s">
        <v>780</v>
      </c>
      <c r="K36" t="s">
        <v>74</v>
      </c>
      <c r="L36" t="s">
        <v>74</v>
      </c>
      <c r="M36" t="s">
        <v>78</v>
      </c>
      <c r="N36" t="s">
        <v>79</v>
      </c>
      <c r="O36" t="s">
        <v>74</v>
      </c>
      <c r="P36" t="s">
        <v>74</v>
      </c>
      <c r="Q36" t="s">
        <v>74</v>
      </c>
      <c r="R36" t="s">
        <v>74</v>
      </c>
      <c r="S36" t="s">
        <v>74</v>
      </c>
      <c r="T36" t="s">
        <v>781</v>
      </c>
      <c r="U36" t="s">
        <v>782</v>
      </c>
      <c r="V36" t="s">
        <v>783</v>
      </c>
      <c r="W36" t="s">
        <v>784</v>
      </c>
      <c r="X36" t="s">
        <v>785</v>
      </c>
      <c r="Y36" t="s">
        <v>786</v>
      </c>
      <c r="Z36" t="s">
        <v>787</v>
      </c>
      <c r="AA36" t="s">
        <v>788</v>
      </c>
      <c r="AB36" t="s">
        <v>789</v>
      </c>
      <c r="AC36" t="s">
        <v>790</v>
      </c>
      <c r="AD36" t="s">
        <v>791</v>
      </c>
      <c r="AE36" t="s">
        <v>792</v>
      </c>
      <c r="AF36" t="s">
        <v>74</v>
      </c>
      <c r="AG36">
        <v>152</v>
      </c>
      <c r="AH36">
        <v>62</v>
      </c>
      <c r="AI36">
        <v>70</v>
      </c>
      <c r="AJ36">
        <v>2</v>
      </c>
      <c r="AK36">
        <v>52</v>
      </c>
      <c r="AL36" t="s">
        <v>767</v>
      </c>
      <c r="AM36" t="s">
        <v>640</v>
      </c>
      <c r="AN36" t="s">
        <v>768</v>
      </c>
      <c r="AO36" t="s">
        <v>793</v>
      </c>
      <c r="AP36" t="s">
        <v>794</v>
      </c>
      <c r="AQ36" t="s">
        <v>74</v>
      </c>
      <c r="AR36" t="s">
        <v>795</v>
      </c>
      <c r="AS36" t="s">
        <v>796</v>
      </c>
      <c r="AT36" t="s">
        <v>97</v>
      </c>
      <c r="AU36">
        <v>2011</v>
      </c>
      <c r="AV36">
        <v>104</v>
      </c>
      <c r="AW36">
        <v>4</v>
      </c>
      <c r="AX36" t="s">
        <v>74</v>
      </c>
      <c r="AY36" t="s">
        <v>74</v>
      </c>
      <c r="AZ36" t="s">
        <v>74</v>
      </c>
      <c r="BA36" t="s">
        <v>74</v>
      </c>
      <c r="BB36">
        <v>199</v>
      </c>
      <c r="BC36">
        <v>212</v>
      </c>
      <c r="BD36" t="s">
        <v>74</v>
      </c>
      <c r="BE36" t="s">
        <v>797</v>
      </c>
      <c r="BF36" t="str">
        <f>HYPERLINK("http://dx.doi.org/10.1016/j.earscirev.2010.10.006","http://dx.doi.org/10.1016/j.earscirev.2010.10.006")</f>
        <v>http://dx.doi.org/10.1016/j.earscirev.2010.10.006</v>
      </c>
      <c r="BG36" t="s">
        <v>74</v>
      </c>
      <c r="BH36" t="s">
        <v>74</v>
      </c>
      <c r="BI36">
        <v>14</v>
      </c>
      <c r="BJ36" t="s">
        <v>396</v>
      </c>
      <c r="BK36" t="s">
        <v>100</v>
      </c>
      <c r="BL36" t="s">
        <v>397</v>
      </c>
      <c r="BM36" t="s">
        <v>798</v>
      </c>
      <c r="BN36" t="s">
        <v>74</v>
      </c>
      <c r="BO36" t="s">
        <v>726</v>
      </c>
      <c r="BP36" t="s">
        <v>74</v>
      </c>
      <c r="BQ36" t="s">
        <v>74</v>
      </c>
      <c r="BR36" t="s">
        <v>103</v>
      </c>
      <c r="BS36" t="s">
        <v>799</v>
      </c>
      <c r="BT36" t="str">
        <f>HYPERLINK("https%3A%2F%2Fwww.webofscience.com%2Fwos%2Fwoscc%2Ffull-record%2FWOS:000287266500001","View Full Record in Web of Science")</f>
        <v>View Full Record in Web of Science</v>
      </c>
    </row>
    <row r="37" spans="1:72" x14ac:dyDescent="0.15">
      <c r="A37" t="s">
        <v>72</v>
      </c>
      <c r="B37" t="s">
        <v>800</v>
      </c>
      <c r="C37" t="s">
        <v>74</v>
      </c>
      <c r="D37" t="s">
        <v>74</v>
      </c>
      <c r="E37" t="s">
        <v>74</v>
      </c>
      <c r="F37" t="s">
        <v>801</v>
      </c>
      <c r="G37" t="s">
        <v>74</v>
      </c>
      <c r="H37" t="s">
        <v>74</v>
      </c>
      <c r="I37" t="s">
        <v>802</v>
      </c>
      <c r="J37" t="s">
        <v>803</v>
      </c>
      <c r="K37" t="s">
        <v>74</v>
      </c>
      <c r="L37" t="s">
        <v>74</v>
      </c>
      <c r="M37" t="s">
        <v>78</v>
      </c>
      <c r="N37" t="s">
        <v>79</v>
      </c>
      <c r="O37" t="s">
        <v>74</v>
      </c>
      <c r="P37" t="s">
        <v>74</v>
      </c>
      <c r="Q37" t="s">
        <v>74</v>
      </c>
      <c r="R37" t="s">
        <v>74</v>
      </c>
      <c r="S37" t="s">
        <v>74</v>
      </c>
      <c r="T37" t="s">
        <v>804</v>
      </c>
      <c r="U37" t="s">
        <v>805</v>
      </c>
      <c r="V37" t="s">
        <v>806</v>
      </c>
      <c r="W37" t="s">
        <v>807</v>
      </c>
      <c r="X37" t="s">
        <v>808</v>
      </c>
      <c r="Y37" t="s">
        <v>809</v>
      </c>
      <c r="Z37" t="s">
        <v>810</v>
      </c>
      <c r="AA37" t="s">
        <v>811</v>
      </c>
      <c r="AB37" t="s">
        <v>812</v>
      </c>
      <c r="AC37" t="s">
        <v>813</v>
      </c>
      <c r="AD37" t="s">
        <v>814</v>
      </c>
      <c r="AE37" t="s">
        <v>815</v>
      </c>
      <c r="AF37" t="s">
        <v>74</v>
      </c>
      <c r="AG37">
        <v>142</v>
      </c>
      <c r="AH37">
        <v>123</v>
      </c>
      <c r="AI37">
        <v>128</v>
      </c>
      <c r="AJ37">
        <v>5</v>
      </c>
      <c r="AK37">
        <v>95</v>
      </c>
      <c r="AL37" t="s">
        <v>214</v>
      </c>
      <c r="AM37" t="s">
        <v>215</v>
      </c>
      <c r="AN37" t="s">
        <v>216</v>
      </c>
      <c r="AO37" t="s">
        <v>816</v>
      </c>
      <c r="AP37" t="s">
        <v>817</v>
      </c>
      <c r="AQ37" t="s">
        <v>74</v>
      </c>
      <c r="AR37" t="s">
        <v>818</v>
      </c>
      <c r="AS37" t="s">
        <v>819</v>
      </c>
      <c r="AT37" t="s">
        <v>97</v>
      </c>
      <c r="AU37">
        <v>2011</v>
      </c>
      <c r="AV37">
        <v>81</v>
      </c>
      <c r="AW37">
        <v>1</v>
      </c>
      <c r="AX37" t="s">
        <v>74</v>
      </c>
      <c r="AY37" t="s">
        <v>74</v>
      </c>
      <c r="AZ37" t="s">
        <v>74</v>
      </c>
      <c r="BA37" t="s">
        <v>74</v>
      </c>
      <c r="BB37">
        <v>141</v>
      </c>
      <c r="BC37">
        <v>167</v>
      </c>
      <c r="BD37" t="s">
        <v>74</v>
      </c>
      <c r="BE37" t="s">
        <v>820</v>
      </c>
      <c r="BF37" t="str">
        <f>HYPERLINK("http://dx.doi.org/10.1890/09-0763.1","http://dx.doi.org/10.1890/09-0763.1")</f>
        <v>http://dx.doi.org/10.1890/09-0763.1</v>
      </c>
      <c r="BG37" t="s">
        <v>74</v>
      </c>
      <c r="BH37" t="s">
        <v>74</v>
      </c>
      <c r="BI37">
        <v>27</v>
      </c>
      <c r="BJ37" t="s">
        <v>821</v>
      </c>
      <c r="BK37" t="s">
        <v>100</v>
      </c>
      <c r="BL37" t="s">
        <v>822</v>
      </c>
      <c r="BM37" t="s">
        <v>823</v>
      </c>
      <c r="BN37" t="s">
        <v>74</v>
      </c>
      <c r="BO37" t="s">
        <v>74</v>
      </c>
      <c r="BP37" t="s">
        <v>74</v>
      </c>
      <c r="BQ37" t="s">
        <v>74</v>
      </c>
      <c r="BR37" t="s">
        <v>103</v>
      </c>
      <c r="BS37" t="s">
        <v>824</v>
      </c>
      <c r="BT37" t="str">
        <f>HYPERLINK("https%3A%2F%2Fwww.webofscience.com%2Fwos%2Fwoscc%2Ffull-record%2FWOS:000289230700009","View Full Record in Web of Science")</f>
        <v>View Full Record in Web of Science</v>
      </c>
    </row>
    <row r="38" spans="1:72" x14ac:dyDescent="0.15">
      <c r="A38" t="s">
        <v>72</v>
      </c>
      <c r="B38" t="s">
        <v>825</v>
      </c>
      <c r="C38" t="s">
        <v>74</v>
      </c>
      <c r="D38" t="s">
        <v>74</v>
      </c>
      <c r="E38" t="s">
        <v>74</v>
      </c>
      <c r="F38" t="s">
        <v>826</v>
      </c>
      <c r="G38" t="s">
        <v>74</v>
      </c>
      <c r="H38" t="s">
        <v>74</v>
      </c>
      <c r="I38" t="s">
        <v>827</v>
      </c>
      <c r="J38" t="s">
        <v>828</v>
      </c>
      <c r="K38" t="s">
        <v>74</v>
      </c>
      <c r="L38" t="s">
        <v>74</v>
      </c>
      <c r="M38" t="s">
        <v>78</v>
      </c>
      <c r="N38" t="s">
        <v>79</v>
      </c>
      <c r="O38" t="s">
        <v>74</v>
      </c>
      <c r="P38" t="s">
        <v>74</v>
      </c>
      <c r="Q38" t="s">
        <v>74</v>
      </c>
      <c r="R38" t="s">
        <v>74</v>
      </c>
      <c r="S38" t="s">
        <v>74</v>
      </c>
      <c r="T38" t="s">
        <v>829</v>
      </c>
      <c r="U38" t="s">
        <v>830</v>
      </c>
      <c r="V38" t="s">
        <v>831</v>
      </c>
      <c r="W38" t="s">
        <v>832</v>
      </c>
      <c r="X38" t="s">
        <v>833</v>
      </c>
      <c r="Y38" t="s">
        <v>834</v>
      </c>
      <c r="Z38" t="s">
        <v>835</v>
      </c>
      <c r="AA38" t="s">
        <v>74</v>
      </c>
      <c r="AB38" t="s">
        <v>74</v>
      </c>
      <c r="AC38" t="s">
        <v>836</v>
      </c>
      <c r="AD38" t="s">
        <v>837</v>
      </c>
      <c r="AE38" t="s">
        <v>838</v>
      </c>
      <c r="AF38" t="s">
        <v>74</v>
      </c>
      <c r="AG38">
        <v>34</v>
      </c>
      <c r="AH38">
        <v>37</v>
      </c>
      <c r="AI38">
        <v>38</v>
      </c>
      <c r="AJ38">
        <v>0</v>
      </c>
      <c r="AK38">
        <v>17</v>
      </c>
      <c r="AL38" t="s">
        <v>839</v>
      </c>
      <c r="AM38" t="s">
        <v>840</v>
      </c>
      <c r="AN38" t="s">
        <v>841</v>
      </c>
      <c r="AO38" t="s">
        <v>842</v>
      </c>
      <c r="AP38" t="s">
        <v>74</v>
      </c>
      <c r="AQ38" t="s">
        <v>74</v>
      </c>
      <c r="AR38" t="s">
        <v>828</v>
      </c>
      <c r="AS38" t="s">
        <v>843</v>
      </c>
      <c r="AT38" t="s">
        <v>97</v>
      </c>
      <c r="AU38">
        <v>2011</v>
      </c>
      <c r="AV38">
        <v>7</v>
      </c>
      <c r="AW38">
        <v>1</v>
      </c>
      <c r="AX38" t="s">
        <v>74</v>
      </c>
      <c r="AY38" t="s">
        <v>74</v>
      </c>
      <c r="AZ38" t="s">
        <v>74</v>
      </c>
      <c r="BA38" t="s">
        <v>74</v>
      </c>
      <c r="BB38">
        <v>29</v>
      </c>
      <c r="BC38">
        <v>34</v>
      </c>
      <c r="BD38" t="s">
        <v>74</v>
      </c>
      <c r="BE38" t="s">
        <v>844</v>
      </c>
      <c r="BF38" t="str">
        <f>HYPERLINK("http://dx.doi.org/10.2113/gselements.7.1.29","http://dx.doi.org/10.2113/gselements.7.1.29")</f>
        <v>http://dx.doi.org/10.2113/gselements.7.1.29</v>
      </c>
      <c r="BG38" t="s">
        <v>74</v>
      </c>
      <c r="BH38" t="s">
        <v>74</v>
      </c>
      <c r="BI38">
        <v>6</v>
      </c>
      <c r="BJ38" t="s">
        <v>845</v>
      </c>
      <c r="BK38" t="s">
        <v>100</v>
      </c>
      <c r="BL38" t="s">
        <v>845</v>
      </c>
      <c r="BM38" t="s">
        <v>846</v>
      </c>
      <c r="BN38" t="s">
        <v>74</v>
      </c>
      <c r="BO38" t="s">
        <v>74</v>
      </c>
      <c r="BP38" t="s">
        <v>74</v>
      </c>
      <c r="BQ38" t="s">
        <v>74</v>
      </c>
      <c r="BR38" t="s">
        <v>103</v>
      </c>
      <c r="BS38" t="s">
        <v>847</v>
      </c>
      <c r="BT38" t="str">
        <f>HYPERLINK("https%3A%2F%2Fwww.webofscience.com%2Fwos%2Fwoscc%2Ffull-record%2FWOS:000288043200007","View Full Record in Web of Science")</f>
        <v>View Full Record in Web of Science</v>
      </c>
    </row>
    <row r="39" spans="1:72" x14ac:dyDescent="0.15">
      <c r="A39" t="s">
        <v>72</v>
      </c>
      <c r="B39" t="s">
        <v>848</v>
      </c>
      <c r="C39" t="s">
        <v>74</v>
      </c>
      <c r="D39" t="s">
        <v>74</v>
      </c>
      <c r="E39" t="s">
        <v>74</v>
      </c>
      <c r="F39" t="s">
        <v>849</v>
      </c>
      <c r="G39" t="s">
        <v>74</v>
      </c>
      <c r="H39" t="s">
        <v>74</v>
      </c>
      <c r="I39" t="s">
        <v>850</v>
      </c>
      <c r="J39" t="s">
        <v>851</v>
      </c>
      <c r="K39" t="s">
        <v>74</v>
      </c>
      <c r="L39" t="s">
        <v>74</v>
      </c>
      <c r="M39" t="s">
        <v>78</v>
      </c>
      <c r="N39" t="s">
        <v>79</v>
      </c>
      <c r="O39" t="s">
        <v>74</v>
      </c>
      <c r="P39" t="s">
        <v>74</v>
      </c>
      <c r="Q39" t="s">
        <v>74</v>
      </c>
      <c r="R39" t="s">
        <v>74</v>
      </c>
      <c r="S39" t="s">
        <v>74</v>
      </c>
      <c r="T39" t="s">
        <v>852</v>
      </c>
      <c r="U39" t="s">
        <v>853</v>
      </c>
      <c r="V39" t="s">
        <v>854</v>
      </c>
      <c r="W39" t="s">
        <v>855</v>
      </c>
      <c r="X39" t="s">
        <v>856</v>
      </c>
      <c r="Y39" t="s">
        <v>857</v>
      </c>
      <c r="Z39" t="s">
        <v>858</v>
      </c>
      <c r="AA39" t="s">
        <v>859</v>
      </c>
      <c r="AB39" t="s">
        <v>860</v>
      </c>
      <c r="AC39" t="s">
        <v>861</v>
      </c>
      <c r="AD39" t="s">
        <v>862</v>
      </c>
      <c r="AE39" t="s">
        <v>863</v>
      </c>
      <c r="AF39" t="s">
        <v>74</v>
      </c>
      <c r="AG39">
        <v>88</v>
      </c>
      <c r="AH39">
        <v>45</v>
      </c>
      <c r="AI39">
        <v>54</v>
      </c>
      <c r="AJ39">
        <v>3</v>
      </c>
      <c r="AK39">
        <v>42</v>
      </c>
      <c r="AL39" t="s">
        <v>214</v>
      </c>
      <c r="AM39" t="s">
        <v>215</v>
      </c>
      <c r="AN39" t="s">
        <v>216</v>
      </c>
      <c r="AO39" t="s">
        <v>864</v>
      </c>
      <c r="AP39" t="s">
        <v>865</v>
      </c>
      <c r="AQ39" t="s">
        <v>74</v>
      </c>
      <c r="AR39" t="s">
        <v>866</v>
      </c>
      <c r="AS39" t="s">
        <v>867</v>
      </c>
      <c r="AT39" t="s">
        <v>97</v>
      </c>
      <c r="AU39">
        <v>2011</v>
      </c>
      <c r="AV39">
        <v>17</v>
      </c>
      <c r="AW39">
        <v>2</v>
      </c>
      <c r="AX39" t="s">
        <v>74</v>
      </c>
      <c r="AY39" t="s">
        <v>74</v>
      </c>
      <c r="AZ39" t="s">
        <v>74</v>
      </c>
      <c r="BA39" t="s">
        <v>74</v>
      </c>
      <c r="BB39">
        <v>734</v>
      </c>
      <c r="BC39">
        <v>744</v>
      </c>
      <c r="BD39" t="s">
        <v>74</v>
      </c>
      <c r="BE39" t="s">
        <v>868</v>
      </c>
      <c r="BF39" t="str">
        <f>HYPERLINK("http://dx.doi.org/10.1111/j.1365-2486.2010.02288.x","http://dx.doi.org/10.1111/j.1365-2486.2010.02288.x")</f>
        <v>http://dx.doi.org/10.1111/j.1365-2486.2010.02288.x</v>
      </c>
      <c r="BG39" t="s">
        <v>74</v>
      </c>
      <c r="BH39" t="s">
        <v>74</v>
      </c>
      <c r="BI39">
        <v>11</v>
      </c>
      <c r="BJ39" t="s">
        <v>869</v>
      </c>
      <c r="BK39" t="s">
        <v>100</v>
      </c>
      <c r="BL39" t="s">
        <v>870</v>
      </c>
      <c r="BM39" t="s">
        <v>871</v>
      </c>
      <c r="BN39" t="s">
        <v>74</v>
      </c>
      <c r="BO39" t="s">
        <v>74</v>
      </c>
      <c r="BP39" t="s">
        <v>74</v>
      </c>
      <c r="BQ39" t="s">
        <v>74</v>
      </c>
      <c r="BR39" t="s">
        <v>103</v>
      </c>
      <c r="BS39" t="s">
        <v>872</v>
      </c>
      <c r="BT39" t="str">
        <f>HYPERLINK("https%3A%2F%2Fwww.webofscience.com%2Fwos%2Fwoscc%2Ffull-record%2FWOS:000285878000008","View Full Record in Web of Science")</f>
        <v>View Full Record in Web of Science</v>
      </c>
    </row>
    <row r="40" spans="1:72" x14ac:dyDescent="0.15">
      <c r="A40" t="s">
        <v>72</v>
      </c>
      <c r="B40" t="s">
        <v>873</v>
      </c>
      <c r="C40" t="s">
        <v>74</v>
      </c>
      <c r="D40" t="s">
        <v>74</v>
      </c>
      <c r="E40" t="s">
        <v>74</v>
      </c>
      <c r="F40" t="s">
        <v>874</v>
      </c>
      <c r="G40" t="s">
        <v>74</v>
      </c>
      <c r="H40" t="s">
        <v>74</v>
      </c>
      <c r="I40" t="s">
        <v>875</v>
      </c>
      <c r="J40" t="s">
        <v>876</v>
      </c>
      <c r="K40" t="s">
        <v>74</v>
      </c>
      <c r="L40" t="s">
        <v>74</v>
      </c>
      <c r="M40" t="s">
        <v>78</v>
      </c>
      <c r="N40" t="s">
        <v>79</v>
      </c>
      <c r="O40" t="s">
        <v>74</v>
      </c>
      <c r="P40" t="s">
        <v>74</v>
      </c>
      <c r="Q40" t="s">
        <v>74</v>
      </c>
      <c r="R40" t="s">
        <v>74</v>
      </c>
      <c r="S40" t="s">
        <v>74</v>
      </c>
      <c r="T40" t="s">
        <v>877</v>
      </c>
      <c r="U40" t="s">
        <v>878</v>
      </c>
      <c r="V40" t="s">
        <v>879</v>
      </c>
      <c r="W40" t="s">
        <v>880</v>
      </c>
      <c r="X40" t="s">
        <v>881</v>
      </c>
      <c r="Y40" t="s">
        <v>882</v>
      </c>
      <c r="Z40" t="s">
        <v>883</v>
      </c>
      <c r="AA40" t="s">
        <v>884</v>
      </c>
      <c r="AB40" t="s">
        <v>885</v>
      </c>
      <c r="AC40" t="s">
        <v>886</v>
      </c>
      <c r="AD40" t="s">
        <v>887</v>
      </c>
      <c r="AE40" t="s">
        <v>888</v>
      </c>
      <c r="AF40" t="s">
        <v>74</v>
      </c>
      <c r="AG40">
        <v>56</v>
      </c>
      <c r="AH40">
        <v>29</v>
      </c>
      <c r="AI40">
        <v>33</v>
      </c>
      <c r="AJ40">
        <v>0</v>
      </c>
      <c r="AK40">
        <v>52</v>
      </c>
      <c r="AL40" t="s">
        <v>270</v>
      </c>
      <c r="AM40" t="s">
        <v>271</v>
      </c>
      <c r="AN40" t="s">
        <v>272</v>
      </c>
      <c r="AO40" t="s">
        <v>889</v>
      </c>
      <c r="AP40" t="s">
        <v>890</v>
      </c>
      <c r="AQ40" t="s">
        <v>74</v>
      </c>
      <c r="AR40" t="s">
        <v>876</v>
      </c>
      <c r="AS40" t="s">
        <v>891</v>
      </c>
      <c r="AT40" t="s">
        <v>97</v>
      </c>
      <c r="AU40">
        <v>2011</v>
      </c>
      <c r="AV40">
        <v>661</v>
      </c>
      <c r="AW40">
        <v>1</v>
      </c>
      <c r="AX40" t="s">
        <v>74</v>
      </c>
      <c r="AY40" t="s">
        <v>74</v>
      </c>
      <c r="AZ40" t="s">
        <v>74</v>
      </c>
      <c r="BA40" t="s">
        <v>74</v>
      </c>
      <c r="BB40">
        <v>133</v>
      </c>
      <c r="BC40">
        <v>143</v>
      </c>
      <c r="BD40" t="s">
        <v>74</v>
      </c>
      <c r="BE40" t="s">
        <v>892</v>
      </c>
      <c r="BF40" t="str">
        <f>HYPERLINK("http://dx.doi.org/10.1007/s10750-010-0510-6","http://dx.doi.org/10.1007/s10750-010-0510-6")</f>
        <v>http://dx.doi.org/10.1007/s10750-010-0510-6</v>
      </c>
      <c r="BG40" t="s">
        <v>74</v>
      </c>
      <c r="BH40" t="s">
        <v>74</v>
      </c>
      <c r="BI40">
        <v>11</v>
      </c>
      <c r="BJ40" t="s">
        <v>893</v>
      </c>
      <c r="BK40" t="s">
        <v>100</v>
      </c>
      <c r="BL40" t="s">
        <v>893</v>
      </c>
      <c r="BM40" t="s">
        <v>894</v>
      </c>
      <c r="BN40" t="s">
        <v>74</v>
      </c>
      <c r="BO40" t="s">
        <v>74</v>
      </c>
      <c r="BP40" t="s">
        <v>74</v>
      </c>
      <c r="BQ40" t="s">
        <v>74</v>
      </c>
      <c r="BR40" t="s">
        <v>103</v>
      </c>
      <c r="BS40" t="s">
        <v>895</v>
      </c>
      <c r="BT40" t="str">
        <f>HYPERLINK("https%3A%2F%2Fwww.webofscience.com%2Fwos%2Fwoscc%2Ffull-record%2FWOS:000285064900012","View Full Record in Web of Science")</f>
        <v>View Full Record in Web of Science</v>
      </c>
    </row>
    <row r="41" spans="1:72" x14ac:dyDescent="0.15">
      <c r="A41" t="s">
        <v>72</v>
      </c>
      <c r="B41" t="s">
        <v>896</v>
      </c>
      <c r="C41" t="s">
        <v>74</v>
      </c>
      <c r="D41" t="s">
        <v>74</v>
      </c>
      <c r="E41" t="s">
        <v>74</v>
      </c>
      <c r="F41" t="s">
        <v>897</v>
      </c>
      <c r="G41" t="s">
        <v>74</v>
      </c>
      <c r="H41" t="s">
        <v>74</v>
      </c>
      <c r="I41" t="s">
        <v>898</v>
      </c>
      <c r="J41" t="s">
        <v>899</v>
      </c>
      <c r="K41" t="s">
        <v>74</v>
      </c>
      <c r="L41" t="s">
        <v>74</v>
      </c>
      <c r="M41" t="s">
        <v>78</v>
      </c>
      <c r="N41" t="s">
        <v>79</v>
      </c>
      <c r="O41" t="s">
        <v>74</v>
      </c>
      <c r="P41" t="s">
        <v>74</v>
      </c>
      <c r="Q41" t="s">
        <v>74</v>
      </c>
      <c r="R41" t="s">
        <v>74</v>
      </c>
      <c r="S41" t="s">
        <v>74</v>
      </c>
      <c r="T41" t="s">
        <v>900</v>
      </c>
      <c r="U41" t="s">
        <v>901</v>
      </c>
      <c r="V41" t="s">
        <v>902</v>
      </c>
      <c r="W41" t="s">
        <v>903</v>
      </c>
      <c r="X41" t="s">
        <v>904</v>
      </c>
      <c r="Y41" t="s">
        <v>905</v>
      </c>
      <c r="Z41" t="s">
        <v>906</v>
      </c>
      <c r="AA41" t="s">
        <v>907</v>
      </c>
      <c r="AB41" t="s">
        <v>908</v>
      </c>
      <c r="AC41" t="s">
        <v>909</v>
      </c>
      <c r="AD41" t="s">
        <v>910</v>
      </c>
      <c r="AE41" t="s">
        <v>911</v>
      </c>
      <c r="AF41" t="s">
        <v>74</v>
      </c>
      <c r="AG41">
        <v>59</v>
      </c>
      <c r="AH41">
        <v>95</v>
      </c>
      <c r="AI41">
        <v>104</v>
      </c>
      <c r="AJ41">
        <v>4</v>
      </c>
      <c r="AK41">
        <v>42</v>
      </c>
      <c r="AL41" t="s">
        <v>912</v>
      </c>
      <c r="AM41" t="s">
        <v>913</v>
      </c>
      <c r="AN41" t="s">
        <v>914</v>
      </c>
      <c r="AO41" t="s">
        <v>915</v>
      </c>
      <c r="AP41" t="s">
        <v>916</v>
      </c>
      <c r="AQ41" t="s">
        <v>74</v>
      </c>
      <c r="AR41" t="s">
        <v>917</v>
      </c>
      <c r="AS41" t="s">
        <v>918</v>
      </c>
      <c r="AT41" t="s">
        <v>97</v>
      </c>
      <c r="AU41">
        <v>2011</v>
      </c>
      <c r="AV41">
        <v>5</v>
      </c>
      <c r="AW41">
        <v>2</v>
      </c>
      <c r="AX41" t="s">
        <v>74</v>
      </c>
      <c r="AY41" t="s">
        <v>74</v>
      </c>
      <c r="AZ41" t="s">
        <v>74</v>
      </c>
      <c r="BA41" t="s">
        <v>74</v>
      </c>
      <c r="BB41">
        <v>274</v>
      </c>
      <c r="BC41">
        <v>284</v>
      </c>
      <c r="BD41" t="s">
        <v>74</v>
      </c>
      <c r="BE41" t="s">
        <v>919</v>
      </c>
      <c r="BF41" t="str">
        <f>HYPERLINK("http://dx.doi.org/10.1038/ismej.2010.103","http://dx.doi.org/10.1038/ismej.2010.103")</f>
        <v>http://dx.doi.org/10.1038/ismej.2010.103</v>
      </c>
      <c r="BG41" t="s">
        <v>74</v>
      </c>
      <c r="BH41" t="s">
        <v>74</v>
      </c>
      <c r="BI41">
        <v>11</v>
      </c>
      <c r="BJ41" t="s">
        <v>920</v>
      </c>
      <c r="BK41" t="s">
        <v>100</v>
      </c>
      <c r="BL41" t="s">
        <v>921</v>
      </c>
      <c r="BM41" t="s">
        <v>922</v>
      </c>
      <c r="BN41">
        <v>20703316</v>
      </c>
      <c r="BO41" t="s">
        <v>923</v>
      </c>
      <c r="BP41" t="s">
        <v>74</v>
      </c>
      <c r="BQ41" t="s">
        <v>74</v>
      </c>
      <c r="BR41" t="s">
        <v>103</v>
      </c>
      <c r="BS41" t="s">
        <v>924</v>
      </c>
      <c r="BT41" t="str">
        <f>HYPERLINK("https%3A%2F%2Fwww.webofscience.com%2Fwos%2Fwoscc%2Ffull-record%2FWOS:000290020000012","View Full Record in Web of Science")</f>
        <v>View Full Record in Web of Science</v>
      </c>
    </row>
    <row r="42" spans="1:72" x14ac:dyDescent="0.15">
      <c r="A42" t="s">
        <v>72</v>
      </c>
      <c r="B42" t="s">
        <v>925</v>
      </c>
      <c r="C42" t="s">
        <v>74</v>
      </c>
      <c r="D42" t="s">
        <v>74</v>
      </c>
      <c r="E42" t="s">
        <v>74</v>
      </c>
      <c r="F42" t="s">
        <v>926</v>
      </c>
      <c r="G42" t="s">
        <v>74</v>
      </c>
      <c r="H42" t="s">
        <v>74</v>
      </c>
      <c r="I42" t="s">
        <v>927</v>
      </c>
      <c r="J42" t="s">
        <v>928</v>
      </c>
      <c r="K42" t="s">
        <v>74</v>
      </c>
      <c r="L42" t="s">
        <v>74</v>
      </c>
      <c r="M42" t="s">
        <v>78</v>
      </c>
      <c r="N42" t="s">
        <v>79</v>
      </c>
      <c r="O42" t="s">
        <v>74</v>
      </c>
      <c r="P42" t="s">
        <v>74</v>
      </c>
      <c r="Q42" t="s">
        <v>74</v>
      </c>
      <c r="R42" t="s">
        <v>74</v>
      </c>
      <c r="S42" t="s">
        <v>74</v>
      </c>
      <c r="T42" t="s">
        <v>929</v>
      </c>
      <c r="U42" t="s">
        <v>930</v>
      </c>
      <c r="V42" t="s">
        <v>931</v>
      </c>
      <c r="W42" t="s">
        <v>932</v>
      </c>
      <c r="X42" t="s">
        <v>933</v>
      </c>
      <c r="Y42" t="s">
        <v>934</v>
      </c>
      <c r="Z42" t="s">
        <v>935</v>
      </c>
      <c r="AA42" t="s">
        <v>936</v>
      </c>
      <c r="AB42" t="s">
        <v>937</v>
      </c>
      <c r="AC42" t="s">
        <v>74</v>
      </c>
      <c r="AD42" t="s">
        <v>74</v>
      </c>
      <c r="AE42" t="s">
        <v>74</v>
      </c>
      <c r="AF42" t="s">
        <v>74</v>
      </c>
      <c r="AG42">
        <v>58</v>
      </c>
      <c r="AH42">
        <v>91</v>
      </c>
      <c r="AI42">
        <v>98</v>
      </c>
      <c r="AJ42">
        <v>0</v>
      </c>
      <c r="AK42">
        <v>81</v>
      </c>
      <c r="AL42" t="s">
        <v>214</v>
      </c>
      <c r="AM42" t="s">
        <v>215</v>
      </c>
      <c r="AN42" t="s">
        <v>216</v>
      </c>
      <c r="AO42" t="s">
        <v>938</v>
      </c>
      <c r="AP42" t="s">
        <v>939</v>
      </c>
      <c r="AQ42" t="s">
        <v>74</v>
      </c>
      <c r="AR42" t="s">
        <v>940</v>
      </c>
      <c r="AS42" t="s">
        <v>941</v>
      </c>
      <c r="AT42" t="s">
        <v>97</v>
      </c>
      <c r="AU42">
        <v>2011</v>
      </c>
      <c r="AV42">
        <v>48</v>
      </c>
      <c r="AW42">
        <v>1</v>
      </c>
      <c r="AX42" t="s">
        <v>74</v>
      </c>
      <c r="AY42" t="s">
        <v>74</v>
      </c>
      <c r="AZ42" t="s">
        <v>74</v>
      </c>
      <c r="BA42" t="s">
        <v>74</v>
      </c>
      <c r="BB42">
        <v>181</v>
      </c>
      <c r="BC42">
        <v>191</v>
      </c>
      <c r="BD42" t="s">
        <v>74</v>
      </c>
      <c r="BE42" t="s">
        <v>942</v>
      </c>
      <c r="BF42" t="str">
        <f>HYPERLINK("http://dx.doi.org/10.1111/j.1365-2664.2010.01916.x","http://dx.doi.org/10.1111/j.1365-2664.2010.01916.x")</f>
        <v>http://dx.doi.org/10.1111/j.1365-2664.2010.01916.x</v>
      </c>
      <c r="BG42" t="s">
        <v>74</v>
      </c>
      <c r="BH42" t="s">
        <v>74</v>
      </c>
      <c r="BI42">
        <v>11</v>
      </c>
      <c r="BJ42" t="s">
        <v>943</v>
      </c>
      <c r="BK42" t="s">
        <v>100</v>
      </c>
      <c r="BL42" t="s">
        <v>870</v>
      </c>
      <c r="BM42" t="s">
        <v>944</v>
      </c>
      <c r="BN42" t="s">
        <v>74</v>
      </c>
      <c r="BO42" t="s">
        <v>252</v>
      </c>
      <c r="BP42" t="s">
        <v>74</v>
      </c>
      <c r="BQ42" t="s">
        <v>74</v>
      </c>
      <c r="BR42" t="s">
        <v>103</v>
      </c>
      <c r="BS42" t="s">
        <v>945</v>
      </c>
      <c r="BT42" t="str">
        <f>HYPERLINK("https%3A%2F%2Fwww.webofscience.com%2Fwos%2Fwoscc%2Ffull-record%2FWOS:000286000100022","View Full Record in Web of Science")</f>
        <v>View Full Record in Web of Science</v>
      </c>
    </row>
    <row r="43" spans="1:72" x14ac:dyDescent="0.15">
      <c r="A43" t="s">
        <v>72</v>
      </c>
      <c r="B43" t="s">
        <v>946</v>
      </c>
      <c r="C43" t="s">
        <v>74</v>
      </c>
      <c r="D43" t="s">
        <v>74</v>
      </c>
      <c r="E43" t="s">
        <v>74</v>
      </c>
      <c r="F43" t="s">
        <v>947</v>
      </c>
      <c r="G43" t="s">
        <v>74</v>
      </c>
      <c r="H43" t="s">
        <v>74</v>
      </c>
      <c r="I43" t="s">
        <v>948</v>
      </c>
      <c r="J43" t="s">
        <v>949</v>
      </c>
      <c r="K43" t="s">
        <v>74</v>
      </c>
      <c r="L43" t="s">
        <v>74</v>
      </c>
      <c r="M43" t="s">
        <v>78</v>
      </c>
      <c r="N43" t="s">
        <v>79</v>
      </c>
      <c r="O43" t="s">
        <v>74</v>
      </c>
      <c r="P43" t="s">
        <v>74</v>
      </c>
      <c r="Q43" t="s">
        <v>74</v>
      </c>
      <c r="R43" t="s">
        <v>74</v>
      </c>
      <c r="S43" t="s">
        <v>74</v>
      </c>
      <c r="T43" t="s">
        <v>950</v>
      </c>
      <c r="U43" t="s">
        <v>951</v>
      </c>
      <c r="V43" t="s">
        <v>952</v>
      </c>
      <c r="W43" t="s">
        <v>953</v>
      </c>
      <c r="X43" t="s">
        <v>954</v>
      </c>
      <c r="Y43" t="s">
        <v>955</v>
      </c>
      <c r="Z43" t="s">
        <v>956</v>
      </c>
      <c r="AA43" t="s">
        <v>957</v>
      </c>
      <c r="AB43" t="s">
        <v>958</v>
      </c>
      <c r="AC43" t="s">
        <v>959</v>
      </c>
      <c r="AD43" t="s">
        <v>960</v>
      </c>
      <c r="AE43" t="s">
        <v>961</v>
      </c>
      <c r="AF43" t="s">
        <v>74</v>
      </c>
      <c r="AG43">
        <v>20</v>
      </c>
      <c r="AH43">
        <v>54</v>
      </c>
      <c r="AI43">
        <v>58</v>
      </c>
      <c r="AJ43">
        <v>0</v>
      </c>
      <c r="AK43">
        <v>8</v>
      </c>
      <c r="AL43" t="s">
        <v>718</v>
      </c>
      <c r="AM43" t="s">
        <v>719</v>
      </c>
      <c r="AN43" t="s">
        <v>720</v>
      </c>
      <c r="AO43" t="s">
        <v>962</v>
      </c>
      <c r="AP43" t="s">
        <v>963</v>
      </c>
      <c r="AQ43" t="s">
        <v>74</v>
      </c>
      <c r="AR43" t="s">
        <v>964</v>
      </c>
      <c r="AS43" t="s">
        <v>965</v>
      </c>
      <c r="AT43" t="s">
        <v>97</v>
      </c>
      <c r="AU43">
        <v>2011</v>
      </c>
      <c r="AV43">
        <v>73</v>
      </c>
      <c r="AW43" t="s">
        <v>966</v>
      </c>
      <c r="AX43" t="s">
        <v>74</v>
      </c>
      <c r="AY43" t="s">
        <v>74</v>
      </c>
      <c r="AZ43" t="s">
        <v>967</v>
      </c>
      <c r="BA43" t="s">
        <v>74</v>
      </c>
      <c r="BB43">
        <v>235</v>
      </c>
      <c r="BC43">
        <v>240</v>
      </c>
      <c r="BD43" t="s">
        <v>74</v>
      </c>
      <c r="BE43" t="s">
        <v>968</v>
      </c>
      <c r="BF43" t="str">
        <f>HYPERLINK("http://dx.doi.org/10.1016/j.jastp.2010.04.002","http://dx.doi.org/10.1016/j.jastp.2010.04.002")</f>
        <v>http://dx.doi.org/10.1016/j.jastp.2010.04.002</v>
      </c>
      <c r="BG43" t="s">
        <v>74</v>
      </c>
      <c r="BH43" t="s">
        <v>74</v>
      </c>
      <c r="BI43">
        <v>6</v>
      </c>
      <c r="BJ43" t="s">
        <v>969</v>
      </c>
      <c r="BK43" t="s">
        <v>100</v>
      </c>
      <c r="BL43" t="s">
        <v>969</v>
      </c>
      <c r="BM43" t="s">
        <v>970</v>
      </c>
      <c r="BN43" t="s">
        <v>74</v>
      </c>
      <c r="BO43" t="s">
        <v>74</v>
      </c>
      <c r="BP43" t="s">
        <v>74</v>
      </c>
      <c r="BQ43" t="s">
        <v>74</v>
      </c>
      <c r="BR43" t="s">
        <v>103</v>
      </c>
      <c r="BS43" t="s">
        <v>971</v>
      </c>
      <c r="BT43" t="str">
        <f>HYPERLINK("https%3A%2F%2Fwww.webofscience.com%2Fwos%2Fwoscc%2Ffull-record%2FWOS:000287055300008","View Full Record in Web of Science")</f>
        <v>View Full Record in Web of Science</v>
      </c>
    </row>
    <row r="44" spans="1:72" x14ac:dyDescent="0.15">
      <c r="A44" t="s">
        <v>72</v>
      </c>
      <c r="B44" t="s">
        <v>972</v>
      </c>
      <c r="C44" t="s">
        <v>74</v>
      </c>
      <c r="D44" t="s">
        <v>74</v>
      </c>
      <c r="E44" t="s">
        <v>74</v>
      </c>
      <c r="F44" t="s">
        <v>973</v>
      </c>
      <c r="G44" t="s">
        <v>74</v>
      </c>
      <c r="H44" t="s">
        <v>74</v>
      </c>
      <c r="I44" t="s">
        <v>974</v>
      </c>
      <c r="J44" t="s">
        <v>949</v>
      </c>
      <c r="K44" t="s">
        <v>74</v>
      </c>
      <c r="L44" t="s">
        <v>74</v>
      </c>
      <c r="M44" t="s">
        <v>78</v>
      </c>
      <c r="N44" t="s">
        <v>79</v>
      </c>
      <c r="O44" t="s">
        <v>74</v>
      </c>
      <c r="P44" t="s">
        <v>74</v>
      </c>
      <c r="Q44" t="s">
        <v>74</v>
      </c>
      <c r="R44" t="s">
        <v>74</v>
      </c>
      <c r="S44" t="s">
        <v>74</v>
      </c>
      <c r="T44" t="s">
        <v>975</v>
      </c>
      <c r="U44" t="s">
        <v>976</v>
      </c>
      <c r="V44" t="s">
        <v>977</v>
      </c>
      <c r="W44" t="s">
        <v>978</v>
      </c>
      <c r="X44" t="s">
        <v>979</v>
      </c>
      <c r="Y44" t="s">
        <v>980</v>
      </c>
      <c r="Z44" t="s">
        <v>981</v>
      </c>
      <c r="AA44" t="s">
        <v>982</v>
      </c>
      <c r="AB44" t="s">
        <v>74</v>
      </c>
      <c r="AC44" t="s">
        <v>983</v>
      </c>
      <c r="AD44" t="s">
        <v>984</v>
      </c>
      <c r="AE44" t="s">
        <v>985</v>
      </c>
      <c r="AF44" t="s">
        <v>74</v>
      </c>
      <c r="AG44">
        <v>27</v>
      </c>
      <c r="AH44">
        <v>20</v>
      </c>
      <c r="AI44">
        <v>20</v>
      </c>
      <c r="AJ44">
        <v>0</v>
      </c>
      <c r="AK44">
        <v>3</v>
      </c>
      <c r="AL44" t="s">
        <v>718</v>
      </c>
      <c r="AM44" t="s">
        <v>719</v>
      </c>
      <c r="AN44" t="s">
        <v>720</v>
      </c>
      <c r="AO44" t="s">
        <v>962</v>
      </c>
      <c r="AP44" t="s">
        <v>74</v>
      </c>
      <c r="AQ44" t="s">
        <v>74</v>
      </c>
      <c r="AR44" t="s">
        <v>964</v>
      </c>
      <c r="AS44" t="s">
        <v>965</v>
      </c>
      <c r="AT44" t="s">
        <v>97</v>
      </c>
      <c r="AU44">
        <v>2011</v>
      </c>
      <c r="AV44">
        <v>73</v>
      </c>
      <c r="AW44" t="s">
        <v>966</v>
      </c>
      <c r="AX44" t="s">
        <v>74</v>
      </c>
      <c r="AY44" t="s">
        <v>74</v>
      </c>
      <c r="AZ44" t="s">
        <v>967</v>
      </c>
      <c r="BA44" t="s">
        <v>74</v>
      </c>
      <c r="BB44">
        <v>366</v>
      </c>
      <c r="BC44">
        <v>370</v>
      </c>
      <c r="BD44" t="s">
        <v>74</v>
      </c>
      <c r="BE44" t="s">
        <v>986</v>
      </c>
      <c r="BF44" t="str">
        <f>HYPERLINK("http://dx.doi.org/10.1016/j.jastp.2010.05.004","http://dx.doi.org/10.1016/j.jastp.2010.05.004")</f>
        <v>http://dx.doi.org/10.1016/j.jastp.2010.05.004</v>
      </c>
      <c r="BG44" t="s">
        <v>74</v>
      </c>
      <c r="BH44" t="s">
        <v>74</v>
      </c>
      <c r="BI44">
        <v>5</v>
      </c>
      <c r="BJ44" t="s">
        <v>969</v>
      </c>
      <c r="BK44" t="s">
        <v>100</v>
      </c>
      <c r="BL44" t="s">
        <v>969</v>
      </c>
      <c r="BM44" t="s">
        <v>970</v>
      </c>
      <c r="BN44" t="s">
        <v>74</v>
      </c>
      <c r="BO44" t="s">
        <v>74</v>
      </c>
      <c r="BP44" t="s">
        <v>74</v>
      </c>
      <c r="BQ44" t="s">
        <v>74</v>
      </c>
      <c r="BR44" t="s">
        <v>103</v>
      </c>
      <c r="BS44" t="s">
        <v>987</v>
      </c>
      <c r="BT44" t="str">
        <f>HYPERLINK("https%3A%2F%2Fwww.webofscience.com%2Fwos%2Fwoscc%2Ffull-record%2FWOS:000287055300024","View Full Record in Web of Science")</f>
        <v>View Full Record in Web of Science</v>
      </c>
    </row>
    <row r="45" spans="1:72" x14ac:dyDescent="0.15">
      <c r="A45" t="s">
        <v>72</v>
      </c>
      <c r="B45" t="s">
        <v>988</v>
      </c>
      <c r="C45" t="s">
        <v>74</v>
      </c>
      <c r="D45" t="s">
        <v>74</v>
      </c>
      <c r="E45" t="s">
        <v>74</v>
      </c>
      <c r="F45" t="s">
        <v>989</v>
      </c>
      <c r="G45" t="s">
        <v>74</v>
      </c>
      <c r="H45" t="s">
        <v>74</v>
      </c>
      <c r="I45" t="s">
        <v>990</v>
      </c>
      <c r="J45" t="s">
        <v>949</v>
      </c>
      <c r="K45" t="s">
        <v>74</v>
      </c>
      <c r="L45" t="s">
        <v>74</v>
      </c>
      <c r="M45" t="s">
        <v>78</v>
      </c>
      <c r="N45" t="s">
        <v>79</v>
      </c>
      <c r="O45" t="s">
        <v>74</v>
      </c>
      <c r="P45" t="s">
        <v>74</v>
      </c>
      <c r="Q45" t="s">
        <v>74</v>
      </c>
      <c r="R45" t="s">
        <v>74</v>
      </c>
      <c r="S45" t="s">
        <v>74</v>
      </c>
      <c r="T45" t="s">
        <v>991</v>
      </c>
      <c r="U45" t="s">
        <v>992</v>
      </c>
      <c r="V45" t="s">
        <v>993</v>
      </c>
      <c r="W45" t="s">
        <v>994</v>
      </c>
      <c r="X45" t="s">
        <v>995</v>
      </c>
      <c r="Y45" t="s">
        <v>996</v>
      </c>
      <c r="Z45" t="s">
        <v>997</v>
      </c>
      <c r="AA45" t="s">
        <v>74</v>
      </c>
      <c r="AB45" t="s">
        <v>74</v>
      </c>
      <c r="AC45" t="s">
        <v>998</v>
      </c>
      <c r="AD45" t="s">
        <v>999</v>
      </c>
      <c r="AE45" t="s">
        <v>1000</v>
      </c>
      <c r="AF45" t="s">
        <v>74</v>
      </c>
      <c r="AG45">
        <v>28</v>
      </c>
      <c r="AH45">
        <v>14</v>
      </c>
      <c r="AI45">
        <v>16</v>
      </c>
      <c r="AJ45">
        <v>0</v>
      </c>
      <c r="AK45">
        <v>5</v>
      </c>
      <c r="AL45" t="s">
        <v>718</v>
      </c>
      <c r="AM45" t="s">
        <v>719</v>
      </c>
      <c r="AN45" t="s">
        <v>720</v>
      </c>
      <c r="AO45" t="s">
        <v>962</v>
      </c>
      <c r="AP45" t="s">
        <v>963</v>
      </c>
      <c r="AQ45" t="s">
        <v>74</v>
      </c>
      <c r="AR45" t="s">
        <v>964</v>
      </c>
      <c r="AS45" t="s">
        <v>965</v>
      </c>
      <c r="AT45" t="s">
        <v>97</v>
      </c>
      <c r="AU45">
        <v>2011</v>
      </c>
      <c r="AV45">
        <v>73</v>
      </c>
      <c r="AW45" t="s">
        <v>966</v>
      </c>
      <c r="AX45" t="s">
        <v>74</v>
      </c>
      <c r="AY45" t="s">
        <v>74</v>
      </c>
      <c r="AZ45" t="s">
        <v>967</v>
      </c>
      <c r="BA45" t="s">
        <v>74</v>
      </c>
      <c r="BB45">
        <v>371</v>
      </c>
      <c r="BC45">
        <v>376</v>
      </c>
      <c r="BD45" t="s">
        <v>74</v>
      </c>
      <c r="BE45" t="s">
        <v>1001</v>
      </c>
      <c r="BF45" t="str">
        <f>HYPERLINK("http://dx.doi.org/10.1016/j.jastp.2010.03.008","http://dx.doi.org/10.1016/j.jastp.2010.03.008")</f>
        <v>http://dx.doi.org/10.1016/j.jastp.2010.03.008</v>
      </c>
      <c r="BG45" t="s">
        <v>74</v>
      </c>
      <c r="BH45" t="s">
        <v>74</v>
      </c>
      <c r="BI45">
        <v>6</v>
      </c>
      <c r="BJ45" t="s">
        <v>969</v>
      </c>
      <c r="BK45" t="s">
        <v>100</v>
      </c>
      <c r="BL45" t="s">
        <v>969</v>
      </c>
      <c r="BM45" t="s">
        <v>970</v>
      </c>
      <c r="BN45" t="s">
        <v>74</v>
      </c>
      <c r="BO45" t="s">
        <v>74</v>
      </c>
      <c r="BP45" t="s">
        <v>74</v>
      </c>
      <c r="BQ45" t="s">
        <v>74</v>
      </c>
      <c r="BR45" t="s">
        <v>103</v>
      </c>
      <c r="BS45" t="s">
        <v>1002</v>
      </c>
      <c r="BT45" t="str">
        <f>HYPERLINK("https%3A%2F%2Fwww.webofscience.com%2Fwos%2Fwoscc%2Ffull-record%2FWOS:000287055300025","View Full Record in Web of Science")</f>
        <v>View Full Record in Web of Science</v>
      </c>
    </row>
    <row r="46" spans="1:72" x14ac:dyDescent="0.15">
      <c r="A46" t="s">
        <v>72</v>
      </c>
      <c r="B46" t="s">
        <v>1003</v>
      </c>
      <c r="C46" t="s">
        <v>74</v>
      </c>
      <c r="D46" t="s">
        <v>74</v>
      </c>
      <c r="E46" t="s">
        <v>74</v>
      </c>
      <c r="F46" t="s">
        <v>1004</v>
      </c>
      <c r="G46" t="s">
        <v>74</v>
      </c>
      <c r="H46" t="s">
        <v>74</v>
      </c>
      <c r="I46" t="s">
        <v>1005</v>
      </c>
      <c r="J46" t="s">
        <v>1006</v>
      </c>
      <c r="K46" t="s">
        <v>74</v>
      </c>
      <c r="L46" t="s">
        <v>74</v>
      </c>
      <c r="M46" t="s">
        <v>78</v>
      </c>
      <c r="N46" t="s">
        <v>79</v>
      </c>
      <c r="O46" t="s">
        <v>74</v>
      </c>
      <c r="P46" t="s">
        <v>74</v>
      </c>
      <c r="Q46" t="s">
        <v>74</v>
      </c>
      <c r="R46" t="s">
        <v>74</v>
      </c>
      <c r="S46" t="s">
        <v>74</v>
      </c>
      <c r="T46" t="s">
        <v>74</v>
      </c>
      <c r="U46" t="s">
        <v>1007</v>
      </c>
      <c r="V46" t="s">
        <v>1008</v>
      </c>
      <c r="W46" t="s">
        <v>1009</v>
      </c>
      <c r="X46" t="s">
        <v>1010</v>
      </c>
      <c r="Y46" t="s">
        <v>1011</v>
      </c>
      <c r="Z46" t="s">
        <v>1012</v>
      </c>
      <c r="AA46" t="s">
        <v>1013</v>
      </c>
      <c r="AB46" t="s">
        <v>1014</v>
      </c>
      <c r="AC46" t="s">
        <v>1015</v>
      </c>
      <c r="AD46" t="s">
        <v>1016</v>
      </c>
      <c r="AE46" t="s">
        <v>1017</v>
      </c>
      <c r="AF46" t="s">
        <v>74</v>
      </c>
      <c r="AG46">
        <v>58</v>
      </c>
      <c r="AH46">
        <v>20</v>
      </c>
      <c r="AI46">
        <v>23</v>
      </c>
      <c r="AJ46">
        <v>1</v>
      </c>
      <c r="AK46">
        <v>15</v>
      </c>
      <c r="AL46" t="s">
        <v>1018</v>
      </c>
      <c r="AM46" t="s">
        <v>1019</v>
      </c>
      <c r="AN46" t="s">
        <v>1020</v>
      </c>
      <c r="AO46" t="s">
        <v>1021</v>
      </c>
      <c r="AP46" t="s">
        <v>1022</v>
      </c>
      <c r="AQ46" t="s">
        <v>74</v>
      </c>
      <c r="AR46" t="s">
        <v>1023</v>
      </c>
      <c r="AS46" t="s">
        <v>1024</v>
      </c>
      <c r="AT46" t="s">
        <v>247</v>
      </c>
      <c r="AU46">
        <v>2011</v>
      </c>
      <c r="AV46">
        <v>24</v>
      </c>
      <c r="AW46">
        <v>3</v>
      </c>
      <c r="AX46" t="s">
        <v>74</v>
      </c>
      <c r="AY46" t="s">
        <v>74</v>
      </c>
      <c r="AZ46" t="s">
        <v>74</v>
      </c>
      <c r="BA46" t="s">
        <v>74</v>
      </c>
      <c r="BB46">
        <v>624</v>
      </c>
      <c r="BC46">
        <v>640</v>
      </c>
      <c r="BD46" t="s">
        <v>74</v>
      </c>
      <c r="BE46" t="s">
        <v>1025</v>
      </c>
      <c r="BF46" t="str">
        <f>HYPERLINK("http://dx.doi.org/10.1175/2010JCLI3576.1","http://dx.doi.org/10.1175/2010JCLI3576.1")</f>
        <v>http://dx.doi.org/10.1175/2010JCLI3576.1</v>
      </c>
      <c r="BG46" t="s">
        <v>74</v>
      </c>
      <c r="BH46" t="s">
        <v>74</v>
      </c>
      <c r="BI46">
        <v>17</v>
      </c>
      <c r="BJ46" t="s">
        <v>603</v>
      </c>
      <c r="BK46" t="s">
        <v>100</v>
      </c>
      <c r="BL46" t="s">
        <v>603</v>
      </c>
      <c r="BM46" t="s">
        <v>1026</v>
      </c>
      <c r="BN46" t="s">
        <v>74</v>
      </c>
      <c r="BO46" t="s">
        <v>375</v>
      </c>
      <c r="BP46" t="s">
        <v>74</v>
      </c>
      <c r="BQ46" t="s">
        <v>74</v>
      </c>
      <c r="BR46" t="s">
        <v>103</v>
      </c>
      <c r="BS46" t="s">
        <v>1027</v>
      </c>
      <c r="BT46" t="str">
        <f>HYPERLINK("https%3A%2F%2Fwww.webofscience.com%2Fwos%2Fwoscc%2Ffull-record%2FWOS:000288304500004","View Full Record in Web of Science")</f>
        <v>View Full Record in Web of Science</v>
      </c>
    </row>
    <row r="47" spans="1:72" x14ac:dyDescent="0.15">
      <c r="A47" t="s">
        <v>72</v>
      </c>
      <c r="B47" t="s">
        <v>1028</v>
      </c>
      <c r="C47" t="s">
        <v>74</v>
      </c>
      <c r="D47" t="s">
        <v>74</v>
      </c>
      <c r="E47" t="s">
        <v>74</v>
      </c>
      <c r="F47" t="s">
        <v>1029</v>
      </c>
      <c r="G47" t="s">
        <v>74</v>
      </c>
      <c r="H47" t="s">
        <v>74</v>
      </c>
      <c r="I47" t="s">
        <v>1030</v>
      </c>
      <c r="J47" t="s">
        <v>1031</v>
      </c>
      <c r="K47" t="s">
        <v>74</v>
      </c>
      <c r="L47" t="s">
        <v>74</v>
      </c>
      <c r="M47" t="s">
        <v>78</v>
      </c>
      <c r="N47" t="s">
        <v>79</v>
      </c>
      <c r="O47" t="s">
        <v>74</v>
      </c>
      <c r="P47" t="s">
        <v>74</v>
      </c>
      <c r="Q47" t="s">
        <v>74</v>
      </c>
      <c r="R47" t="s">
        <v>74</v>
      </c>
      <c r="S47" t="s">
        <v>74</v>
      </c>
      <c r="T47" t="s">
        <v>1032</v>
      </c>
      <c r="U47" t="s">
        <v>1033</v>
      </c>
      <c r="V47" t="s">
        <v>1034</v>
      </c>
      <c r="W47" t="s">
        <v>1035</v>
      </c>
      <c r="X47" t="s">
        <v>1036</v>
      </c>
      <c r="Y47" t="s">
        <v>1037</v>
      </c>
      <c r="Z47" t="s">
        <v>1038</v>
      </c>
      <c r="AA47" t="s">
        <v>74</v>
      </c>
      <c r="AB47" t="s">
        <v>74</v>
      </c>
      <c r="AC47" t="s">
        <v>1039</v>
      </c>
      <c r="AD47" t="s">
        <v>1040</v>
      </c>
      <c r="AE47" t="s">
        <v>1041</v>
      </c>
      <c r="AF47" t="s">
        <v>74</v>
      </c>
      <c r="AG47">
        <v>21</v>
      </c>
      <c r="AH47">
        <v>3</v>
      </c>
      <c r="AI47">
        <v>3</v>
      </c>
      <c r="AJ47">
        <v>0</v>
      </c>
      <c r="AK47">
        <v>2</v>
      </c>
      <c r="AL47" t="s">
        <v>1042</v>
      </c>
      <c r="AM47" t="s">
        <v>1043</v>
      </c>
      <c r="AN47" t="s">
        <v>1044</v>
      </c>
      <c r="AO47" t="s">
        <v>1045</v>
      </c>
      <c r="AP47" t="s">
        <v>74</v>
      </c>
      <c r="AQ47" t="s">
        <v>74</v>
      </c>
      <c r="AR47" t="s">
        <v>1046</v>
      </c>
      <c r="AS47" t="s">
        <v>1047</v>
      </c>
      <c r="AT47" t="s">
        <v>97</v>
      </c>
      <c r="AU47">
        <v>2011</v>
      </c>
      <c r="AV47">
        <v>31</v>
      </c>
      <c r="AW47">
        <v>1</v>
      </c>
      <c r="AX47" t="s">
        <v>74</v>
      </c>
      <c r="AY47" t="s">
        <v>74</v>
      </c>
      <c r="AZ47" t="s">
        <v>74</v>
      </c>
      <c r="BA47" t="s">
        <v>74</v>
      </c>
      <c r="BB47">
        <v>192</v>
      </c>
      <c r="BC47">
        <v>208</v>
      </c>
      <c r="BD47" t="s">
        <v>74</v>
      </c>
      <c r="BE47" t="s">
        <v>1048</v>
      </c>
      <c r="BF47" t="str">
        <f>HYPERLINK("http://dx.doi.org/10.1651/09-3267.1","http://dx.doi.org/10.1651/09-3267.1")</f>
        <v>http://dx.doi.org/10.1651/09-3267.1</v>
      </c>
      <c r="BG47" t="s">
        <v>74</v>
      </c>
      <c r="BH47" t="s">
        <v>74</v>
      </c>
      <c r="BI47">
        <v>17</v>
      </c>
      <c r="BJ47" t="s">
        <v>1049</v>
      </c>
      <c r="BK47" t="s">
        <v>100</v>
      </c>
      <c r="BL47" t="s">
        <v>1049</v>
      </c>
      <c r="BM47" t="s">
        <v>1050</v>
      </c>
      <c r="BN47" t="s">
        <v>74</v>
      </c>
      <c r="BO47" t="s">
        <v>1051</v>
      </c>
      <c r="BP47" t="s">
        <v>74</v>
      </c>
      <c r="BQ47" t="s">
        <v>74</v>
      </c>
      <c r="BR47" t="s">
        <v>103</v>
      </c>
      <c r="BS47" t="s">
        <v>1052</v>
      </c>
      <c r="BT47" t="str">
        <f>HYPERLINK("https%3A%2F%2Fwww.webofscience.com%2Fwos%2Fwoscc%2Ffull-record%2FWOS:000287427300020","View Full Record in Web of Science")</f>
        <v>View Full Record in Web of Science</v>
      </c>
    </row>
    <row r="48" spans="1:72" x14ac:dyDescent="0.15">
      <c r="A48" t="s">
        <v>72</v>
      </c>
      <c r="B48" t="s">
        <v>1053</v>
      </c>
      <c r="C48" t="s">
        <v>74</v>
      </c>
      <c r="D48" t="s">
        <v>74</v>
      </c>
      <c r="E48" t="s">
        <v>74</v>
      </c>
      <c r="F48" t="s">
        <v>1054</v>
      </c>
      <c r="G48" t="s">
        <v>74</v>
      </c>
      <c r="H48" t="s">
        <v>74</v>
      </c>
      <c r="I48" t="s">
        <v>1055</v>
      </c>
      <c r="J48" t="s">
        <v>1056</v>
      </c>
      <c r="K48" t="s">
        <v>74</v>
      </c>
      <c r="L48" t="s">
        <v>74</v>
      </c>
      <c r="M48" t="s">
        <v>78</v>
      </c>
      <c r="N48" t="s">
        <v>79</v>
      </c>
      <c r="O48" t="s">
        <v>74</v>
      </c>
      <c r="P48" t="s">
        <v>74</v>
      </c>
      <c r="Q48" t="s">
        <v>74</v>
      </c>
      <c r="R48" t="s">
        <v>74</v>
      </c>
      <c r="S48" t="s">
        <v>74</v>
      </c>
      <c r="T48" t="s">
        <v>1057</v>
      </c>
      <c r="U48" t="s">
        <v>1058</v>
      </c>
      <c r="V48" t="s">
        <v>1059</v>
      </c>
      <c r="W48" t="s">
        <v>1060</v>
      </c>
      <c r="X48" t="s">
        <v>1061</v>
      </c>
      <c r="Y48" t="s">
        <v>1062</v>
      </c>
      <c r="Z48" t="s">
        <v>1063</v>
      </c>
      <c r="AA48" t="s">
        <v>1064</v>
      </c>
      <c r="AB48" t="s">
        <v>1065</v>
      </c>
      <c r="AC48" t="s">
        <v>1066</v>
      </c>
      <c r="AD48" t="s">
        <v>1067</v>
      </c>
      <c r="AE48" t="s">
        <v>1068</v>
      </c>
      <c r="AF48" t="s">
        <v>74</v>
      </c>
      <c r="AG48">
        <v>15</v>
      </c>
      <c r="AH48">
        <v>81</v>
      </c>
      <c r="AI48">
        <v>100</v>
      </c>
      <c r="AJ48">
        <v>8</v>
      </c>
      <c r="AK48">
        <v>121</v>
      </c>
      <c r="AL48" t="s">
        <v>639</v>
      </c>
      <c r="AM48" t="s">
        <v>640</v>
      </c>
      <c r="AN48" t="s">
        <v>641</v>
      </c>
      <c r="AO48" t="s">
        <v>1069</v>
      </c>
      <c r="AP48" t="s">
        <v>1070</v>
      </c>
      <c r="AQ48" t="s">
        <v>74</v>
      </c>
      <c r="AR48" t="s">
        <v>1071</v>
      </c>
      <c r="AS48" t="s">
        <v>1072</v>
      </c>
      <c r="AT48" t="s">
        <v>97</v>
      </c>
      <c r="AU48">
        <v>2011</v>
      </c>
      <c r="AV48">
        <v>84</v>
      </c>
      <c r="AW48">
        <v>2</v>
      </c>
      <c r="AX48" t="s">
        <v>74</v>
      </c>
      <c r="AY48" t="s">
        <v>74</v>
      </c>
      <c r="AZ48" t="s">
        <v>74</v>
      </c>
      <c r="BA48" t="s">
        <v>74</v>
      </c>
      <c r="BB48">
        <v>278</v>
      </c>
      <c r="BC48">
        <v>282</v>
      </c>
      <c r="BD48" t="s">
        <v>74</v>
      </c>
      <c r="BE48" t="s">
        <v>1073</v>
      </c>
      <c r="BF48" t="str">
        <f>HYPERLINK("http://dx.doi.org/10.1016/j.mimet.2010.12.008","http://dx.doi.org/10.1016/j.mimet.2010.12.008")</f>
        <v>http://dx.doi.org/10.1016/j.mimet.2010.12.008</v>
      </c>
      <c r="BG48" t="s">
        <v>74</v>
      </c>
      <c r="BH48" t="s">
        <v>74</v>
      </c>
      <c r="BI48">
        <v>5</v>
      </c>
      <c r="BJ48" t="s">
        <v>1074</v>
      </c>
      <c r="BK48" t="s">
        <v>100</v>
      </c>
      <c r="BL48" t="s">
        <v>1075</v>
      </c>
      <c r="BM48" t="s">
        <v>1076</v>
      </c>
      <c r="BN48">
        <v>21167876</v>
      </c>
      <c r="BO48" t="s">
        <v>74</v>
      </c>
      <c r="BP48" t="s">
        <v>74</v>
      </c>
      <c r="BQ48" t="s">
        <v>74</v>
      </c>
      <c r="BR48" t="s">
        <v>103</v>
      </c>
      <c r="BS48" t="s">
        <v>1077</v>
      </c>
      <c r="BT48" t="str">
        <f>HYPERLINK("https%3A%2F%2Fwww.webofscience.com%2Fwos%2Fwoscc%2Ffull-record%2FWOS:000287951200020","View Full Record in Web of Science")</f>
        <v>View Full Record in Web of Science</v>
      </c>
    </row>
    <row r="49" spans="1:72" x14ac:dyDescent="0.15">
      <c r="A49" t="s">
        <v>72</v>
      </c>
      <c r="B49" t="s">
        <v>1078</v>
      </c>
      <c r="C49" t="s">
        <v>74</v>
      </c>
      <c r="D49" t="s">
        <v>74</v>
      </c>
      <c r="E49" t="s">
        <v>74</v>
      </c>
      <c r="F49" t="s">
        <v>1079</v>
      </c>
      <c r="G49" t="s">
        <v>74</v>
      </c>
      <c r="H49" t="s">
        <v>74</v>
      </c>
      <c r="I49" t="s">
        <v>1080</v>
      </c>
      <c r="J49" t="s">
        <v>257</v>
      </c>
      <c r="K49" t="s">
        <v>74</v>
      </c>
      <c r="L49" t="s">
        <v>74</v>
      </c>
      <c r="M49" t="s">
        <v>78</v>
      </c>
      <c r="N49" t="s">
        <v>79</v>
      </c>
      <c r="O49" t="s">
        <v>74</v>
      </c>
      <c r="P49" t="s">
        <v>74</v>
      </c>
      <c r="Q49" t="s">
        <v>74</v>
      </c>
      <c r="R49" t="s">
        <v>74</v>
      </c>
      <c r="S49" t="s">
        <v>74</v>
      </c>
      <c r="T49" t="s">
        <v>1081</v>
      </c>
      <c r="U49" t="s">
        <v>1082</v>
      </c>
      <c r="V49" t="s">
        <v>1083</v>
      </c>
      <c r="W49" t="s">
        <v>1084</v>
      </c>
      <c r="X49" t="s">
        <v>1085</v>
      </c>
      <c r="Y49" t="s">
        <v>1086</v>
      </c>
      <c r="Z49" t="s">
        <v>1087</v>
      </c>
      <c r="AA49" t="s">
        <v>1088</v>
      </c>
      <c r="AB49" t="s">
        <v>1089</v>
      </c>
      <c r="AC49" t="s">
        <v>1090</v>
      </c>
      <c r="AD49" t="s">
        <v>1091</v>
      </c>
      <c r="AE49" t="s">
        <v>1092</v>
      </c>
      <c r="AF49" t="s">
        <v>74</v>
      </c>
      <c r="AG49">
        <v>50</v>
      </c>
      <c r="AH49">
        <v>13</v>
      </c>
      <c r="AI49">
        <v>15</v>
      </c>
      <c r="AJ49">
        <v>1</v>
      </c>
      <c r="AK49">
        <v>19</v>
      </c>
      <c r="AL49" t="s">
        <v>270</v>
      </c>
      <c r="AM49" t="s">
        <v>271</v>
      </c>
      <c r="AN49" t="s">
        <v>272</v>
      </c>
      <c r="AO49" t="s">
        <v>273</v>
      </c>
      <c r="AP49" t="s">
        <v>74</v>
      </c>
      <c r="AQ49" t="s">
        <v>74</v>
      </c>
      <c r="AR49" t="s">
        <v>274</v>
      </c>
      <c r="AS49" t="s">
        <v>275</v>
      </c>
      <c r="AT49" t="s">
        <v>97</v>
      </c>
      <c r="AU49">
        <v>2011</v>
      </c>
      <c r="AV49">
        <v>45</v>
      </c>
      <c r="AW49">
        <v>2</v>
      </c>
      <c r="AX49" t="s">
        <v>74</v>
      </c>
      <c r="AY49" t="s">
        <v>74</v>
      </c>
      <c r="AZ49" t="s">
        <v>74</v>
      </c>
      <c r="BA49" t="s">
        <v>74</v>
      </c>
      <c r="BB49">
        <v>213</v>
      </c>
      <c r="BC49">
        <v>222</v>
      </c>
      <c r="BD49" t="s">
        <v>74</v>
      </c>
      <c r="BE49" t="s">
        <v>1093</v>
      </c>
      <c r="BF49" t="str">
        <f>HYPERLINK("http://dx.doi.org/10.1007/s10933-010-9493-6","http://dx.doi.org/10.1007/s10933-010-9493-6")</f>
        <v>http://dx.doi.org/10.1007/s10933-010-9493-6</v>
      </c>
      <c r="BG49" t="s">
        <v>74</v>
      </c>
      <c r="BH49" t="s">
        <v>74</v>
      </c>
      <c r="BI49">
        <v>10</v>
      </c>
      <c r="BJ49" t="s">
        <v>277</v>
      </c>
      <c r="BK49" t="s">
        <v>100</v>
      </c>
      <c r="BL49" t="s">
        <v>278</v>
      </c>
      <c r="BM49" t="s">
        <v>279</v>
      </c>
      <c r="BN49" t="s">
        <v>74</v>
      </c>
      <c r="BO49" t="s">
        <v>74</v>
      </c>
      <c r="BP49" t="s">
        <v>74</v>
      </c>
      <c r="BQ49" t="s">
        <v>74</v>
      </c>
      <c r="BR49" t="s">
        <v>103</v>
      </c>
      <c r="BS49" t="s">
        <v>1094</v>
      </c>
      <c r="BT49" t="str">
        <f>HYPERLINK("https%3A%2F%2Fwww.webofscience.com%2Fwos%2Fwoscc%2Ffull-record%2FWOS:000286677000007","View Full Record in Web of Science")</f>
        <v>View Full Record in Web of Science</v>
      </c>
    </row>
    <row r="50" spans="1:72" x14ac:dyDescent="0.15">
      <c r="A50" t="s">
        <v>72</v>
      </c>
      <c r="B50" t="s">
        <v>1095</v>
      </c>
      <c r="C50" t="s">
        <v>74</v>
      </c>
      <c r="D50" t="s">
        <v>74</v>
      </c>
      <c r="E50" t="s">
        <v>74</v>
      </c>
      <c r="F50" t="s">
        <v>1096</v>
      </c>
      <c r="G50" t="s">
        <v>74</v>
      </c>
      <c r="H50" t="s">
        <v>74</v>
      </c>
      <c r="I50" t="s">
        <v>1097</v>
      </c>
      <c r="J50" t="s">
        <v>1098</v>
      </c>
      <c r="K50" t="s">
        <v>74</v>
      </c>
      <c r="L50" t="s">
        <v>74</v>
      </c>
      <c r="M50" t="s">
        <v>78</v>
      </c>
      <c r="N50" t="s">
        <v>79</v>
      </c>
      <c r="O50" t="s">
        <v>74</v>
      </c>
      <c r="P50" t="s">
        <v>74</v>
      </c>
      <c r="Q50" t="s">
        <v>74</v>
      </c>
      <c r="R50" t="s">
        <v>74</v>
      </c>
      <c r="S50" t="s">
        <v>74</v>
      </c>
      <c r="T50" t="s">
        <v>1099</v>
      </c>
      <c r="U50" t="s">
        <v>1100</v>
      </c>
      <c r="V50" t="s">
        <v>1101</v>
      </c>
      <c r="W50" t="s">
        <v>1102</v>
      </c>
      <c r="X50" t="s">
        <v>1103</v>
      </c>
      <c r="Y50" t="s">
        <v>1104</v>
      </c>
      <c r="Z50" t="s">
        <v>1105</v>
      </c>
      <c r="AA50" t="s">
        <v>1106</v>
      </c>
      <c r="AB50" t="s">
        <v>1107</v>
      </c>
      <c r="AC50" t="s">
        <v>1108</v>
      </c>
      <c r="AD50" t="s">
        <v>1109</v>
      </c>
      <c r="AE50" t="s">
        <v>1110</v>
      </c>
      <c r="AF50" t="s">
        <v>74</v>
      </c>
      <c r="AG50">
        <v>36</v>
      </c>
      <c r="AH50">
        <v>23</v>
      </c>
      <c r="AI50">
        <v>29</v>
      </c>
      <c r="AJ50">
        <v>0</v>
      </c>
      <c r="AK50">
        <v>31</v>
      </c>
      <c r="AL50" t="s">
        <v>366</v>
      </c>
      <c r="AM50" t="s">
        <v>367</v>
      </c>
      <c r="AN50" t="s">
        <v>368</v>
      </c>
      <c r="AO50" t="s">
        <v>1111</v>
      </c>
      <c r="AP50" t="s">
        <v>74</v>
      </c>
      <c r="AQ50" t="s">
        <v>74</v>
      </c>
      <c r="AR50" t="s">
        <v>1112</v>
      </c>
      <c r="AS50" t="s">
        <v>1113</v>
      </c>
      <c r="AT50" t="s">
        <v>97</v>
      </c>
      <c r="AU50">
        <v>2011</v>
      </c>
      <c r="AV50">
        <v>47</v>
      </c>
      <c r="AW50">
        <v>1</v>
      </c>
      <c r="AX50" t="s">
        <v>74</v>
      </c>
      <c r="AY50" t="s">
        <v>74</v>
      </c>
      <c r="AZ50" t="s">
        <v>74</v>
      </c>
      <c r="BA50" t="s">
        <v>74</v>
      </c>
      <c r="BB50">
        <v>36</v>
      </c>
      <c r="BC50">
        <v>41</v>
      </c>
      <c r="BD50" t="s">
        <v>74</v>
      </c>
      <c r="BE50" t="s">
        <v>1114</v>
      </c>
      <c r="BF50" t="str">
        <f>HYPERLINK("http://dx.doi.org/10.1111/j.1529-8817.2010.00927.x","http://dx.doi.org/10.1111/j.1529-8817.2010.00927.x")</f>
        <v>http://dx.doi.org/10.1111/j.1529-8817.2010.00927.x</v>
      </c>
      <c r="BG50" t="s">
        <v>74</v>
      </c>
      <c r="BH50" t="s">
        <v>74</v>
      </c>
      <c r="BI50">
        <v>6</v>
      </c>
      <c r="BJ50" t="s">
        <v>1115</v>
      </c>
      <c r="BK50" t="s">
        <v>100</v>
      </c>
      <c r="BL50" t="s">
        <v>1115</v>
      </c>
      <c r="BM50" t="s">
        <v>1116</v>
      </c>
      <c r="BN50">
        <v>27021708</v>
      </c>
      <c r="BO50" t="s">
        <v>74</v>
      </c>
      <c r="BP50" t="s">
        <v>74</v>
      </c>
      <c r="BQ50" t="s">
        <v>74</v>
      </c>
      <c r="BR50" t="s">
        <v>103</v>
      </c>
      <c r="BS50" t="s">
        <v>1117</v>
      </c>
      <c r="BT50" t="str">
        <f>HYPERLINK("https%3A%2F%2Fwww.webofscience.com%2Fwos%2Fwoscc%2Ffull-record%2FWOS:000287492700005","View Full Record in Web of Science")</f>
        <v>View Full Record in Web of Science</v>
      </c>
    </row>
    <row r="51" spans="1:72" x14ac:dyDescent="0.15">
      <c r="A51" t="s">
        <v>72</v>
      </c>
      <c r="B51" t="s">
        <v>1118</v>
      </c>
      <c r="C51" t="s">
        <v>74</v>
      </c>
      <c r="D51" t="s">
        <v>74</v>
      </c>
      <c r="E51" t="s">
        <v>74</v>
      </c>
      <c r="F51" t="s">
        <v>1119</v>
      </c>
      <c r="G51" t="s">
        <v>74</v>
      </c>
      <c r="H51" t="s">
        <v>74</v>
      </c>
      <c r="I51" t="s">
        <v>1120</v>
      </c>
      <c r="J51" t="s">
        <v>1098</v>
      </c>
      <c r="K51" t="s">
        <v>74</v>
      </c>
      <c r="L51" t="s">
        <v>74</v>
      </c>
      <c r="M51" t="s">
        <v>78</v>
      </c>
      <c r="N51" t="s">
        <v>79</v>
      </c>
      <c r="O51" t="s">
        <v>74</v>
      </c>
      <c r="P51" t="s">
        <v>74</v>
      </c>
      <c r="Q51" t="s">
        <v>74</v>
      </c>
      <c r="R51" t="s">
        <v>74</v>
      </c>
      <c r="S51" t="s">
        <v>74</v>
      </c>
      <c r="T51" t="s">
        <v>1121</v>
      </c>
      <c r="U51" t="s">
        <v>1122</v>
      </c>
      <c r="V51" t="s">
        <v>1123</v>
      </c>
      <c r="W51" t="s">
        <v>1124</v>
      </c>
      <c r="X51" t="s">
        <v>1125</v>
      </c>
      <c r="Y51" t="s">
        <v>1126</v>
      </c>
      <c r="Z51" t="s">
        <v>1127</v>
      </c>
      <c r="AA51" t="s">
        <v>1128</v>
      </c>
      <c r="AB51" t="s">
        <v>1129</v>
      </c>
      <c r="AC51" t="s">
        <v>1130</v>
      </c>
      <c r="AD51" t="s">
        <v>1131</v>
      </c>
      <c r="AE51" t="s">
        <v>1132</v>
      </c>
      <c r="AF51" t="s">
        <v>74</v>
      </c>
      <c r="AG51">
        <v>52</v>
      </c>
      <c r="AH51">
        <v>28</v>
      </c>
      <c r="AI51">
        <v>30</v>
      </c>
      <c r="AJ51">
        <v>0</v>
      </c>
      <c r="AK51">
        <v>35</v>
      </c>
      <c r="AL51" t="s">
        <v>366</v>
      </c>
      <c r="AM51" t="s">
        <v>367</v>
      </c>
      <c r="AN51" t="s">
        <v>368</v>
      </c>
      <c r="AO51" t="s">
        <v>1111</v>
      </c>
      <c r="AP51" t="s">
        <v>74</v>
      </c>
      <c r="AQ51" t="s">
        <v>74</v>
      </c>
      <c r="AR51" t="s">
        <v>1112</v>
      </c>
      <c r="AS51" t="s">
        <v>1113</v>
      </c>
      <c r="AT51" t="s">
        <v>97</v>
      </c>
      <c r="AU51">
        <v>2011</v>
      </c>
      <c r="AV51">
        <v>47</v>
      </c>
      <c r="AW51">
        <v>1</v>
      </c>
      <c r="AX51" t="s">
        <v>74</v>
      </c>
      <c r="AY51" t="s">
        <v>74</v>
      </c>
      <c r="AZ51" t="s">
        <v>74</v>
      </c>
      <c r="BA51" t="s">
        <v>74</v>
      </c>
      <c r="BB51">
        <v>77</v>
      </c>
      <c r="BC51">
        <v>86</v>
      </c>
      <c r="BD51" t="s">
        <v>74</v>
      </c>
      <c r="BE51" t="s">
        <v>1133</v>
      </c>
      <c r="BF51" t="str">
        <f>HYPERLINK("http://dx.doi.org/10.1111/j.1529-8817.2010.00944.x","http://dx.doi.org/10.1111/j.1529-8817.2010.00944.x")</f>
        <v>http://dx.doi.org/10.1111/j.1529-8817.2010.00944.x</v>
      </c>
      <c r="BG51" t="s">
        <v>74</v>
      </c>
      <c r="BH51" t="s">
        <v>74</v>
      </c>
      <c r="BI51">
        <v>10</v>
      </c>
      <c r="BJ51" t="s">
        <v>1115</v>
      </c>
      <c r="BK51" t="s">
        <v>100</v>
      </c>
      <c r="BL51" t="s">
        <v>1115</v>
      </c>
      <c r="BM51" t="s">
        <v>1116</v>
      </c>
      <c r="BN51">
        <v>27021712</v>
      </c>
      <c r="BO51" t="s">
        <v>172</v>
      </c>
      <c r="BP51" t="s">
        <v>74</v>
      </c>
      <c r="BQ51" t="s">
        <v>74</v>
      </c>
      <c r="BR51" t="s">
        <v>103</v>
      </c>
      <c r="BS51" t="s">
        <v>1134</v>
      </c>
      <c r="BT51" t="str">
        <f>HYPERLINK("https%3A%2F%2Fwww.webofscience.com%2Fwos%2Fwoscc%2Ffull-record%2FWOS:000287492700009","View Full Record in Web of Science")</f>
        <v>View Full Record in Web of Science</v>
      </c>
    </row>
    <row r="52" spans="1:72" x14ac:dyDescent="0.15">
      <c r="A52" t="s">
        <v>72</v>
      </c>
      <c r="B52" t="s">
        <v>1135</v>
      </c>
      <c r="C52" t="s">
        <v>74</v>
      </c>
      <c r="D52" t="s">
        <v>74</v>
      </c>
      <c r="E52" t="s">
        <v>74</v>
      </c>
      <c r="F52" t="s">
        <v>1136</v>
      </c>
      <c r="G52" t="s">
        <v>74</v>
      </c>
      <c r="H52" t="s">
        <v>74</v>
      </c>
      <c r="I52" t="s">
        <v>1137</v>
      </c>
      <c r="J52" t="s">
        <v>1138</v>
      </c>
      <c r="K52" t="s">
        <v>74</v>
      </c>
      <c r="L52" t="s">
        <v>74</v>
      </c>
      <c r="M52" t="s">
        <v>78</v>
      </c>
      <c r="N52" t="s">
        <v>79</v>
      </c>
      <c r="O52" t="s">
        <v>74</v>
      </c>
      <c r="P52" t="s">
        <v>74</v>
      </c>
      <c r="Q52" t="s">
        <v>74</v>
      </c>
      <c r="R52" t="s">
        <v>74</v>
      </c>
      <c r="S52" t="s">
        <v>74</v>
      </c>
      <c r="T52" t="s">
        <v>74</v>
      </c>
      <c r="U52" t="s">
        <v>1139</v>
      </c>
      <c r="V52" t="s">
        <v>1140</v>
      </c>
      <c r="W52" t="s">
        <v>1141</v>
      </c>
      <c r="X52" t="s">
        <v>1142</v>
      </c>
      <c r="Y52" t="s">
        <v>1143</v>
      </c>
      <c r="Z52" t="s">
        <v>1144</v>
      </c>
      <c r="AA52" t="s">
        <v>1145</v>
      </c>
      <c r="AB52" t="s">
        <v>1146</v>
      </c>
      <c r="AC52" t="s">
        <v>1147</v>
      </c>
      <c r="AD52" t="s">
        <v>1148</v>
      </c>
      <c r="AE52" t="s">
        <v>1149</v>
      </c>
      <c r="AF52" t="s">
        <v>74</v>
      </c>
      <c r="AG52">
        <v>48</v>
      </c>
      <c r="AH52">
        <v>3</v>
      </c>
      <c r="AI52">
        <v>3</v>
      </c>
      <c r="AJ52">
        <v>1</v>
      </c>
      <c r="AK52">
        <v>5</v>
      </c>
      <c r="AL52" t="s">
        <v>1018</v>
      </c>
      <c r="AM52" t="s">
        <v>1019</v>
      </c>
      <c r="AN52" t="s">
        <v>1150</v>
      </c>
      <c r="AO52" t="s">
        <v>1151</v>
      </c>
      <c r="AP52" t="s">
        <v>1152</v>
      </c>
      <c r="AQ52" t="s">
        <v>74</v>
      </c>
      <c r="AR52" t="s">
        <v>1153</v>
      </c>
      <c r="AS52" t="s">
        <v>1154</v>
      </c>
      <c r="AT52" t="s">
        <v>97</v>
      </c>
      <c r="AU52">
        <v>2011</v>
      </c>
      <c r="AV52">
        <v>41</v>
      </c>
      <c r="AW52">
        <v>2</v>
      </c>
      <c r="AX52" t="s">
        <v>74</v>
      </c>
      <c r="AY52" t="s">
        <v>74</v>
      </c>
      <c r="AZ52" t="s">
        <v>74</v>
      </c>
      <c r="BA52" t="s">
        <v>74</v>
      </c>
      <c r="BB52">
        <v>253</v>
      </c>
      <c r="BC52">
        <v>268</v>
      </c>
      <c r="BD52" t="s">
        <v>74</v>
      </c>
      <c r="BE52" t="s">
        <v>1155</v>
      </c>
      <c r="BF52" t="str">
        <f>HYPERLINK("http://dx.doi.org/10.1175/2010JPO4193.1","http://dx.doi.org/10.1175/2010JPO4193.1")</f>
        <v>http://dx.doi.org/10.1175/2010JPO4193.1</v>
      </c>
      <c r="BG52" t="s">
        <v>74</v>
      </c>
      <c r="BH52" t="s">
        <v>74</v>
      </c>
      <c r="BI52">
        <v>16</v>
      </c>
      <c r="BJ52" t="s">
        <v>250</v>
      </c>
      <c r="BK52" t="s">
        <v>100</v>
      </c>
      <c r="BL52" t="s">
        <v>250</v>
      </c>
      <c r="BM52" t="s">
        <v>1156</v>
      </c>
      <c r="BN52" t="s">
        <v>74</v>
      </c>
      <c r="BO52" t="s">
        <v>375</v>
      </c>
      <c r="BP52" t="s">
        <v>74</v>
      </c>
      <c r="BQ52" t="s">
        <v>74</v>
      </c>
      <c r="BR52" t="s">
        <v>103</v>
      </c>
      <c r="BS52" t="s">
        <v>1157</v>
      </c>
      <c r="BT52" t="str">
        <f>HYPERLINK("https%3A%2F%2Fwww.webofscience.com%2Fwos%2Fwoscc%2Ffull-record%2FWOS:000288304800001","View Full Record in Web of Science")</f>
        <v>View Full Record in Web of Science</v>
      </c>
    </row>
    <row r="53" spans="1:72" x14ac:dyDescent="0.15">
      <c r="A53" t="s">
        <v>72</v>
      </c>
      <c r="B53" t="s">
        <v>1158</v>
      </c>
      <c r="C53" t="s">
        <v>74</v>
      </c>
      <c r="D53" t="s">
        <v>74</v>
      </c>
      <c r="E53" t="s">
        <v>74</v>
      </c>
      <c r="F53" t="s">
        <v>1159</v>
      </c>
      <c r="G53" t="s">
        <v>74</v>
      </c>
      <c r="H53" t="s">
        <v>74</v>
      </c>
      <c r="I53" t="s">
        <v>1160</v>
      </c>
      <c r="J53" t="s">
        <v>1161</v>
      </c>
      <c r="K53" t="s">
        <v>74</v>
      </c>
      <c r="L53" t="s">
        <v>74</v>
      </c>
      <c r="M53" t="s">
        <v>78</v>
      </c>
      <c r="N53" t="s">
        <v>79</v>
      </c>
      <c r="O53" t="s">
        <v>74</v>
      </c>
      <c r="P53" t="s">
        <v>74</v>
      </c>
      <c r="Q53" t="s">
        <v>74</v>
      </c>
      <c r="R53" t="s">
        <v>74</v>
      </c>
      <c r="S53" t="s">
        <v>74</v>
      </c>
      <c r="T53" t="s">
        <v>1162</v>
      </c>
      <c r="U53" t="s">
        <v>1163</v>
      </c>
      <c r="V53" t="s">
        <v>1164</v>
      </c>
      <c r="W53" t="s">
        <v>1165</v>
      </c>
      <c r="X53" t="s">
        <v>1166</v>
      </c>
      <c r="Y53" t="s">
        <v>1167</v>
      </c>
      <c r="Z53" t="s">
        <v>1168</v>
      </c>
      <c r="AA53" t="s">
        <v>1169</v>
      </c>
      <c r="AB53" t="s">
        <v>1170</v>
      </c>
      <c r="AC53" t="s">
        <v>1171</v>
      </c>
      <c r="AD53" t="s">
        <v>1172</v>
      </c>
      <c r="AE53" t="s">
        <v>1173</v>
      </c>
      <c r="AF53" t="s">
        <v>74</v>
      </c>
      <c r="AG53">
        <v>91</v>
      </c>
      <c r="AH53">
        <v>23</v>
      </c>
      <c r="AI53">
        <v>25</v>
      </c>
      <c r="AJ53">
        <v>0</v>
      </c>
      <c r="AK53">
        <v>22</v>
      </c>
      <c r="AL53" t="s">
        <v>718</v>
      </c>
      <c r="AM53" t="s">
        <v>719</v>
      </c>
      <c r="AN53" t="s">
        <v>720</v>
      </c>
      <c r="AO53" t="s">
        <v>1174</v>
      </c>
      <c r="AP53" t="s">
        <v>74</v>
      </c>
      <c r="AQ53" t="s">
        <v>74</v>
      </c>
      <c r="AR53" t="s">
        <v>1175</v>
      </c>
      <c r="AS53" t="s">
        <v>1176</v>
      </c>
      <c r="AT53" t="s">
        <v>97</v>
      </c>
      <c r="AU53">
        <v>2011</v>
      </c>
      <c r="AV53">
        <v>31</v>
      </c>
      <c r="AW53">
        <v>1</v>
      </c>
      <c r="AX53" t="s">
        <v>74</v>
      </c>
      <c r="AY53" t="s">
        <v>74</v>
      </c>
      <c r="AZ53" t="s">
        <v>74</v>
      </c>
      <c r="BA53" t="s">
        <v>74</v>
      </c>
      <c r="BB53">
        <v>1</v>
      </c>
      <c r="BC53">
        <v>16</v>
      </c>
      <c r="BD53" t="s">
        <v>74</v>
      </c>
      <c r="BE53" t="s">
        <v>1177</v>
      </c>
      <c r="BF53" t="str">
        <f>HYPERLINK("http://dx.doi.org/10.1016/j.jsames.2010.11.002","http://dx.doi.org/10.1016/j.jsames.2010.11.002")</f>
        <v>http://dx.doi.org/10.1016/j.jsames.2010.11.002</v>
      </c>
      <c r="BG53" t="s">
        <v>74</v>
      </c>
      <c r="BH53" t="s">
        <v>74</v>
      </c>
      <c r="BI53">
        <v>16</v>
      </c>
      <c r="BJ53" t="s">
        <v>396</v>
      </c>
      <c r="BK53" t="s">
        <v>100</v>
      </c>
      <c r="BL53" t="s">
        <v>397</v>
      </c>
      <c r="BM53" t="s">
        <v>1178</v>
      </c>
      <c r="BN53" t="s">
        <v>74</v>
      </c>
      <c r="BO53" t="s">
        <v>74</v>
      </c>
      <c r="BP53" t="s">
        <v>74</v>
      </c>
      <c r="BQ53" t="s">
        <v>74</v>
      </c>
      <c r="BR53" t="s">
        <v>103</v>
      </c>
      <c r="BS53" t="s">
        <v>1179</v>
      </c>
      <c r="BT53" t="str">
        <f>HYPERLINK("https%3A%2F%2Fwww.webofscience.com%2Fwos%2Fwoscc%2Ffull-record%2FWOS:000287427400001","View Full Record in Web of Science")</f>
        <v>View Full Record in Web of Science</v>
      </c>
    </row>
    <row r="54" spans="1:72" x14ac:dyDescent="0.15">
      <c r="A54" t="s">
        <v>72</v>
      </c>
      <c r="B54" t="s">
        <v>1180</v>
      </c>
      <c r="C54" t="s">
        <v>74</v>
      </c>
      <c r="D54" t="s">
        <v>74</v>
      </c>
      <c r="E54" t="s">
        <v>74</v>
      </c>
      <c r="F54" t="s">
        <v>1181</v>
      </c>
      <c r="G54" t="s">
        <v>74</v>
      </c>
      <c r="H54" t="s">
        <v>74</v>
      </c>
      <c r="I54" t="s">
        <v>1182</v>
      </c>
      <c r="J54" t="s">
        <v>1183</v>
      </c>
      <c r="K54" t="s">
        <v>74</v>
      </c>
      <c r="L54" t="s">
        <v>74</v>
      </c>
      <c r="M54" t="s">
        <v>78</v>
      </c>
      <c r="N54" t="s">
        <v>79</v>
      </c>
      <c r="O54" t="s">
        <v>74</v>
      </c>
      <c r="P54" t="s">
        <v>74</v>
      </c>
      <c r="Q54" t="s">
        <v>74</v>
      </c>
      <c r="R54" t="s">
        <v>74</v>
      </c>
      <c r="S54" t="s">
        <v>74</v>
      </c>
      <c r="T54" t="s">
        <v>74</v>
      </c>
      <c r="U54" t="s">
        <v>1184</v>
      </c>
      <c r="V54" t="s">
        <v>1185</v>
      </c>
      <c r="W54" t="s">
        <v>1186</v>
      </c>
      <c r="X54" t="s">
        <v>1187</v>
      </c>
      <c r="Y54" t="s">
        <v>1188</v>
      </c>
      <c r="Z54" t="s">
        <v>1189</v>
      </c>
      <c r="AA54" t="s">
        <v>1190</v>
      </c>
      <c r="AB54" t="s">
        <v>1191</v>
      </c>
      <c r="AC54" t="s">
        <v>1192</v>
      </c>
      <c r="AD54" t="s">
        <v>1193</v>
      </c>
      <c r="AE54" t="s">
        <v>1194</v>
      </c>
      <c r="AF54" t="s">
        <v>74</v>
      </c>
      <c r="AG54">
        <v>57</v>
      </c>
      <c r="AH54">
        <v>45</v>
      </c>
      <c r="AI54">
        <v>47</v>
      </c>
      <c r="AJ54">
        <v>0</v>
      </c>
      <c r="AK54">
        <v>23</v>
      </c>
      <c r="AL54" t="s">
        <v>1195</v>
      </c>
      <c r="AM54" t="s">
        <v>1196</v>
      </c>
      <c r="AN54" t="s">
        <v>1197</v>
      </c>
      <c r="AO54" t="s">
        <v>1198</v>
      </c>
      <c r="AP54" t="s">
        <v>1199</v>
      </c>
      <c r="AQ54" t="s">
        <v>74</v>
      </c>
      <c r="AR54" t="s">
        <v>1200</v>
      </c>
      <c r="AS54" t="s">
        <v>1201</v>
      </c>
      <c r="AT54" t="s">
        <v>97</v>
      </c>
      <c r="AU54">
        <v>2011</v>
      </c>
      <c r="AV54">
        <v>158</v>
      </c>
      <c r="AW54">
        <v>2</v>
      </c>
      <c r="AX54" t="s">
        <v>74</v>
      </c>
      <c r="AY54" t="s">
        <v>74</v>
      </c>
      <c r="AZ54" t="s">
        <v>74</v>
      </c>
      <c r="BA54" t="s">
        <v>74</v>
      </c>
      <c r="BB54">
        <v>287</v>
      </c>
      <c r="BC54">
        <v>296</v>
      </c>
      <c r="BD54" t="s">
        <v>74</v>
      </c>
      <c r="BE54" t="s">
        <v>1202</v>
      </c>
      <c r="BF54" t="str">
        <f>HYPERLINK("http://dx.doi.org/10.1007/s00227-010-1558-6","http://dx.doi.org/10.1007/s00227-010-1558-6")</f>
        <v>http://dx.doi.org/10.1007/s00227-010-1558-6</v>
      </c>
      <c r="BG54" t="s">
        <v>74</v>
      </c>
      <c r="BH54" t="s">
        <v>74</v>
      </c>
      <c r="BI54">
        <v>10</v>
      </c>
      <c r="BJ54" t="s">
        <v>893</v>
      </c>
      <c r="BK54" t="s">
        <v>100</v>
      </c>
      <c r="BL54" t="s">
        <v>893</v>
      </c>
      <c r="BM54" t="s">
        <v>1203</v>
      </c>
      <c r="BN54" t="s">
        <v>74</v>
      </c>
      <c r="BO54" t="s">
        <v>74</v>
      </c>
      <c r="BP54" t="s">
        <v>74</v>
      </c>
      <c r="BQ54" t="s">
        <v>74</v>
      </c>
      <c r="BR54" t="s">
        <v>103</v>
      </c>
      <c r="BS54" t="s">
        <v>1204</v>
      </c>
      <c r="BT54" t="str">
        <f>HYPERLINK("https%3A%2F%2Fwww.webofscience.com%2Fwos%2Fwoscc%2Ffull-record%2FWOS:000286211200004","View Full Record in Web of Science")</f>
        <v>View Full Record in Web of Science</v>
      </c>
    </row>
    <row r="55" spans="1:72" x14ac:dyDescent="0.15">
      <c r="A55" t="s">
        <v>72</v>
      </c>
      <c r="B55" t="s">
        <v>1205</v>
      </c>
      <c r="C55" t="s">
        <v>74</v>
      </c>
      <c r="D55" t="s">
        <v>74</v>
      </c>
      <c r="E55" t="s">
        <v>74</v>
      </c>
      <c r="F55" t="s">
        <v>1206</v>
      </c>
      <c r="G55" t="s">
        <v>74</v>
      </c>
      <c r="H55" t="s">
        <v>74</v>
      </c>
      <c r="I55" t="s">
        <v>1207</v>
      </c>
      <c r="J55" t="s">
        <v>1183</v>
      </c>
      <c r="K55" t="s">
        <v>74</v>
      </c>
      <c r="L55" t="s">
        <v>74</v>
      </c>
      <c r="M55" t="s">
        <v>78</v>
      </c>
      <c r="N55" t="s">
        <v>79</v>
      </c>
      <c r="O55" t="s">
        <v>74</v>
      </c>
      <c r="P55" t="s">
        <v>74</v>
      </c>
      <c r="Q55" t="s">
        <v>74</v>
      </c>
      <c r="R55" t="s">
        <v>74</v>
      </c>
      <c r="S55" t="s">
        <v>74</v>
      </c>
      <c r="T55" t="s">
        <v>74</v>
      </c>
      <c r="U55" t="s">
        <v>1208</v>
      </c>
      <c r="V55" t="s">
        <v>1209</v>
      </c>
      <c r="W55" t="s">
        <v>1210</v>
      </c>
      <c r="X55" t="s">
        <v>1211</v>
      </c>
      <c r="Y55" t="s">
        <v>1212</v>
      </c>
      <c r="Z55" t="s">
        <v>1213</v>
      </c>
      <c r="AA55" t="s">
        <v>74</v>
      </c>
      <c r="AB55" t="s">
        <v>74</v>
      </c>
      <c r="AC55" t="s">
        <v>1214</v>
      </c>
      <c r="AD55" t="s">
        <v>1215</v>
      </c>
      <c r="AE55" t="s">
        <v>74</v>
      </c>
      <c r="AF55" t="s">
        <v>74</v>
      </c>
      <c r="AG55">
        <v>46</v>
      </c>
      <c r="AH55">
        <v>59</v>
      </c>
      <c r="AI55">
        <v>62</v>
      </c>
      <c r="AJ55">
        <v>2</v>
      </c>
      <c r="AK55">
        <v>41</v>
      </c>
      <c r="AL55" t="s">
        <v>1195</v>
      </c>
      <c r="AM55" t="s">
        <v>1196</v>
      </c>
      <c r="AN55" t="s">
        <v>1197</v>
      </c>
      <c r="AO55" t="s">
        <v>1198</v>
      </c>
      <c r="AP55" t="s">
        <v>1199</v>
      </c>
      <c r="AQ55" t="s">
        <v>74</v>
      </c>
      <c r="AR55" t="s">
        <v>1200</v>
      </c>
      <c r="AS55" t="s">
        <v>1201</v>
      </c>
      <c r="AT55" t="s">
        <v>97</v>
      </c>
      <c r="AU55">
        <v>2011</v>
      </c>
      <c r="AV55">
        <v>158</v>
      </c>
      <c r="AW55">
        <v>2</v>
      </c>
      <c r="AX55" t="s">
        <v>74</v>
      </c>
      <c r="AY55" t="s">
        <v>74</v>
      </c>
      <c r="AZ55" t="s">
        <v>74</v>
      </c>
      <c r="BA55" t="s">
        <v>74</v>
      </c>
      <c r="BB55">
        <v>429</v>
      </c>
      <c r="BC55">
        <v>438</v>
      </c>
      <c r="BD55" t="s">
        <v>74</v>
      </c>
      <c r="BE55" t="s">
        <v>1216</v>
      </c>
      <c r="BF55" t="str">
        <f>HYPERLINK("http://dx.doi.org/10.1007/s00227-010-1570-x","http://dx.doi.org/10.1007/s00227-010-1570-x")</f>
        <v>http://dx.doi.org/10.1007/s00227-010-1570-x</v>
      </c>
      <c r="BG55" t="s">
        <v>74</v>
      </c>
      <c r="BH55" t="s">
        <v>74</v>
      </c>
      <c r="BI55">
        <v>10</v>
      </c>
      <c r="BJ55" t="s">
        <v>893</v>
      </c>
      <c r="BK55" t="s">
        <v>100</v>
      </c>
      <c r="BL55" t="s">
        <v>893</v>
      </c>
      <c r="BM55" t="s">
        <v>1203</v>
      </c>
      <c r="BN55" t="s">
        <v>74</v>
      </c>
      <c r="BO55" t="s">
        <v>172</v>
      </c>
      <c r="BP55" t="s">
        <v>74</v>
      </c>
      <c r="BQ55" t="s">
        <v>74</v>
      </c>
      <c r="BR55" t="s">
        <v>103</v>
      </c>
      <c r="BS55" t="s">
        <v>1217</v>
      </c>
      <c r="BT55" t="str">
        <f>HYPERLINK("https%3A%2F%2Fwww.webofscience.com%2Fwos%2Fwoscc%2Ffull-record%2FWOS:000286211200016","View Full Record in Web of Science")</f>
        <v>View Full Record in Web of Science</v>
      </c>
    </row>
    <row r="56" spans="1:72" x14ac:dyDescent="0.15">
      <c r="A56" t="s">
        <v>72</v>
      </c>
      <c r="B56" t="s">
        <v>1218</v>
      </c>
      <c r="C56" t="s">
        <v>74</v>
      </c>
      <c r="D56" t="s">
        <v>74</v>
      </c>
      <c r="E56" t="s">
        <v>74</v>
      </c>
      <c r="F56" t="s">
        <v>1219</v>
      </c>
      <c r="G56" t="s">
        <v>74</v>
      </c>
      <c r="H56" t="s">
        <v>74</v>
      </c>
      <c r="I56" t="s">
        <v>1220</v>
      </c>
      <c r="J56" t="s">
        <v>1221</v>
      </c>
      <c r="K56" t="s">
        <v>74</v>
      </c>
      <c r="L56" t="s">
        <v>74</v>
      </c>
      <c r="M56" t="s">
        <v>78</v>
      </c>
      <c r="N56" t="s">
        <v>79</v>
      </c>
      <c r="O56" t="s">
        <v>74</v>
      </c>
      <c r="P56" t="s">
        <v>74</v>
      </c>
      <c r="Q56" t="s">
        <v>74</v>
      </c>
      <c r="R56" t="s">
        <v>74</v>
      </c>
      <c r="S56" t="s">
        <v>74</v>
      </c>
      <c r="T56" t="s">
        <v>1222</v>
      </c>
      <c r="U56" t="s">
        <v>1223</v>
      </c>
      <c r="V56" t="s">
        <v>1224</v>
      </c>
      <c r="W56" t="s">
        <v>1225</v>
      </c>
      <c r="X56" t="s">
        <v>1226</v>
      </c>
      <c r="Y56" t="s">
        <v>1227</v>
      </c>
      <c r="Z56" t="s">
        <v>1228</v>
      </c>
      <c r="AA56" t="s">
        <v>1229</v>
      </c>
      <c r="AB56" t="s">
        <v>1230</v>
      </c>
      <c r="AC56" t="s">
        <v>1231</v>
      </c>
      <c r="AD56" t="s">
        <v>1232</v>
      </c>
      <c r="AE56" t="s">
        <v>1233</v>
      </c>
      <c r="AF56" t="s">
        <v>74</v>
      </c>
      <c r="AG56">
        <v>30</v>
      </c>
      <c r="AH56">
        <v>28</v>
      </c>
      <c r="AI56">
        <v>32</v>
      </c>
      <c r="AJ56">
        <v>0</v>
      </c>
      <c r="AK56">
        <v>28</v>
      </c>
      <c r="AL56" t="s">
        <v>1234</v>
      </c>
      <c r="AM56" t="s">
        <v>91</v>
      </c>
      <c r="AN56" t="s">
        <v>1235</v>
      </c>
      <c r="AO56" t="s">
        <v>1236</v>
      </c>
      <c r="AP56" t="s">
        <v>74</v>
      </c>
      <c r="AQ56" t="s">
        <v>74</v>
      </c>
      <c r="AR56" t="s">
        <v>1237</v>
      </c>
      <c r="AS56" t="s">
        <v>325</v>
      </c>
      <c r="AT56" t="s">
        <v>97</v>
      </c>
      <c r="AU56">
        <v>2011</v>
      </c>
      <c r="AV56">
        <v>80</v>
      </c>
      <c r="AW56">
        <v>1</v>
      </c>
      <c r="AX56" t="s">
        <v>74</v>
      </c>
      <c r="AY56" t="s">
        <v>74</v>
      </c>
      <c r="AZ56" t="s">
        <v>74</v>
      </c>
      <c r="BA56" t="s">
        <v>74</v>
      </c>
      <c r="BB56">
        <v>125</v>
      </c>
      <c r="BC56">
        <v>131</v>
      </c>
      <c r="BD56" t="s">
        <v>74</v>
      </c>
      <c r="BE56" t="s">
        <v>1238</v>
      </c>
      <c r="BF56" t="str">
        <f>HYPERLINK("http://dx.doi.org/10.1134/S0026261711010061","http://dx.doi.org/10.1134/S0026261711010061")</f>
        <v>http://dx.doi.org/10.1134/S0026261711010061</v>
      </c>
      <c r="BG56" t="s">
        <v>74</v>
      </c>
      <c r="BH56" t="s">
        <v>74</v>
      </c>
      <c r="BI56">
        <v>7</v>
      </c>
      <c r="BJ56" t="s">
        <v>325</v>
      </c>
      <c r="BK56" t="s">
        <v>100</v>
      </c>
      <c r="BL56" t="s">
        <v>325</v>
      </c>
      <c r="BM56" t="s">
        <v>1239</v>
      </c>
      <c r="BN56" t="s">
        <v>74</v>
      </c>
      <c r="BO56" t="s">
        <v>74</v>
      </c>
      <c r="BP56" t="s">
        <v>74</v>
      </c>
      <c r="BQ56" t="s">
        <v>74</v>
      </c>
      <c r="BR56" t="s">
        <v>103</v>
      </c>
      <c r="BS56" t="s">
        <v>1240</v>
      </c>
      <c r="BT56" t="str">
        <f>HYPERLINK("https%3A%2F%2Fwww.webofscience.com%2Fwos%2Fwoscc%2Ffull-record%2FWOS:000289794200017","View Full Record in Web of Science")</f>
        <v>View Full Record in Web of Science</v>
      </c>
    </row>
    <row r="57" spans="1:72" x14ac:dyDescent="0.15">
      <c r="A57" t="s">
        <v>72</v>
      </c>
      <c r="B57" t="s">
        <v>1241</v>
      </c>
      <c r="C57" t="s">
        <v>74</v>
      </c>
      <c r="D57" t="s">
        <v>74</v>
      </c>
      <c r="E57" t="s">
        <v>74</v>
      </c>
      <c r="F57" t="s">
        <v>1242</v>
      </c>
      <c r="G57" t="s">
        <v>74</v>
      </c>
      <c r="H57" t="s">
        <v>74</v>
      </c>
      <c r="I57" t="s">
        <v>1243</v>
      </c>
      <c r="J57" t="s">
        <v>1244</v>
      </c>
      <c r="K57" t="s">
        <v>74</v>
      </c>
      <c r="L57" t="s">
        <v>74</v>
      </c>
      <c r="M57" t="s">
        <v>78</v>
      </c>
      <c r="N57" t="s">
        <v>79</v>
      </c>
      <c r="O57" t="s">
        <v>74</v>
      </c>
      <c r="P57" t="s">
        <v>74</v>
      </c>
      <c r="Q57" t="s">
        <v>74</v>
      </c>
      <c r="R57" t="s">
        <v>74</v>
      </c>
      <c r="S57" t="s">
        <v>74</v>
      </c>
      <c r="T57" t="s">
        <v>1245</v>
      </c>
      <c r="U57" t="s">
        <v>1246</v>
      </c>
      <c r="V57" t="s">
        <v>1247</v>
      </c>
      <c r="W57" t="s">
        <v>1248</v>
      </c>
      <c r="X57" t="s">
        <v>1249</v>
      </c>
      <c r="Y57" t="s">
        <v>1250</v>
      </c>
      <c r="Z57" t="s">
        <v>1251</v>
      </c>
      <c r="AA57" t="s">
        <v>1252</v>
      </c>
      <c r="AB57" t="s">
        <v>1253</v>
      </c>
      <c r="AC57" t="s">
        <v>1254</v>
      </c>
      <c r="AD57" t="s">
        <v>1254</v>
      </c>
      <c r="AE57" t="s">
        <v>1255</v>
      </c>
      <c r="AF57" t="s">
        <v>74</v>
      </c>
      <c r="AG57">
        <v>68</v>
      </c>
      <c r="AH57">
        <v>36</v>
      </c>
      <c r="AI57">
        <v>41</v>
      </c>
      <c r="AJ57">
        <v>1</v>
      </c>
      <c r="AK57">
        <v>34</v>
      </c>
      <c r="AL57" t="s">
        <v>214</v>
      </c>
      <c r="AM57" t="s">
        <v>215</v>
      </c>
      <c r="AN57" t="s">
        <v>216</v>
      </c>
      <c r="AO57" t="s">
        <v>1256</v>
      </c>
      <c r="AP57" t="s">
        <v>1257</v>
      </c>
      <c r="AQ57" t="s">
        <v>74</v>
      </c>
      <c r="AR57" t="s">
        <v>1258</v>
      </c>
      <c r="AS57" t="s">
        <v>1259</v>
      </c>
      <c r="AT57" t="s">
        <v>97</v>
      </c>
      <c r="AU57">
        <v>2011</v>
      </c>
      <c r="AV57">
        <v>20</v>
      </c>
      <c r="AW57">
        <v>4</v>
      </c>
      <c r="AX57" t="s">
        <v>74</v>
      </c>
      <c r="AY57" t="s">
        <v>74</v>
      </c>
      <c r="AZ57" t="s">
        <v>74</v>
      </c>
      <c r="BA57" t="s">
        <v>74</v>
      </c>
      <c r="BB57">
        <v>740</v>
      </c>
      <c r="BC57">
        <v>752</v>
      </c>
      <c r="BD57" t="s">
        <v>74</v>
      </c>
      <c r="BE57" t="s">
        <v>1260</v>
      </c>
      <c r="BF57" t="str">
        <f>HYPERLINK("http://dx.doi.org/10.1111/j.1365-294X.2010.04975.x","http://dx.doi.org/10.1111/j.1365-294X.2010.04975.x")</f>
        <v>http://dx.doi.org/10.1111/j.1365-294X.2010.04975.x</v>
      </c>
      <c r="BG57" t="s">
        <v>74</v>
      </c>
      <c r="BH57" t="s">
        <v>74</v>
      </c>
      <c r="BI57">
        <v>13</v>
      </c>
      <c r="BJ57" t="s">
        <v>1261</v>
      </c>
      <c r="BK57" t="s">
        <v>100</v>
      </c>
      <c r="BL57" t="s">
        <v>1262</v>
      </c>
      <c r="BM57" t="s">
        <v>1263</v>
      </c>
      <c r="BN57">
        <v>21199032</v>
      </c>
      <c r="BO57" t="s">
        <v>74</v>
      </c>
      <c r="BP57" t="s">
        <v>74</v>
      </c>
      <c r="BQ57" t="s">
        <v>74</v>
      </c>
      <c r="BR57" t="s">
        <v>103</v>
      </c>
      <c r="BS57" t="s">
        <v>1264</v>
      </c>
      <c r="BT57" t="str">
        <f>HYPERLINK("https%3A%2F%2Fwww.webofscience.com%2Fwos%2Fwoscc%2Ffull-record%2FWOS:000286837300006","View Full Record in Web of Science")</f>
        <v>View Full Record in Web of Science</v>
      </c>
    </row>
    <row r="58" spans="1:72" x14ac:dyDescent="0.15">
      <c r="A58" t="s">
        <v>72</v>
      </c>
      <c r="B58" t="s">
        <v>1265</v>
      </c>
      <c r="C58" t="s">
        <v>74</v>
      </c>
      <c r="D58" t="s">
        <v>74</v>
      </c>
      <c r="E58" t="s">
        <v>74</v>
      </c>
      <c r="F58" t="s">
        <v>1266</v>
      </c>
      <c r="G58" t="s">
        <v>74</v>
      </c>
      <c r="H58" t="s">
        <v>74</v>
      </c>
      <c r="I58" t="s">
        <v>1267</v>
      </c>
      <c r="J58" t="s">
        <v>380</v>
      </c>
      <c r="K58" t="s">
        <v>74</v>
      </c>
      <c r="L58" t="s">
        <v>74</v>
      </c>
      <c r="M58" t="s">
        <v>78</v>
      </c>
      <c r="N58" t="s">
        <v>79</v>
      </c>
      <c r="O58" t="s">
        <v>74</v>
      </c>
      <c r="P58" t="s">
        <v>74</v>
      </c>
      <c r="Q58" t="s">
        <v>74</v>
      </c>
      <c r="R58" t="s">
        <v>74</v>
      </c>
      <c r="S58" t="s">
        <v>74</v>
      </c>
      <c r="T58" t="s">
        <v>74</v>
      </c>
      <c r="U58" t="s">
        <v>1268</v>
      </c>
      <c r="V58" t="s">
        <v>1269</v>
      </c>
      <c r="W58" t="s">
        <v>1270</v>
      </c>
      <c r="X58" t="s">
        <v>1271</v>
      </c>
      <c r="Y58" t="s">
        <v>1272</v>
      </c>
      <c r="Z58" t="s">
        <v>1273</v>
      </c>
      <c r="AA58" t="s">
        <v>1274</v>
      </c>
      <c r="AB58" t="s">
        <v>1275</v>
      </c>
      <c r="AC58" t="s">
        <v>1276</v>
      </c>
      <c r="AD58" t="s">
        <v>1277</v>
      </c>
      <c r="AE58" t="s">
        <v>1278</v>
      </c>
      <c r="AF58" t="s">
        <v>74</v>
      </c>
      <c r="AG58">
        <v>27</v>
      </c>
      <c r="AH58">
        <v>332</v>
      </c>
      <c r="AI58">
        <v>371</v>
      </c>
      <c r="AJ58">
        <v>6</v>
      </c>
      <c r="AK58">
        <v>212</v>
      </c>
      <c r="AL58" t="s">
        <v>388</v>
      </c>
      <c r="AM58" t="s">
        <v>389</v>
      </c>
      <c r="AN58" t="s">
        <v>390</v>
      </c>
      <c r="AO58" t="s">
        <v>391</v>
      </c>
      <c r="AP58" t="s">
        <v>392</v>
      </c>
      <c r="AQ58" t="s">
        <v>74</v>
      </c>
      <c r="AR58" t="s">
        <v>393</v>
      </c>
      <c r="AS58" t="s">
        <v>394</v>
      </c>
      <c r="AT58" t="s">
        <v>97</v>
      </c>
      <c r="AU58">
        <v>2011</v>
      </c>
      <c r="AV58">
        <v>4</v>
      </c>
      <c r="AW58">
        <v>2</v>
      </c>
      <c r="AX58" t="s">
        <v>74</v>
      </c>
      <c r="AY58" t="s">
        <v>74</v>
      </c>
      <c r="AZ58" t="s">
        <v>74</v>
      </c>
      <c r="BA58" t="s">
        <v>74</v>
      </c>
      <c r="BB58">
        <v>91</v>
      </c>
      <c r="BC58">
        <v>94</v>
      </c>
      <c r="BD58" t="s">
        <v>74</v>
      </c>
      <c r="BE58" t="s">
        <v>1279</v>
      </c>
      <c r="BF58" t="str">
        <f>HYPERLINK("http://dx.doi.org/10.1038/NGEO1052","http://dx.doi.org/10.1038/NGEO1052")</f>
        <v>http://dx.doi.org/10.1038/NGEO1052</v>
      </c>
      <c r="BG58" t="s">
        <v>74</v>
      </c>
      <c r="BH58" t="s">
        <v>74</v>
      </c>
      <c r="BI58">
        <v>4</v>
      </c>
      <c r="BJ58" t="s">
        <v>396</v>
      </c>
      <c r="BK58" t="s">
        <v>100</v>
      </c>
      <c r="BL58" t="s">
        <v>397</v>
      </c>
      <c r="BM58" t="s">
        <v>398</v>
      </c>
      <c r="BN58" t="s">
        <v>74</v>
      </c>
      <c r="BO58" t="s">
        <v>74</v>
      </c>
      <c r="BP58" t="s">
        <v>74</v>
      </c>
      <c r="BQ58" t="s">
        <v>74</v>
      </c>
      <c r="BR58" t="s">
        <v>103</v>
      </c>
      <c r="BS58" t="s">
        <v>1280</v>
      </c>
      <c r="BT58" t="str">
        <f>HYPERLINK("https%3A%2F%2Fwww.webofscience.com%2Fwos%2Fwoscc%2Ffull-record%2FWOS:000286723300012","View Full Record in Web of Science")</f>
        <v>View Full Record in Web of Science</v>
      </c>
    </row>
    <row r="59" spans="1:72" x14ac:dyDescent="0.15">
      <c r="A59" t="s">
        <v>72</v>
      </c>
      <c r="B59" t="s">
        <v>1281</v>
      </c>
      <c r="C59" t="s">
        <v>74</v>
      </c>
      <c r="D59" t="s">
        <v>74</v>
      </c>
      <c r="E59" t="s">
        <v>74</v>
      </c>
      <c r="F59" t="s">
        <v>1282</v>
      </c>
      <c r="G59" t="s">
        <v>74</v>
      </c>
      <c r="H59" t="s">
        <v>74</v>
      </c>
      <c r="I59" t="s">
        <v>1283</v>
      </c>
      <c r="J59" t="s">
        <v>1284</v>
      </c>
      <c r="K59" t="s">
        <v>74</v>
      </c>
      <c r="L59" t="s">
        <v>74</v>
      </c>
      <c r="M59" t="s">
        <v>78</v>
      </c>
      <c r="N59" t="s">
        <v>79</v>
      </c>
      <c r="O59" t="s">
        <v>74</v>
      </c>
      <c r="P59" t="s">
        <v>74</v>
      </c>
      <c r="Q59" t="s">
        <v>74</v>
      </c>
      <c r="R59" t="s">
        <v>74</v>
      </c>
      <c r="S59" t="s">
        <v>74</v>
      </c>
      <c r="T59" t="s">
        <v>74</v>
      </c>
      <c r="U59" t="s">
        <v>1285</v>
      </c>
      <c r="V59" t="s">
        <v>1286</v>
      </c>
      <c r="W59" t="s">
        <v>1287</v>
      </c>
      <c r="X59" t="s">
        <v>1288</v>
      </c>
      <c r="Y59" t="s">
        <v>1289</v>
      </c>
      <c r="Z59" t="s">
        <v>1290</v>
      </c>
      <c r="AA59" t="s">
        <v>1291</v>
      </c>
      <c r="AB59" t="s">
        <v>74</v>
      </c>
      <c r="AC59" t="s">
        <v>1292</v>
      </c>
      <c r="AD59" t="s">
        <v>1293</v>
      </c>
      <c r="AE59" t="s">
        <v>1294</v>
      </c>
      <c r="AF59" t="s">
        <v>74</v>
      </c>
      <c r="AG59">
        <v>31</v>
      </c>
      <c r="AH59">
        <v>3</v>
      </c>
      <c r="AI59">
        <v>3</v>
      </c>
      <c r="AJ59">
        <v>0</v>
      </c>
      <c r="AK59">
        <v>2</v>
      </c>
      <c r="AL59" t="s">
        <v>1234</v>
      </c>
      <c r="AM59" t="s">
        <v>91</v>
      </c>
      <c r="AN59" t="s">
        <v>1235</v>
      </c>
      <c r="AO59" t="s">
        <v>1295</v>
      </c>
      <c r="AP59" t="s">
        <v>74</v>
      </c>
      <c r="AQ59" t="s">
        <v>74</v>
      </c>
      <c r="AR59" t="s">
        <v>1296</v>
      </c>
      <c r="AS59" t="s">
        <v>1297</v>
      </c>
      <c r="AT59" t="s">
        <v>97</v>
      </c>
      <c r="AU59">
        <v>2011</v>
      </c>
      <c r="AV59">
        <v>51</v>
      </c>
      <c r="AW59">
        <v>1</v>
      </c>
      <c r="AX59" t="s">
        <v>74</v>
      </c>
      <c r="AY59" t="s">
        <v>74</v>
      </c>
      <c r="AZ59" t="s">
        <v>74</v>
      </c>
      <c r="BA59" t="s">
        <v>74</v>
      </c>
      <c r="BB59">
        <v>4</v>
      </c>
      <c r="BC59">
        <v>14</v>
      </c>
      <c r="BD59" t="s">
        <v>74</v>
      </c>
      <c r="BE59" t="s">
        <v>1298</v>
      </c>
      <c r="BF59" t="str">
        <f>HYPERLINK("http://dx.doi.org/10.1134/S0001437011010139","http://dx.doi.org/10.1134/S0001437011010139")</f>
        <v>http://dx.doi.org/10.1134/S0001437011010139</v>
      </c>
      <c r="BG59" t="s">
        <v>74</v>
      </c>
      <c r="BH59" t="s">
        <v>74</v>
      </c>
      <c r="BI59">
        <v>11</v>
      </c>
      <c r="BJ59" t="s">
        <v>250</v>
      </c>
      <c r="BK59" t="s">
        <v>100</v>
      </c>
      <c r="BL59" t="s">
        <v>250</v>
      </c>
      <c r="BM59" t="s">
        <v>1299</v>
      </c>
      <c r="BN59" t="s">
        <v>74</v>
      </c>
      <c r="BO59" t="s">
        <v>74</v>
      </c>
      <c r="BP59" t="s">
        <v>74</v>
      </c>
      <c r="BQ59" t="s">
        <v>74</v>
      </c>
      <c r="BR59" t="s">
        <v>103</v>
      </c>
      <c r="BS59" t="s">
        <v>1300</v>
      </c>
      <c r="BT59" t="str">
        <f>HYPERLINK("https%3A%2F%2Fwww.webofscience.com%2Fwos%2Fwoscc%2Ffull-record%2FWOS:000298561900002","View Full Record in Web of Science")</f>
        <v>View Full Record in Web of Science</v>
      </c>
    </row>
    <row r="60" spans="1:72" x14ac:dyDescent="0.15">
      <c r="A60" t="s">
        <v>72</v>
      </c>
      <c r="B60" t="s">
        <v>1301</v>
      </c>
      <c r="C60" t="s">
        <v>74</v>
      </c>
      <c r="D60" t="s">
        <v>74</v>
      </c>
      <c r="E60" t="s">
        <v>74</v>
      </c>
      <c r="F60" t="s">
        <v>1302</v>
      </c>
      <c r="G60" t="s">
        <v>74</v>
      </c>
      <c r="H60" t="s">
        <v>74</v>
      </c>
      <c r="I60" t="s">
        <v>1303</v>
      </c>
      <c r="J60" t="s">
        <v>1304</v>
      </c>
      <c r="K60" t="s">
        <v>74</v>
      </c>
      <c r="L60" t="s">
        <v>74</v>
      </c>
      <c r="M60" t="s">
        <v>1305</v>
      </c>
      <c r="N60" t="s">
        <v>79</v>
      </c>
      <c r="O60" t="s">
        <v>74</v>
      </c>
      <c r="P60" t="s">
        <v>74</v>
      </c>
      <c r="Q60" t="s">
        <v>74</v>
      </c>
      <c r="R60" t="s">
        <v>74</v>
      </c>
      <c r="S60" t="s">
        <v>74</v>
      </c>
      <c r="T60" t="s">
        <v>74</v>
      </c>
      <c r="U60" t="s">
        <v>74</v>
      </c>
      <c r="V60" t="s">
        <v>1306</v>
      </c>
      <c r="W60" t="s">
        <v>1307</v>
      </c>
      <c r="X60" t="s">
        <v>1308</v>
      </c>
      <c r="Y60" t="s">
        <v>1309</v>
      </c>
      <c r="Z60" t="s">
        <v>74</v>
      </c>
      <c r="AA60" t="s">
        <v>74</v>
      </c>
      <c r="AB60" t="s">
        <v>74</v>
      </c>
      <c r="AC60" t="s">
        <v>74</v>
      </c>
      <c r="AD60" t="s">
        <v>74</v>
      </c>
      <c r="AE60" t="s">
        <v>74</v>
      </c>
      <c r="AF60" t="s">
        <v>74</v>
      </c>
      <c r="AG60">
        <v>98</v>
      </c>
      <c r="AH60">
        <v>3</v>
      </c>
      <c r="AI60">
        <v>3</v>
      </c>
      <c r="AJ60">
        <v>0</v>
      </c>
      <c r="AK60">
        <v>1</v>
      </c>
      <c r="AL60" t="s">
        <v>1310</v>
      </c>
      <c r="AM60" t="s">
        <v>389</v>
      </c>
      <c r="AN60" t="s">
        <v>1311</v>
      </c>
      <c r="AO60" t="s">
        <v>1312</v>
      </c>
      <c r="AP60" t="s">
        <v>1313</v>
      </c>
      <c r="AQ60" t="s">
        <v>74</v>
      </c>
      <c r="AR60" t="s">
        <v>1304</v>
      </c>
      <c r="AS60" t="s">
        <v>1314</v>
      </c>
      <c r="AT60" t="s">
        <v>1315</v>
      </c>
      <c r="AU60">
        <v>2011</v>
      </c>
      <c r="AV60">
        <v>61</v>
      </c>
      <c r="AW60" t="s">
        <v>966</v>
      </c>
      <c r="AX60" t="s">
        <v>74</v>
      </c>
      <c r="AY60" t="s">
        <v>74</v>
      </c>
      <c r="AZ60" t="s">
        <v>74</v>
      </c>
      <c r="BA60" t="s">
        <v>74</v>
      </c>
      <c r="BB60">
        <v>271</v>
      </c>
      <c r="BC60" t="s">
        <v>1316</v>
      </c>
      <c r="BD60" t="s">
        <v>74</v>
      </c>
      <c r="BE60" t="s">
        <v>74</v>
      </c>
      <c r="BF60" t="s">
        <v>74</v>
      </c>
      <c r="BG60" t="s">
        <v>74</v>
      </c>
      <c r="BH60" t="s">
        <v>74</v>
      </c>
      <c r="BI60">
        <v>19</v>
      </c>
      <c r="BJ60" t="s">
        <v>1317</v>
      </c>
      <c r="BK60" t="s">
        <v>1318</v>
      </c>
      <c r="BL60" t="s">
        <v>1319</v>
      </c>
      <c r="BM60" t="s">
        <v>1320</v>
      </c>
      <c r="BN60" t="s">
        <v>74</v>
      </c>
      <c r="BO60" t="s">
        <v>74</v>
      </c>
      <c r="BP60" t="s">
        <v>74</v>
      </c>
      <c r="BQ60" t="s">
        <v>74</v>
      </c>
      <c r="BR60" t="s">
        <v>103</v>
      </c>
      <c r="BS60" t="s">
        <v>1321</v>
      </c>
      <c r="BT60" t="str">
        <f>HYPERLINK("https%3A%2F%2Fwww.webofscience.com%2Fwos%2Fwoscc%2Ffull-record%2FWOS:000209059600020","View Full Record in Web of Science")</f>
        <v>View Full Record in Web of Science</v>
      </c>
    </row>
    <row r="61" spans="1:72" x14ac:dyDescent="0.15">
      <c r="A61" t="s">
        <v>72</v>
      </c>
      <c r="B61" t="s">
        <v>1322</v>
      </c>
      <c r="C61" t="s">
        <v>74</v>
      </c>
      <c r="D61" t="s">
        <v>74</v>
      </c>
      <c r="E61" t="s">
        <v>74</v>
      </c>
      <c r="F61" t="s">
        <v>1323</v>
      </c>
      <c r="G61" t="s">
        <v>74</v>
      </c>
      <c r="H61" t="s">
        <v>74</v>
      </c>
      <c r="I61" t="s">
        <v>1324</v>
      </c>
      <c r="J61" t="s">
        <v>1304</v>
      </c>
      <c r="K61" t="s">
        <v>74</v>
      </c>
      <c r="L61" t="s">
        <v>74</v>
      </c>
      <c r="M61" t="s">
        <v>1305</v>
      </c>
      <c r="N61" t="s">
        <v>79</v>
      </c>
      <c r="O61" t="s">
        <v>74</v>
      </c>
      <c r="P61" t="s">
        <v>74</v>
      </c>
      <c r="Q61" t="s">
        <v>74</v>
      </c>
      <c r="R61" t="s">
        <v>74</v>
      </c>
      <c r="S61" t="s">
        <v>74</v>
      </c>
      <c r="T61" t="s">
        <v>74</v>
      </c>
      <c r="U61" t="s">
        <v>74</v>
      </c>
      <c r="V61" t="s">
        <v>1325</v>
      </c>
      <c r="W61" t="s">
        <v>1326</v>
      </c>
      <c r="X61" t="s">
        <v>1327</v>
      </c>
      <c r="Y61" t="s">
        <v>1328</v>
      </c>
      <c r="Z61" t="s">
        <v>74</v>
      </c>
      <c r="AA61" t="s">
        <v>74</v>
      </c>
      <c r="AB61" t="s">
        <v>74</v>
      </c>
      <c r="AC61" t="s">
        <v>74</v>
      </c>
      <c r="AD61" t="s">
        <v>74</v>
      </c>
      <c r="AE61" t="s">
        <v>74</v>
      </c>
      <c r="AF61" t="s">
        <v>74</v>
      </c>
      <c r="AG61">
        <v>22</v>
      </c>
      <c r="AH61">
        <v>0</v>
      </c>
      <c r="AI61">
        <v>0</v>
      </c>
      <c r="AJ61">
        <v>0</v>
      </c>
      <c r="AK61">
        <v>5</v>
      </c>
      <c r="AL61" t="s">
        <v>1310</v>
      </c>
      <c r="AM61" t="s">
        <v>389</v>
      </c>
      <c r="AN61" t="s">
        <v>1311</v>
      </c>
      <c r="AO61" t="s">
        <v>1312</v>
      </c>
      <c r="AP61" t="s">
        <v>74</v>
      </c>
      <c r="AQ61" t="s">
        <v>74</v>
      </c>
      <c r="AR61" t="s">
        <v>1304</v>
      </c>
      <c r="AS61" t="s">
        <v>1314</v>
      </c>
      <c r="AT61" t="s">
        <v>1315</v>
      </c>
      <c r="AU61">
        <v>2011</v>
      </c>
      <c r="AV61">
        <v>61</v>
      </c>
      <c r="AW61" t="s">
        <v>966</v>
      </c>
      <c r="AX61" t="s">
        <v>74</v>
      </c>
      <c r="AY61" t="s">
        <v>74</v>
      </c>
      <c r="AZ61" t="s">
        <v>74</v>
      </c>
      <c r="BA61" t="s">
        <v>74</v>
      </c>
      <c r="BB61">
        <v>289</v>
      </c>
      <c r="BC61" t="s">
        <v>1316</v>
      </c>
      <c r="BD61" t="s">
        <v>74</v>
      </c>
      <c r="BE61" t="s">
        <v>74</v>
      </c>
      <c r="BF61" t="s">
        <v>74</v>
      </c>
      <c r="BG61" t="s">
        <v>74</v>
      </c>
      <c r="BH61" t="s">
        <v>74</v>
      </c>
      <c r="BI61">
        <v>12</v>
      </c>
      <c r="BJ61" t="s">
        <v>1317</v>
      </c>
      <c r="BK61" t="s">
        <v>1318</v>
      </c>
      <c r="BL61" t="s">
        <v>1319</v>
      </c>
      <c r="BM61" t="s">
        <v>1320</v>
      </c>
      <c r="BN61" t="s">
        <v>74</v>
      </c>
      <c r="BO61" t="s">
        <v>74</v>
      </c>
      <c r="BP61" t="s">
        <v>74</v>
      </c>
      <c r="BQ61" t="s">
        <v>74</v>
      </c>
      <c r="BR61" t="s">
        <v>103</v>
      </c>
      <c r="BS61" t="s">
        <v>1329</v>
      </c>
      <c r="BT61" t="str">
        <f>HYPERLINK("https%3A%2F%2Fwww.webofscience.com%2Fwos%2Fwoscc%2Ffull-record%2FWOS:000209059600021","View Full Record in Web of Science")</f>
        <v>View Full Record in Web of Science</v>
      </c>
    </row>
    <row r="62" spans="1:72" x14ac:dyDescent="0.15">
      <c r="A62" t="s">
        <v>72</v>
      </c>
      <c r="B62" t="s">
        <v>1330</v>
      </c>
      <c r="C62" t="s">
        <v>74</v>
      </c>
      <c r="D62" t="s">
        <v>74</v>
      </c>
      <c r="E62" t="s">
        <v>74</v>
      </c>
      <c r="F62" t="s">
        <v>1331</v>
      </c>
      <c r="G62" t="s">
        <v>74</v>
      </c>
      <c r="H62" t="s">
        <v>74</v>
      </c>
      <c r="I62" t="s">
        <v>1332</v>
      </c>
      <c r="J62" t="s">
        <v>1333</v>
      </c>
      <c r="K62" t="s">
        <v>74</v>
      </c>
      <c r="L62" t="s">
        <v>74</v>
      </c>
      <c r="M62" t="s">
        <v>78</v>
      </c>
      <c r="N62" t="s">
        <v>79</v>
      </c>
      <c r="O62" t="s">
        <v>74</v>
      </c>
      <c r="P62" t="s">
        <v>74</v>
      </c>
      <c r="Q62" t="s">
        <v>74</v>
      </c>
      <c r="R62" t="s">
        <v>74</v>
      </c>
      <c r="S62" t="s">
        <v>74</v>
      </c>
      <c r="T62" t="s">
        <v>1334</v>
      </c>
      <c r="U62" t="s">
        <v>1335</v>
      </c>
      <c r="V62" t="s">
        <v>1336</v>
      </c>
      <c r="W62" t="s">
        <v>1337</v>
      </c>
      <c r="X62" t="s">
        <v>1338</v>
      </c>
      <c r="Y62" t="s">
        <v>1339</v>
      </c>
      <c r="Z62" t="s">
        <v>1340</v>
      </c>
      <c r="AA62" t="s">
        <v>1341</v>
      </c>
      <c r="AB62" t="s">
        <v>1342</v>
      </c>
      <c r="AC62" t="s">
        <v>1343</v>
      </c>
      <c r="AD62" t="s">
        <v>1344</v>
      </c>
      <c r="AE62" t="s">
        <v>1345</v>
      </c>
      <c r="AF62" t="s">
        <v>74</v>
      </c>
      <c r="AG62">
        <v>111</v>
      </c>
      <c r="AH62">
        <v>34</v>
      </c>
      <c r="AI62">
        <v>34</v>
      </c>
      <c r="AJ62">
        <v>0</v>
      </c>
      <c r="AK62">
        <v>16</v>
      </c>
      <c r="AL62" t="s">
        <v>767</v>
      </c>
      <c r="AM62" t="s">
        <v>640</v>
      </c>
      <c r="AN62" t="s">
        <v>768</v>
      </c>
      <c r="AO62" t="s">
        <v>1346</v>
      </c>
      <c r="AP62" t="s">
        <v>1347</v>
      </c>
      <c r="AQ62" t="s">
        <v>74</v>
      </c>
      <c r="AR62" t="s">
        <v>1348</v>
      </c>
      <c r="AS62" t="s">
        <v>1349</v>
      </c>
      <c r="AT62" t="s">
        <v>247</v>
      </c>
      <c r="AU62">
        <v>2011</v>
      </c>
      <c r="AV62">
        <v>300</v>
      </c>
      <c r="AW62" t="s">
        <v>1350</v>
      </c>
      <c r="AX62" t="s">
        <v>74</v>
      </c>
      <c r="AY62" t="s">
        <v>74</v>
      </c>
      <c r="AZ62" t="s">
        <v>74</v>
      </c>
      <c r="BA62" t="s">
        <v>74</v>
      </c>
      <c r="BB62">
        <v>84</v>
      </c>
      <c r="BC62">
        <v>100</v>
      </c>
      <c r="BD62" t="s">
        <v>74</v>
      </c>
      <c r="BE62" t="s">
        <v>1351</v>
      </c>
      <c r="BF62" t="str">
        <f>HYPERLINK("http://dx.doi.org/10.1016/j.palaeo.2010.12.012","http://dx.doi.org/10.1016/j.palaeo.2010.12.012")</f>
        <v>http://dx.doi.org/10.1016/j.palaeo.2010.12.012</v>
      </c>
      <c r="BG62" t="s">
        <v>74</v>
      </c>
      <c r="BH62" t="s">
        <v>74</v>
      </c>
      <c r="BI62">
        <v>17</v>
      </c>
      <c r="BJ62" t="s">
        <v>1352</v>
      </c>
      <c r="BK62" t="s">
        <v>100</v>
      </c>
      <c r="BL62" t="s">
        <v>1353</v>
      </c>
      <c r="BM62" t="s">
        <v>1354</v>
      </c>
      <c r="BN62" t="s">
        <v>74</v>
      </c>
      <c r="BO62" t="s">
        <v>74</v>
      </c>
      <c r="BP62" t="s">
        <v>74</v>
      </c>
      <c r="BQ62" t="s">
        <v>74</v>
      </c>
      <c r="BR62" t="s">
        <v>103</v>
      </c>
      <c r="BS62" t="s">
        <v>1355</v>
      </c>
      <c r="BT62" t="str">
        <f>HYPERLINK("https%3A%2F%2Fwww.webofscience.com%2Fwos%2Fwoscc%2Ffull-record%2FWOS:000287622400008","View Full Record in Web of Science")</f>
        <v>View Full Record in Web of Science</v>
      </c>
    </row>
    <row r="63" spans="1:72" x14ac:dyDescent="0.15">
      <c r="A63" t="s">
        <v>72</v>
      </c>
      <c r="B63" t="s">
        <v>1356</v>
      </c>
      <c r="C63" t="s">
        <v>74</v>
      </c>
      <c r="D63" t="s">
        <v>74</v>
      </c>
      <c r="E63" t="s">
        <v>74</v>
      </c>
      <c r="F63" t="s">
        <v>1357</v>
      </c>
      <c r="G63" t="s">
        <v>74</v>
      </c>
      <c r="H63" t="s">
        <v>74</v>
      </c>
      <c r="I63" t="s">
        <v>1358</v>
      </c>
      <c r="J63" t="s">
        <v>1359</v>
      </c>
      <c r="K63" t="s">
        <v>74</v>
      </c>
      <c r="L63" t="s">
        <v>74</v>
      </c>
      <c r="M63" t="s">
        <v>78</v>
      </c>
      <c r="N63" t="s">
        <v>79</v>
      </c>
      <c r="O63" t="s">
        <v>74</v>
      </c>
      <c r="P63" t="s">
        <v>74</v>
      </c>
      <c r="Q63" t="s">
        <v>74</v>
      </c>
      <c r="R63" t="s">
        <v>74</v>
      </c>
      <c r="S63" t="s">
        <v>74</v>
      </c>
      <c r="T63" t="s">
        <v>1360</v>
      </c>
      <c r="U63" t="s">
        <v>1361</v>
      </c>
      <c r="V63" t="s">
        <v>1362</v>
      </c>
      <c r="W63" t="s">
        <v>1363</v>
      </c>
      <c r="X63" t="s">
        <v>1364</v>
      </c>
      <c r="Y63" t="s">
        <v>1365</v>
      </c>
      <c r="Z63" t="s">
        <v>1366</v>
      </c>
      <c r="AA63" t="s">
        <v>1367</v>
      </c>
      <c r="AB63" t="s">
        <v>1368</v>
      </c>
      <c r="AC63" t="s">
        <v>1369</v>
      </c>
      <c r="AD63" t="s">
        <v>1370</v>
      </c>
      <c r="AE63" t="s">
        <v>1371</v>
      </c>
      <c r="AF63" t="s">
        <v>74</v>
      </c>
      <c r="AG63">
        <v>27</v>
      </c>
      <c r="AH63">
        <v>48</v>
      </c>
      <c r="AI63">
        <v>49</v>
      </c>
      <c r="AJ63">
        <v>0</v>
      </c>
      <c r="AK63">
        <v>21</v>
      </c>
      <c r="AL63" t="s">
        <v>270</v>
      </c>
      <c r="AM63" t="s">
        <v>91</v>
      </c>
      <c r="AN63" t="s">
        <v>320</v>
      </c>
      <c r="AO63" t="s">
        <v>1372</v>
      </c>
      <c r="AP63" t="s">
        <v>1373</v>
      </c>
      <c r="AQ63" t="s">
        <v>74</v>
      </c>
      <c r="AR63" t="s">
        <v>1374</v>
      </c>
      <c r="AS63" t="s">
        <v>1375</v>
      </c>
      <c r="AT63" t="s">
        <v>97</v>
      </c>
      <c r="AU63">
        <v>2011</v>
      </c>
      <c r="AV63">
        <v>34</v>
      </c>
      <c r="AW63">
        <v>2</v>
      </c>
      <c r="AX63" t="s">
        <v>74</v>
      </c>
      <c r="AY63" t="s">
        <v>74</v>
      </c>
      <c r="AZ63" t="s">
        <v>74</v>
      </c>
      <c r="BA63" t="s">
        <v>74</v>
      </c>
      <c r="BB63">
        <v>181</v>
      </c>
      <c r="BC63">
        <v>191</v>
      </c>
      <c r="BD63" t="s">
        <v>74</v>
      </c>
      <c r="BE63" t="s">
        <v>1376</v>
      </c>
      <c r="BF63" t="str">
        <f>HYPERLINK("http://dx.doi.org/10.1007/s00300-010-0868-y","http://dx.doi.org/10.1007/s00300-010-0868-y")</f>
        <v>http://dx.doi.org/10.1007/s00300-010-0868-y</v>
      </c>
      <c r="BG63" t="s">
        <v>74</v>
      </c>
      <c r="BH63" t="s">
        <v>74</v>
      </c>
      <c r="BI63">
        <v>11</v>
      </c>
      <c r="BJ63" t="s">
        <v>943</v>
      </c>
      <c r="BK63" t="s">
        <v>100</v>
      </c>
      <c r="BL63" t="s">
        <v>870</v>
      </c>
      <c r="BM63" t="s">
        <v>1377</v>
      </c>
      <c r="BN63" t="s">
        <v>74</v>
      </c>
      <c r="BO63" t="s">
        <v>74</v>
      </c>
      <c r="BP63" t="s">
        <v>74</v>
      </c>
      <c r="BQ63" t="s">
        <v>74</v>
      </c>
      <c r="BR63" t="s">
        <v>103</v>
      </c>
      <c r="BS63" t="s">
        <v>1378</v>
      </c>
      <c r="BT63" t="str">
        <f>HYPERLINK("https%3A%2F%2Fwww.webofscience.com%2Fwos%2Fwoscc%2Ffull-record%2FWOS:000287904600003","View Full Record in Web of Science")</f>
        <v>View Full Record in Web of Science</v>
      </c>
    </row>
    <row r="64" spans="1:72" x14ac:dyDescent="0.15">
      <c r="A64" t="s">
        <v>72</v>
      </c>
      <c r="B64" t="s">
        <v>1379</v>
      </c>
      <c r="C64" t="s">
        <v>74</v>
      </c>
      <c r="D64" t="s">
        <v>74</v>
      </c>
      <c r="E64" t="s">
        <v>74</v>
      </c>
      <c r="F64" t="s">
        <v>1380</v>
      </c>
      <c r="G64" t="s">
        <v>74</v>
      </c>
      <c r="H64" t="s">
        <v>74</v>
      </c>
      <c r="I64" t="s">
        <v>1381</v>
      </c>
      <c r="J64" t="s">
        <v>1359</v>
      </c>
      <c r="K64" t="s">
        <v>74</v>
      </c>
      <c r="L64" t="s">
        <v>74</v>
      </c>
      <c r="M64" t="s">
        <v>78</v>
      </c>
      <c r="N64" t="s">
        <v>79</v>
      </c>
      <c r="O64" t="s">
        <v>74</v>
      </c>
      <c r="P64" t="s">
        <v>74</v>
      </c>
      <c r="Q64" t="s">
        <v>74</v>
      </c>
      <c r="R64" t="s">
        <v>74</v>
      </c>
      <c r="S64" t="s">
        <v>74</v>
      </c>
      <c r="T64" t="s">
        <v>1382</v>
      </c>
      <c r="U64" t="s">
        <v>1383</v>
      </c>
      <c r="V64" t="s">
        <v>1384</v>
      </c>
      <c r="W64" t="s">
        <v>1385</v>
      </c>
      <c r="X64" t="s">
        <v>1386</v>
      </c>
      <c r="Y64" t="s">
        <v>1387</v>
      </c>
      <c r="Z64" t="s">
        <v>1388</v>
      </c>
      <c r="AA64" t="s">
        <v>74</v>
      </c>
      <c r="AB64" t="s">
        <v>1389</v>
      </c>
      <c r="AC64" t="s">
        <v>1214</v>
      </c>
      <c r="AD64" t="s">
        <v>1215</v>
      </c>
      <c r="AE64" t="s">
        <v>74</v>
      </c>
      <c r="AF64" t="s">
        <v>74</v>
      </c>
      <c r="AG64">
        <v>71</v>
      </c>
      <c r="AH64">
        <v>29</v>
      </c>
      <c r="AI64">
        <v>32</v>
      </c>
      <c r="AJ64">
        <v>2</v>
      </c>
      <c r="AK64">
        <v>46</v>
      </c>
      <c r="AL64" t="s">
        <v>270</v>
      </c>
      <c r="AM64" t="s">
        <v>91</v>
      </c>
      <c r="AN64" t="s">
        <v>320</v>
      </c>
      <c r="AO64" t="s">
        <v>1372</v>
      </c>
      <c r="AP64" t="s">
        <v>74</v>
      </c>
      <c r="AQ64" t="s">
        <v>74</v>
      </c>
      <c r="AR64" t="s">
        <v>1374</v>
      </c>
      <c r="AS64" t="s">
        <v>1375</v>
      </c>
      <c r="AT64" t="s">
        <v>97</v>
      </c>
      <c r="AU64">
        <v>2011</v>
      </c>
      <c r="AV64">
        <v>34</v>
      </c>
      <c r="AW64">
        <v>2</v>
      </c>
      <c r="AX64" t="s">
        <v>74</v>
      </c>
      <c r="AY64" t="s">
        <v>74</v>
      </c>
      <c r="AZ64" t="s">
        <v>74</v>
      </c>
      <c r="BA64" t="s">
        <v>74</v>
      </c>
      <c r="BB64">
        <v>205</v>
      </c>
      <c r="BC64">
        <v>214</v>
      </c>
      <c r="BD64" t="s">
        <v>74</v>
      </c>
      <c r="BE64" t="s">
        <v>1390</v>
      </c>
      <c r="BF64" t="str">
        <f>HYPERLINK("http://dx.doi.org/10.1007/s00300-010-0870-4","http://dx.doi.org/10.1007/s00300-010-0870-4")</f>
        <v>http://dx.doi.org/10.1007/s00300-010-0870-4</v>
      </c>
      <c r="BG64" t="s">
        <v>74</v>
      </c>
      <c r="BH64" t="s">
        <v>74</v>
      </c>
      <c r="BI64">
        <v>10</v>
      </c>
      <c r="BJ64" t="s">
        <v>943</v>
      </c>
      <c r="BK64" t="s">
        <v>100</v>
      </c>
      <c r="BL64" t="s">
        <v>870</v>
      </c>
      <c r="BM64" t="s">
        <v>1377</v>
      </c>
      <c r="BN64" t="s">
        <v>74</v>
      </c>
      <c r="BO64" t="s">
        <v>1391</v>
      </c>
      <c r="BP64" t="s">
        <v>74</v>
      </c>
      <c r="BQ64" t="s">
        <v>74</v>
      </c>
      <c r="BR64" t="s">
        <v>103</v>
      </c>
      <c r="BS64" t="s">
        <v>1392</v>
      </c>
      <c r="BT64" t="str">
        <f>HYPERLINK("https%3A%2F%2Fwww.webofscience.com%2Fwos%2Fwoscc%2Ffull-record%2FWOS:000287904600005","View Full Record in Web of Science")</f>
        <v>View Full Record in Web of Science</v>
      </c>
    </row>
    <row r="65" spans="1:72" x14ac:dyDescent="0.15">
      <c r="A65" t="s">
        <v>72</v>
      </c>
      <c r="B65" t="s">
        <v>1393</v>
      </c>
      <c r="C65" t="s">
        <v>74</v>
      </c>
      <c r="D65" t="s">
        <v>74</v>
      </c>
      <c r="E65" t="s">
        <v>74</v>
      </c>
      <c r="F65" t="s">
        <v>1394</v>
      </c>
      <c r="G65" t="s">
        <v>74</v>
      </c>
      <c r="H65" t="s">
        <v>74</v>
      </c>
      <c r="I65" t="s">
        <v>1395</v>
      </c>
      <c r="J65" t="s">
        <v>1359</v>
      </c>
      <c r="K65" t="s">
        <v>74</v>
      </c>
      <c r="L65" t="s">
        <v>74</v>
      </c>
      <c r="M65" t="s">
        <v>78</v>
      </c>
      <c r="N65" t="s">
        <v>79</v>
      </c>
      <c r="O65" t="s">
        <v>74</v>
      </c>
      <c r="P65" t="s">
        <v>74</v>
      </c>
      <c r="Q65" t="s">
        <v>74</v>
      </c>
      <c r="R65" t="s">
        <v>74</v>
      </c>
      <c r="S65" t="s">
        <v>74</v>
      </c>
      <c r="T65" t="s">
        <v>1396</v>
      </c>
      <c r="U65" t="s">
        <v>1397</v>
      </c>
      <c r="V65" t="s">
        <v>1398</v>
      </c>
      <c r="W65" t="s">
        <v>1399</v>
      </c>
      <c r="X65" t="s">
        <v>1400</v>
      </c>
      <c r="Y65" t="s">
        <v>1401</v>
      </c>
      <c r="Z65" t="s">
        <v>1402</v>
      </c>
      <c r="AA65" t="s">
        <v>1403</v>
      </c>
      <c r="AB65" t="s">
        <v>1404</v>
      </c>
      <c r="AC65" t="s">
        <v>1405</v>
      </c>
      <c r="AD65" t="s">
        <v>1406</v>
      </c>
      <c r="AE65" t="s">
        <v>1407</v>
      </c>
      <c r="AF65" t="s">
        <v>74</v>
      </c>
      <c r="AG65">
        <v>50</v>
      </c>
      <c r="AH65">
        <v>13</v>
      </c>
      <c r="AI65">
        <v>13</v>
      </c>
      <c r="AJ65">
        <v>0</v>
      </c>
      <c r="AK65">
        <v>9</v>
      </c>
      <c r="AL65" t="s">
        <v>270</v>
      </c>
      <c r="AM65" t="s">
        <v>91</v>
      </c>
      <c r="AN65" t="s">
        <v>320</v>
      </c>
      <c r="AO65" t="s">
        <v>1372</v>
      </c>
      <c r="AP65" t="s">
        <v>74</v>
      </c>
      <c r="AQ65" t="s">
        <v>74</v>
      </c>
      <c r="AR65" t="s">
        <v>1374</v>
      </c>
      <c r="AS65" t="s">
        <v>1375</v>
      </c>
      <c r="AT65" t="s">
        <v>97</v>
      </c>
      <c r="AU65">
        <v>2011</v>
      </c>
      <c r="AV65">
        <v>34</v>
      </c>
      <c r="AW65">
        <v>2</v>
      </c>
      <c r="AX65" t="s">
        <v>74</v>
      </c>
      <c r="AY65" t="s">
        <v>74</v>
      </c>
      <c r="AZ65" t="s">
        <v>74</v>
      </c>
      <c r="BA65" t="s">
        <v>74</v>
      </c>
      <c r="BB65">
        <v>243</v>
      </c>
      <c r="BC65">
        <v>255</v>
      </c>
      <c r="BD65" t="s">
        <v>74</v>
      </c>
      <c r="BE65" t="s">
        <v>1408</v>
      </c>
      <c r="BF65" t="str">
        <f>HYPERLINK("http://dx.doi.org/10.1007/s00300-010-0876-y","http://dx.doi.org/10.1007/s00300-010-0876-y")</f>
        <v>http://dx.doi.org/10.1007/s00300-010-0876-y</v>
      </c>
      <c r="BG65" t="s">
        <v>74</v>
      </c>
      <c r="BH65" t="s">
        <v>74</v>
      </c>
      <c r="BI65">
        <v>13</v>
      </c>
      <c r="BJ65" t="s">
        <v>943</v>
      </c>
      <c r="BK65" t="s">
        <v>100</v>
      </c>
      <c r="BL65" t="s">
        <v>870</v>
      </c>
      <c r="BM65" t="s">
        <v>1377</v>
      </c>
      <c r="BN65" t="s">
        <v>74</v>
      </c>
      <c r="BO65" t="s">
        <v>74</v>
      </c>
      <c r="BP65" t="s">
        <v>74</v>
      </c>
      <c r="BQ65" t="s">
        <v>74</v>
      </c>
      <c r="BR65" t="s">
        <v>103</v>
      </c>
      <c r="BS65" t="s">
        <v>1409</v>
      </c>
      <c r="BT65" t="str">
        <f>HYPERLINK("https%3A%2F%2Fwww.webofscience.com%2Fwos%2Fwoscc%2Ffull-record%2FWOS:000287904600009","View Full Record in Web of Science")</f>
        <v>View Full Record in Web of Science</v>
      </c>
    </row>
    <row r="66" spans="1:72" x14ac:dyDescent="0.15">
      <c r="A66" t="s">
        <v>72</v>
      </c>
      <c r="B66" t="s">
        <v>1410</v>
      </c>
      <c r="C66" t="s">
        <v>74</v>
      </c>
      <c r="D66" t="s">
        <v>74</v>
      </c>
      <c r="E66" t="s">
        <v>74</v>
      </c>
      <c r="F66" t="s">
        <v>1411</v>
      </c>
      <c r="G66" t="s">
        <v>74</v>
      </c>
      <c r="H66" t="s">
        <v>74</v>
      </c>
      <c r="I66" t="s">
        <v>1412</v>
      </c>
      <c r="J66" t="s">
        <v>1359</v>
      </c>
      <c r="K66" t="s">
        <v>74</v>
      </c>
      <c r="L66" t="s">
        <v>74</v>
      </c>
      <c r="M66" t="s">
        <v>78</v>
      </c>
      <c r="N66" t="s">
        <v>79</v>
      </c>
      <c r="O66" t="s">
        <v>74</v>
      </c>
      <c r="P66" t="s">
        <v>74</v>
      </c>
      <c r="Q66" t="s">
        <v>74</v>
      </c>
      <c r="R66" t="s">
        <v>74</v>
      </c>
      <c r="S66" t="s">
        <v>74</v>
      </c>
      <c r="T66" t="s">
        <v>1413</v>
      </c>
      <c r="U66" t="s">
        <v>1414</v>
      </c>
      <c r="V66" t="s">
        <v>1415</v>
      </c>
      <c r="W66" t="s">
        <v>1416</v>
      </c>
      <c r="X66" t="s">
        <v>1386</v>
      </c>
      <c r="Y66" t="s">
        <v>1417</v>
      </c>
      <c r="Z66" t="s">
        <v>1418</v>
      </c>
      <c r="AA66" t="s">
        <v>1419</v>
      </c>
      <c r="AB66" t="s">
        <v>1420</v>
      </c>
      <c r="AC66" t="s">
        <v>1214</v>
      </c>
      <c r="AD66" t="s">
        <v>1215</v>
      </c>
      <c r="AE66" t="s">
        <v>74</v>
      </c>
      <c r="AF66" t="s">
        <v>74</v>
      </c>
      <c r="AG66">
        <v>37</v>
      </c>
      <c r="AH66">
        <v>67</v>
      </c>
      <c r="AI66">
        <v>68</v>
      </c>
      <c r="AJ66">
        <v>4</v>
      </c>
      <c r="AK66">
        <v>41</v>
      </c>
      <c r="AL66" t="s">
        <v>270</v>
      </c>
      <c r="AM66" t="s">
        <v>91</v>
      </c>
      <c r="AN66" t="s">
        <v>296</v>
      </c>
      <c r="AO66" t="s">
        <v>1372</v>
      </c>
      <c r="AP66" t="s">
        <v>1373</v>
      </c>
      <c r="AQ66" t="s">
        <v>74</v>
      </c>
      <c r="AR66" t="s">
        <v>1374</v>
      </c>
      <c r="AS66" t="s">
        <v>1375</v>
      </c>
      <c r="AT66" t="s">
        <v>97</v>
      </c>
      <c r="AU66">
        <v>2011</v>
      </c>
      <c r="AV66">
        <v>34</v>
      </c>
      <c r="AW66">
        <v>2</v>
      </c>
      <c r="AX66" t="s">
        <v>74</v>
      </c>
      <c r="AY66" t="s">
        <v>74</v>
      </c>
      <c r="AZ66" t="s">
        <v>74</v>
      </c>
      <c r="BA66" t="s">
        <v>74</v>
      </c>
      <c r="BB66">
        <v>273</v>
      </c>
      <c r="BC66">
        <v>281</v>
      </c>
      <c r="BD66" t="s">
        <v>74</v>
      </c>
      <c r="BE66" t="s">
        <v>1421</v>
      </c>
      <c r="BF66" t="str">
        <f>HYPERLINK("http://dx.doi.org/10.1007/s00300-010-0880-2","http://dx.doi.org/10.1007/s00300-010-0880-2")</f>
        <v>http://dx.doi.org/10.1007/s00300-010-0880-2</v>
      </c>
      <c r="BG66" t="s">
        <v>74</v>
      </c>
      <c r="BH66" t="s">
        <v>74</v>
      </c>
      <c r="BI66">
        <v>9</v>
      </c>
      <c r="BJ66" t="s">
        <v>943</v>
      </c>
      <c r="BK66" t="s">
        <v>100</v>
      </c>
      <c r="BL66" t="s">
        <v>870</v>
      </c>
      <c r="BM66" t="s">
        <v>1377</v>
      </c>
      <c r="BN66" t="s">
        <v>74</v>
      </c>
      <c r="BO66" t="s">
        <v>74</v>
      </c>
      <c r="BP66" t="s">
        <v>74</v>
      </c>
      <c r="BQ66" t="s">
        <v>74</v>
      </c>
      <c r="BR66" t="s">
        <v>103</v>
      </c>
      <c r="BS66" t="s">
        <v>1422</v>
      </c>
      <c r="BT66" t="str">
        <f>HYPERLINK("https%3A%2F%2Fwww.webofscience.com%2Fwos%2Fwoscc%2Ffull-record%2FWOS:000287904600011","View Full Record in Web of Science")</f>
        <v>View Full Record in Web of Science</v>
      </c>
    </row>
    <row r="67" spans="1:72" x14ac:dyDescent="0.15">
      <c r="A67" t="s">
        <v>72</v>
      </c>
      <c r="B67" t="s">
        <v>1423</v>
      </c>
      <c r="C67" t="s">
        <v>74</v>
      </c>
      <c r="D67" t="s">
        <v>74</v>
      </c>
      <c r="E67" t="s">
        <v>74</v>
      </c>
      <c r="F67" t="s">
        <v>1424</v>
      </c>
      <c r="G67" t="s">
        <v>74</v>
      </c>
      <c r="H67" t="s">
        <v>74</v>
      </c>
      <c r="I67" t="s">
        <v>1425</v>
      </c>
      <c r="J67" t="s">
        <v>1359</v>
      </c>
      <c r="K67" t="s">
        <v>74</v>
      </c>
      <c r="L67" t="s">
        <v>74</v>
      </c>
      <c r="M67" t="s">
        <v>78</v>
      </c>
      <c r="N67" t="s">
        <v>79</v>
      </c>
      <c r="O67" t="s">
        <v>74</v>
      </c>
      <c r="P67" t="s">
        <v>74</v>
      </c>
      <c r="Q67" t="s">
        <v>74</v>
      </c>
      <c r="R67" t="s">
        <v>74</v>
      </c>
      <c r="S67" t="s">
        <v>74</v>
      </c>
      <c r="T67" t="s">
        <v>1426</v>
      </c>
      <c r="U67" t="s">
        <v>1427</v>
      </c>
      <c r="V67" t="s">
        <v>1428</v>
      </c>
      <c r="W67" t="s">
        <v>1429</v>
      </c>
      <c r="X67" t="s">
        <v>1430</v>
      </c>
      <c r="Y67" t="s">
        <v>1431</v>
      </c>
      <c r="Z67" t="s">
        <v>1432</v>
      </c>
      <c r="AA67" t="s">
        <v>1433</v>
      </c>
      <c r="AB67" t="s">
        <v>1434</v>
      </c>
      <c r="AC67" t="s">
        <v>1435</v>
      </c>
      <c r="AD67" t="s">
        <v>1436</v>
      </c>
      <c r="AE67" t="s">
        <v>1437</v>
      </c>
      <c r="AF67" t="s">
        <v>74</v>
      </c>
      <c r="AG67">
        <v>21</v>
      </c>
      <c r="AH67">
        <v>46</v>
      </c>
      <c r="AI67">
        <v>52</v>
      </c>
      <c r="AJ67">
        <v>1</v>
      </c>
      <c r="AK67">
        <v>19</v>
      </c>
      <c r="AL67" t="s">
        <v>270</v>
      </c>
      <c r="AM67" t="s">
        <v>91</v>
      </c>
      <c r="AN67" t="s">
        <v>296</v>
      </c>
      <c r="AO67" t="s">
        <v>1372</v>
      </c>
      <c r="AP67" t="s">
        <v>1373</v>
      </c>
      <c r="AQ67" t="s">
        <v>74</v>
      </c>
      <c r="AR67" t="s">
        <v>1374</v>
      </c>
      <c r="AS67" t="s">
        <v>1375</v>
      </c>
      <c r="AT67" t="s">
        <v>97</v>
      </c>
      <c r="AU67">
        <v>2011</v>
      </c>
      <c r="AV67">
        <v>34</v>
      </c>
      <c r="AW67">
        <v>2</v>
      </c>
      <c r="AX67" t="s">
        <v>74</v>
      </c>
      <c r="AY67" t="s">
        <v>74</v>
      </c>
      <c r="AZ67" t="s">
        <v>74</v>
      </c>
      <c r="BA67" t="s">
        <v>74</v>
      </c>
      <c r="BB67">
        <v>307</v>
      </c>
      <c r="BC67">
        <v>311</v>
      </c>
      <c r="BD67" t="s">
        <v>74</v>
      </c>
      <c r="BE67" t="s">
        <v>1438</v>
      </c>
      <c r="BF67" t="str">
        <f>HYPERLINK("http://dx.doi.org/10.1007/s00300-010-0872-2","http://dx.doi.org/10.1007/s00300-010-0872-2")</f>
        <v>http://dx.doi.org/10.1007/s00300-010-0872-2</v>
      </c>
      <c r="BG67" t="s">
        <v>74</v>
      </c>
      <c r="BH67" t="s">
        <v>74</v>
      </c>
      <c r="BI67">
        <v>5</v>
      </c>
      <c r="BJ67" t="s">
        <v>943</v>
      </c>
      <c r="BK67" t="s">
        <v>100</v>
      </c>
      <c r="BL67" t="s">
        <v>870</v>
      </c>
      <c r="BM67" t="s">
        <v>1377</v>
      </c>
      <c r="BN67" t="s">
        <v>74</v>
      </c>
      <c r="BO67" t="s">
        <v>1439</v>
      </c>
      <c r="BP67" t="s">
        <v>74</v>
      </c>
      <c r="BQ67" t="s">
        <v>74</v>
      </c>
      <c r="BR67" t="s">
        <v>103</v>
      </c>
      <c r="BS67" t="s">
        <v>1440</v>
      </c>
      <c r="BT67" t="str">
        <f>HYPERLINK("https%3A%2F%2Fwww.webofscience.com%2Fwos%2Fwoscc%2Ffull-record%2FWOS:000287904600015","View Full Record in Web of Science")</f>
        <v>View Full Record in Web of Science</v>
      </c>
    </row>
    <row r="68" spans="1:72" x14ac:dyDescent="0.15">
      <c r="A68" t="s">
        <v>72</v>
      </c>
      <c r="B68" t="s">
        <v>1441</v>
      </c>
      <c r="C68" t="s">
        <v>74</v>
      </c>
      <c r="D68" t="s">
        <v>74</v>
      </c>
      <c r="E68" t="s">
        <v>74</v>
      </c>
      <c r="F68" t="s">
        <v>1442</v>
      </c>
      <c r="G68" t="s">
        <v>74</v>
      </c>
      <c r="H68" t="s">
        <v>74</v>
      </c>
      <c r="I68" t="s">
        <v>1443</v>
      </c>
      <c r="J68" t="s">
        <v>1444</v>
      </c>
      <c r="K68" t="s">
        <v>74</v>
      </c>
      <c r="L68" t="s">
        <v>74</v>
      </c>
      <c r="M68" t="s">
        <v>78</v>
      </c>
      <c r="N68" t="s">
        <v>79</v>
      </c>
      <c r="O68" t="s">
        <v>74</v>
      </c>
      <c r="P68" t="s">
        <v>74</v>
      </c>
      <c r="Q68" t="s">
        <v>74</v>
      </c>
      <c r="R68" t="s">
        <v>74</v>
      </c>
      <c r="S68" t="s">
        <v>74</v>
      </c>
      <c r="T68" t="s">
        <v>1445</v>
      </c>
      <c r="U68" t="s">
        <v>1446</v>
      </c>
      <c r="V68" t="s">
        <v>1447</v>
      </c>
      <c r="W68" t="s">
        <v>1448</v>
      </c>
      <c r="X68" t="s">
        <v>1449</v>
      </c>
      <c r="Y68" t="s">
        <v>1450</v>
      </c>
      <c r="Z68" t="s">
        <v>1451</v>
      </c>
      <c r="AA68" t="s">
        <v>1452</v>
      </c>
      <c r="AB68" t="s">
        <v>1453</v>
      </c>
      <c r="AC68" t="s">
        <v>1454</v>
      </c>
      <c r="AD68" t="s">
        <v>1455</v>
      </c>
      <c r="AE68" t="s">
        <v>1456</v>
      </c>
      <c r="AF68" t="s">
        <v>74</v>
      </c>
      <c r="AG68">
        <v>99</v>
      </c>
      <c r="AH68">
        <v>56</v>
      </c>
      <c r="AI68">
        <v>64</v>
      </c>
      <c r="AJ68">
        <v>0</v>
      </c>
      <c r="AK68">
        <v>20</v>
      </c>
      <c r="AL68" t="s">
        <v>1457</v>
      </c>
      <c r="AM68" t="s">
        <v>719</v>
      </c>
      <c r="AN68" t="s">
        <v>1458</v>
      </c>
      <c r="AO68" t="s">
        <v>1459</v>
      </c>
      <c r="AP68" t="s">
        <v>74</v>
      </c>
      <c r="AQ68" t="s">
        <v>74</v>
      </c>
      <c r="AR68" t="s">
        <v>1460</v>
      </c>
      <c r="AS68" t="s">
        <v>1461</v>
      </c>
      <c r="AT68" t="s">
        <v>97</v>
      </c>
      <c r="AU68">
        <v>2011</v>
      </c>
      <c r="AV68">
        <v>6</v>
      </c>
      <c r="AW68">
        <v>1</v>
      </c>
      <c r="AX68" t="s">
        <v>74</v>
      </c>
      <c r="AY68" t="s">
        <v>74</v>
      </c>
      <c r="AZ68" t="s">
        <v>74</v>
      </c>
      <c r="BA68" t="s">
        <v>74</v>
      </c>
      <c r="BB68">
        <v>50</v>
      </c>
      <c r="BC68">
        <v>60</v>
      </c>
      <c r="BD68" t="s">
        <v>74</v>
      </c>
      <c r="BE68" t="s">
        <v>1462</v>
      </c>
      <c r="BF68" t="str">
        <f>HYPERLINK("http://dx.doi.org/10.1016/j.quageo.2010.06.004","http://dx.doi.org/10.1016/j.quageo.2010.06.004")</f>
        <v>http://dx.doi.org/10.1016/j.quageo.2010.06.004</v>
      </c>
      <c r="BG68" t="s">
        <v>74</v>
      </c>
      <c r="BH68" t="s">
        <v>74</v>
      </c>
      <c r="BI68">
        <v>11</v>
      </c>
      <c r="BJ68" t="s">
        <v>222</v>
      </c>
      <c r="BK68" t="s">
        <v>100</v>
      </c>
      <c r="BL68" t="s">
        <v>223</v>
      </c>
      <c r="BM68" t="s">
        <v>1463</v>
      </c>
      <c r="BN68" t="s">
        <v>74</v>
      </c>
      <c r="BO68" t="s">
        <v>74</v>
      </c>
      <c r="BP68" t="s">
        <v>74</v>
      </c>
      <c r="BQ68" t="s">
        <v>74</v>
      </c>
      <c r="BR68" t="s">
        <v>103</v>
      </c>
      <c r="BS68" t="s">
        <v>1464</v>
      </c>
      <c r="BT68" t="str">
        <f>HYPERLINK("https%3A%2F%2Fwww.webofscience.com%2Fwos%2Fwoscc%2Ffull-record%2FWOS:000285433300006","View Full Record in Web of Science")</f>
        <v>View Full Record in Web of Science</v>
      </c>
    </row>
    <row r="69" spans="1:72" x14ac:dyDescent="0.15">
      <c r="A69" t="s">
        <v>72</v>
      </c>
      <c r="B69" t="s">
        <v>1465</v>
      </c>
      <c r="C69" t="s">
        <v>74</v>
      </c>
      <c r="D69" t="s">
        <v>74</v>
      </c>
      <c r="E69" t="s">
        <v>74</v>
      </c>
      <c r="F69" t="s">
        <v>1466</v>
      </c>
      <c r="G69" t="s">
        <v>74</v>
      </c>
      <c r="H69" t="s">
        <v>74</v>
      </c>
      <c r="I69" t="s">
        <v>1467</v>
      </c>
      <c r="J69" t="s">
        <v>1468</v>
      </c>
      <c r="K69" t="s">
        <v>74</v>
      </c>
      <c r="L69" t="s">
        <v>74</v>
      </c>
      <c r="M69" t="s">
        <v>78</v>
      </c>
      <c r="N69" t="s">
        <v>79</v>
      </c>
      <c r="O69" t="s">
        <v>74</v>
      </c>
      <c r="P69" t="s">
        <v>74</v>
      </c>
      <c r="Q69" t="s">
        <v>74</v>
      </c>
      <c r="R69" t="s">
        <v>74</v>
      </c>
      <c r="S69" t="s">
        <v>74</v>
      </c>
      <c r="T69" t="s">
        <v>74</v>
      </c>
      <c r="U69" t="s">
        <v>1469</v>
      </c>
      <c r="V69" t="s">
        <v>1470</v>
      </c>
      <c r="W69" t="s">
        <v>1471</v>
      </c>
      <c r="X69" t="s">
        <v>1472</v>
      </c>
      <c r="Y69" t="s">
        <v>1473</v>
      </c>
      <c r="Z69" t="s">
        <v>1474</v>
      </c>
      <c r="AA69" t="s">
        <v>1475</v>
      </c>
      <c r="AB69" t="s">
        <v>1476</v>
      </c>
      <c r="AC69" t="s">
        <v>1477</v>
      </c>
      <c r="AD69" t="s">
        <v>1478</v>
      </c>
      <c r="AE69" t="s">
        <v>1479</v>
      </c>
      <c r="AF69" t="s">
        <v>74</v>
      </c>
      <c r="AG69">
        <v>25</v>
      </c>
      <c r="AH69">
        <v>20</v>
      </c>
      <c r="AI69">
        <v>21</v>
      </c>
      <c r="AJ69">
        <v>0</v>
      </c>
      <c r="AK69">
        <v>2</v>
      </c>
      <c r="AL69" t="s">
        <v>270</v>
      </c>
      <c r="AM69" t="s">
        <v>91</v>
      </c>
      <c r="AN69" t="s">
        <v>296</v>
      </c>
      <c r="AO69" t="s">
        <v>1480</v>
      </c>
      <c r="AP69" t="s">
        <v>1481</v>
      </c>
      <c r="AQ69" t="s">
        <v>74</v>
      </c>
      <c r="AR69" t="s">
        <v>1482</v>
      </c>
      <c r="AS69" t="s">
        <v>1483</v>
      </c>
      <c r="AT69" t="s">
        <v>97</v>
      </c>
      <c r="AU69">
        <v>2011</v>
      </c>
      <c r="AV69">
        <v>53</v>
      </c>
      <c r="AW69" t="s">
        <v>1484</v>
      </c>
      <c r="AX69" t="s">
        <v>74</v>
      </c>
      <c r="AY69" t="s">
        <v>74</v>
      </c>
      <c r="AZ69" t="s">
        <v>74</v>
      </c>
      <c r="BA69" t="s">
        <v>74</v>
      </c>
      <c r="BB69">
        <v>512</v>
      </c>
      <c r="BC69">
        <v>531</v>
      </c>
      <c r="BD69" t="s">
        <v>74</v>
      </c>
      <c r="BE69" t="s">
        <v>1485</v>
      </c>
      <c r="BF69" t="str">
        <f>HYPERLINK("http://dx.doi.org/10.1007/s11141-011-9247-y","http://dx.doi.org/10.1007/s11141-011-9247-y")</f>
        <v>http://dx.doi.org/10.1007/s11141-011-9247-y</v>
      </c>
      <c r="BG69" t="s">
        <v>74</v>
      </c>
      <c r="BH69" t="s">
        <v>74</v>
      </c>
      <c r="BI69">
        <v>20</v>
      </c>
      <c r="BJ69" t="s">
        <v>1486</v>
      </c>
      <c r="BK69" t="s">
        <v>100</v>
      </c>
      <c r="BL69" t="s">
        <v>1487</v>
      </c>
      <c r="BM69" t="s">
        <v>1488</v>
      </c>
      <c r="BN69" t="s">
        <v>74</v>
      </c>
      <c r="BO69" t="s">
        <v>74</v>
      </c>
      <c r="BP69" t="s">
        <v>74</v>
      </c>
      <c r="BQ69" t="s">
        <v>74</v>
      </c>
      <c r="BR69" t="s">
        <v>103</v>
      </c>
      <c r="BS69" t="s">
        <v>1489</v>
      </c>
      <c r="BT69" t="str">
        <f>HYPERLINK("https%3A%2F%2Fwww.webofscience.com%2Fwos%2Fwoscc%2Ffull-record%2FWOS:000290273600002","View Full Record in Web of Science")</f>
        <v>View Full Record in Web of Science</v>
      </c>
    </row>
    <row r="70" spans="1:72" x14ac:dyDescent="0.15">
      <c r="A70" t="s">
        <v>72</v>
      </c>
      <c r="B70" t="s">
        <v>1490</v>
      </c>
      <c r="C70" t="s">
        <v>74</v>
      </c>
      <c r="D70" t="s">
        <v>74</v>
      </c>
      <c r="E70" t="s">
        <v>74</v>
      </c>
      <c r="F70" t="s">
        <v>1491</v>
      </c>
      <c r="G70" t="s">
        <v>74</v>
      </c>
      <c r="H70" t="s">
        <v>74</v>
      </c>
      <c r="I70" t="s">
        <v>1492</v>
      </c>
      <c r="J70" t="s">
        <v>1493</v>
      </c>
      <c r="K70" t="s">
        <v>74</v>
      </c>
      <c r="L70" t="s">
        <v>74</v>
      </c>
      <c r="M70" t="s">
        <v>78</v>
      </c>
      <c r="N70" t="s">
        <v>79</v>
      </c>
      <c r="O70" t="s">
        <v>74</v>
      </c>
      <c r="P70" t="s">
        <v>74</v>
      </c>
      <c r="Q70" t="s">
        <v>74</v>
      </c>
      <c r="R70" t="s">
        <v>74</v>
      </c>
      <c r="S70" t="s">
        <v>74</v>
      </c>
      <c r="T70" t="s">
        <v>1494</v>
      </c>
      <c r="U70" t="s">
        <v>1495</v>
      </c>
      <c r="V70" t="s">
        <v>1496</v>
      </c>
      <c r="W70" t="s">
        <v>1497</v>
      </c>
      <c r="X70" t="s">
        <v>1498</v>
      </c>
      <c r="Y70" t="s">
        <v>1499</v>
      </c>
      <c r="Z70" t="s">
        <v>1500</v>
      </c>
      <c r="AA70" t="s">
        <v>1501</v>
      </c>
      <c r="AB70" t="s">
        <v>1502</v>
      </c>
      <c r="AC70" t="s">
        <v>1503</v>
      </c>
      <c r="AD70" t="s">
        <v>1504</v>
      </c>
      <c r="AE70" t="s">
        <v>1505</v>
      </c>
      <c r="AF70" t="s">
        <v>74</v>
      </c>
      <c r="AG70">
        <v>59</v>
      </c>
      <c r="AH70">
        <v>59</v>
      </c>
      <c r="AI70">
        <v>77</v>
      </c>
      <c r="AJ70">
        <v>1</v>
      </c>
      <c r="AK70">
        <v>76</v>
      </c>
      <c r="AL70" t="s">
        <v>767</v>
      </c>
      <c r="AM70" t="s">
        <v>640</v>
      </c>
      <c r="AN70" t="s">
        <v>768</v>
      </c>
      <c r="AO70" t="s">
        <v>1506</v>
      </c>
      <c r="AP70" t="s">
        <v>1507</v>
      </c>
      <c r="AQ70" t="s">
        <v>74</v>
      </c>
      <c r="AR70" t="s">
        <v>1508</v>
      </c>
      <c r="AS70" t="s">
        <v>1509</v>
      </c>
      <c r="AT70" t="s">
        <v>1315</v>
      </c>
      <c r="AU70">
        <v>2011</v>
      </c>
      <c r="AV70">
        <v>162</v>
      </c>
      <c r="AW70">
        <v>2</v>
      </c>
      <c r="AX70" t="s">
        <v>74</v>
      </c>
      <c r="AY70" t="s">
        <v>74</v>
      </c>
      <c r="AZ70" t="s">
        <v>74</v>
      </c>
      <c r="BA70" t="s">
        <v>74</v>
      </c>
      <c r="BB70">
        <v>191</v>
      </c>
      <c r="BC70">
        <v>203</v>
      </c>
      <c r="BD70" t="s">
        <v>74</v>
      </c>
      <c r="BE70" t="s">
        <v>1510</v>
      </c>
      <c r="BF70" t="str">
        <f>HYPERLINK("http://dx.doi.org/10.1016/j.resmic.2010.09.020","http://dx.doi.org/10.1016/j.resmic.2010.09.020")</f>
        <v>http://dx.doi.org/10.1016/j.resmic.2010.09.020</v>
      </c>
      <c r="BG70" t="s">
        <v>74</v>
      </c>
      <c r="BH70" t="s">
        <v>74</v>
      </c>
      <c r="BI70">
        <v>13</v>
      </c>
      <c r="BJ70" t="s">
        <v>325</v>
      </c>
      <c r="BK70" t="s">
        <v>100</v>
      </c>
      <c r="BL70" t="s">
        <v>325</v>
      </c>
      <c r="BM70" t="s">
        <v>1511</v>
      </c>
      <c r="BN70">
        <v>21126578</v>
      </c>
      <c r="BO70" t="s">
        <v>74</v>
      </c>
      <c r="BP70" t="s">
        <v>74</v>
      </c>
      <c r="BQ70" t="s">
        <v>74</v>
      </c>
      <c r="BR70" t="s">
        <v>103</v>
      </c>
      <c r="BS70" t="s">
        <v>1512</v>
      </c>
      <c r="BT70" t="str">
        <f>HYPERLINK("https%3A%2F%2Fwww.webofscience.com%2Fwos%2Fwoscc%2Ffull-record%2FWOS:000288880500012","View Full Record in Web of Science")</f>
        <v>View Full Record in Web of Science</v>
      </c>
    </row>
    <row r="71" spans="1:72" x14ac:dyDescent="0.15">
      <c r="A71" t="s">
        <v>72</v>
      </c>
      <c r="B71" t="s">
        <v>1513</v>
      </c>
      <c r="C71" t="s">
        <v>74</v>
      </c>
      <c r="D71" t="s">
        <v>74</v>
      </c>
      <c r="E71" t="s">
        <v>74</v>
      </c>
      <c r="F71" t="s">
        <v>1514</v>
      </c>
      <c r="G71" t="s">
        <v>74</v>
      </c>
      <c r="H71" t="s">
        <v>74</v>
      </c>
      <c r="I71" t="s">
        <v>1515</v>
      </c>
      <c r="J71" t="s">
        <v>1516</v>
      </c>
      <c r="K71" t="s">
        <v>74</v>
      </c>
      <c r="L71" t="s">
        <v>74</v>
      </c>
      <c r="M71" t="s">
        <v>78</v>
      </c>
      <c r="N71" t="s">
        <v>681</v>
      </c>
      <c r="O71" t="s">
        <v>74</v>
      </c>
      <c r="P71" t="s">
        <v>74</v>
      </c>
      <c r="Q71" t="s">
        <v>74</v>
      </c>
      <c r="R71" t="s">
        <v>74</v>
      </c>
      <c r="S71" t="s">
        <v>74</v>
      </c>
      <c r="T71" t="s">
        <v>74</v>
      </c>
      <c r="U71" t="s">
        <v>74</v>
      </c>
      <c r="V71" t="s">
        <v>1517</v>
      </c>
      <c r="W71" t="s">
        <v>1518</v>
      </c>
      <c r="X71" t="s">
        <v>74</v>
      </c>
      <c r="Y71" t="s">
        <v>1519</v>
      </c>
      <c r="Z71" t="s">
        <v>74</v>
      </c>
      <c r="AA71" t="s">
        <v>74</v>
      </c>
      <c r="AB71" t="s">
        <v>74</v>
      </c>
      <c r="AC71" t="s">
        <v>74</v>
      </c>
      <c r="AD71" t="s">
        <v>74</v>
      </c>
      <c r="AE71" t="s">
        <v>74</v>
      </c>
      <c r="AF71" t="s">
        <v>74</v>
      </c>
      <c r="AG71">
        <v>4</v>
      </c>
      <c r="AH71">
        <v>0</v>
      </c>
      <c r="AI71">
        <v>0</v>
      </c>
      <c r="AJ71">
        <v>0</v>
      </c>
      <c r="AK71">
        <v>1</v>
      </c>
      <c r="AL71" t="s">
        <v>1520</v>
      </c>
      <c r="AM71" t="s">
        <v>91</v>
      </c>
      <c r="AN71" t="s">
        <v>1521</v>
      </c>
      <c r="AO71" t="s">
        <v>1522</v>
      </c>
      <c r="AP71" t="s">
        <v>74</v>
      </c>
      <c r="AQ71" t="s">
        <v>74</v>
      </c>
      <c r="AR71" t="s">
        <v>1523</v>
      </c>
      <c r="AS71" t="s">
        <v>1524</v>
      </c>
      <c r="AT71" t="s">
        <v>97</v>
      </c>
      <c r="AU71">
        <v>2011</v>
      </c>
      <c r="AV71">
        <v>36</v>
      </c>
      <c r="AW71">
        <v>2</v>
      </c>
      <c r="AX71" t="s">
        <v>74</v>
      </c>
      <c r="AY71" t="s">
        <v>74</v>
      </c>
      <c r="AZ71" t="s">
        <v>74</v>
      </c>
      <c r="BA71" t="s">
        <v>74</v>
      </c>
      <c r="BB71">
        <v>139</v>
      </c>
      <c r="BC71">
        <v>144</v>
      </c>
      <c r="BD71" t="s">
        <v>74</v>
      </c>
      <c r="BE71" t="s">
        <v>1525</v>
      </c>
      <c r="BF71" t="str">
        <f>HYPERLINK("http://dx.doi.org/10.3103/S1068373911020105","http://dx.doi.org/10.3103/S1068373911020105")</f>
        <v>http://dx.doi.org/10.3103/S1068373911020105</v>
      </c>
      <c r="BG71" t="s">
        <v>74</v>
      </c>
      <c r="BH71" t="s">
        <v>74</v>
      </c>
      <c r="BI71">
        <v>6</v>
      </c>
      <c r="BJ71" t="s">
        <v>603</v>
      </c>
      <c r="BK71" t="s">
        <v>100</v>
      </c>
      <c r="BL71" t="s">
        <v>603</v>
      </c>
      <c r="BM71" t="s">
        <v>1526</v>
      </c>
      <c r="BN71" t="s">
        <v>74</v>
      </c>
      <c r="BO71" t="s">
        <v>74</v>
      </c>
      <c r="BP71" t="s">
        <v>74</v>
      </c>
      <c r="BQ71" t="s">
        <v>74</v>
      </c>
      <c r="BR71" t="s">
        <v>103</v>
      </c>
      <c r="BS71" t="s">
        <v>1527</v>
      </c>
      <c r="BT71" t="str">
        <f>HYPERLINK("https%3A%2F%2Fwww.webofscience.com%2Fwos%2Fwoscc%2Ffull-record%2FWOS:000288708700010","View Full Record in Web of Science")</f>
        <v>View Full Record in Web of Science</v>
      </c>
    </row>
    <row r="72" spans="1:72" x14ac:dyDescent="0.15">
      <c r="A72" t="s">
        <v>72</v>
      </c>
      <c r="B72" t="s">
        <v>1528</v>
      </c>
      <c r="C72" t="s">
        <v>74</v>
      </c>
      <c r="D72" t="s">
        <v>74</v>
      </c>
      <c r="E72" t="s">
        <v>74</v>
      </c>
      <c r="F72" t="s">
        <v>1529</v>
      </c>
      <c r="G72" t="s">
        <v>74</v>
      </c>
      <c r="H72" t="s">
        <v>74</v>
      </c>
      <c r="I72" t="s">
        <v>1530</v>
      </c>
      <c r="J72" t="s">
        <v>1531</v>
      </c>
      <c r="K72" t="s">
        <v>74</v>
      </c>
      <c r="L72" t="s">
        <v>74</v>
      </c>
      <c r="M72" t="s">
        <v>78</v>
      </c>
      <c r="N72" t="s">
        <v>79</v>
      </c>
      <c r="O72" t="s">
        <v>74</v>
      </c>
      <c r="P72" t="s">
        <v>74</v>
      </c>
      <c r="Q72" t="s">
        <v>74</v>
      </c>
      <c r="R72" t="s">
        <v>74</v>
      </c>
      <c r="S72" t="s">
        <v>74</v>
      </c>
      <c r="T72" t="s">
        <v>1532</v>
      </c>
      <c r="U72" t="s">
        <v>1533</v>
      </c>
      <c r="V72" t="s">
        <v>1534</v>
      </c>
      <c r="W72" t="s">
        <v>1535</v>
      </c>
      <c r="X72" t="s">
        <v>1536</v>
      </c>
      <c r="Y72" t="s">
        <v>1537</v>
      </c>
      <c r="Z72" t="s">
        <v>1538</v>
      </c>
      <c r="AA72" t="s">
        <v>74</v>
      </c>
      <c r="AB72" t="s">
        <v>1539</v>
      </c>
      <c r="AC72" t="s">
        <v>1540</v>
      </c>
      <c r="AD72" t="s">
        <v>1541</v>
      </c>
      <c r="AE72" t="s">
        <v>1542</v>
      </c>
      <c r="AF72" t="s">
        <v>74</v>
      </c>
      <c r="AG72">
        <v>51</v>
      </c>
      <c r="AH72">
        <v>96</v>
      </c>
      <c r="AI72">
        <v>125</v>
      </c>
      <c r="AJ72">
        <v>1</v>
      </c>
      <c r="AK72">
        <v>41</v>
      </c>
      <c r="AL72" t="s">
        <v>718</v>
      </c>
      <c r="AM72" t="s">
        <v>719</v>
      </c>
      <c r="AN72" t="s">
        <v>720</v>
      </c>
      <c r="AO72" t="s">
        <v>1543</v>
      </c>
      <c r="AP72" t="s">
        <v>1544</v>
      </c>
      <c r="AQ72" t="s">
        <v>74</v>
      </c>
      <c r="AR72" t="s">
        <v>1545</v>
      </c>
      <c r="AS72" t="s">
        <v>1546</v>
      </c>
      <c r="AT72" t="s">
        <v>97</v>
      </c>
      <c r="AU72">
        <v>2011</v>
      </c>
      <c r="AV72">
        <v>43</v>
      </c>
      <c r="AW72">
        <v>2</v>
      </c>
      <c r="AX72" t="s">
        <v>74</v>
      </c>
      <c r="AY72" t="s">
        <v>74</v>
      </c>
      <c r="AZ72" t="s">
        <v>74</v>
      </c>
      <c r="BA72" t="s">
        <v>74</v>
      </c>
      <c r="BB72">
        <v>308</v>
      </c>
      <c r="BC72">
        <v>315</v>
      </c>
      <c r="BD72" t="s">
        <v>74</v>
      </c>
      <c r="BE72" t="s">
        <v>1547</v>
      </c>
      <c r="BF72" t="str">
        <f>HYPERLINK("http://dx.doi.org/10.1016/j.soilbio.2010.10.016","http://dx.doi.org/10.1016/j.soilbio.2010.10.016")</f>
        <v>http://dx.doi.org/10.1016/j.soilbio.2010.10.016</v>
      </c>
      <c r="BG72" t="s">
        <v>74</v>
      </c>
      <c r="BH72" t="s">
        <v>74</v>
      </c>
      <c r="BI72">
        <v>8</v>
      </c>
      <c r="BJ72" t="s">
        <v>1548</v>
      </c>
      <c r="BK72" t="s">
        <v>100</v>
      </c>
      <c r="BL72" t="s">
        <v>1549</v>
      </c>
      <c r="BM72" t="s">
        <v>1550</v>
      </c>
      <c r="BN72" t="s">
        <v>74</v>
      </c>
      <c r="BO72" t="s">
        <v>74</v>
      </c>
      <c r="BP72" t="s">
        <v>74</v>
      </c>
      <c r="BQ72" t="s">
        <v>74</v>
      </c>
      <c r="BR72" t="s">
        <v>103</v>
      </c>
      <c r="BS72" t="s">
        <v>1551</v>
      </c>
      <c r="BT72" t="str">
        <f>HYPERLINK("https%3A%2F%2Fwww.webofscience.com%2Fwos%2Fwoscc%2Ffull-record%2FWOS:000286967800011","View Full Record in Web of Science")</f>
        <v>View Full Record in Web of Science</v>
      </c>
    </row>
    <row r="73" spans="1:72" x14ac:dyDescent="0.15">
      <c r="A73" t="s">
        <v>72</v>
      </c>
      <c r="B73" t="s">
        <v>1552</v>
      </c>
      <c r="C73" t="s">
        <v>74</v>
      </c>
      <c r="D73" t="s">
        <v>74</v>
      </c>
      <c r="E73" t="s">
        <v>74</v>
      </c>
      <c r="F73" t="s">
        <v>1552</v>
      </c>
      <c r="G73" t="s">
        <v>74</v>
      </c>
      <c r="H73" t="s">
        <v>74</v>
      </c>
      <c r="I73" t="s">
        <v>1553</v>
      </c>
      <c r="J73" t="s">
        <v>1554</v>
      </c>
      <c r="K73" t="s">
        <v>74</v>
      </c>
      <c r="L73" t="s">
        <v>74</v>
      </c>
      <c r="M73" t="s">
        <v>78</v>
      </c>
      <c r="N73" t="s">
        <v>403</v>
      </c>
      <c r="O73" t="s">
        <v>74</v>
      </c>
      <c r="P73" t="s">
        <v>74</v>
      </c>
      <c r="Q73" t="s">
        <v>74</v>
      </c>
      <c r="R73" t="s">
        <v>74</v>
      </c>
      <c r="S73" t="s">
        <v>74</v>
      </c>
      <c r="T73" t="s">
        <v>74</v>
      </c>
      <c r="U73" t="s">
        <v>74</v>
      </c>
      <c r="V73" t="s">
        <v>74</v>
      </c>
      <c r="W73" t="s">
        <v>74</v>
      </c>
      <c r="X73" t="s">
        <v>74</v>
      </c>
      <c r="Y73" t="s">
        <v>74</v>
      </c>
      <c r="Z73" t="s">
        <v>74</v>
      </c>
      <c r="AA73" t="s">
        <v>74</v>
      </c>
      <c r="AB73" t="s">
        <v>74</v>
      </c>
      <c r="AC73" t="s">
        <v>74</v>
      </c>
      <c r="AD73" t="s">
        <v>74</v>
      </c>
      <c r="AE73" t="s">
        <v>74</v>
      </c>
      <c r="AF73" t="s">
        <v>74</v>
      </c>
      <c r="AG73">
        <v>0</v>
      </c>
      <c r="AH73">
        <v>0</v>
      </c>
      <c r="AI73">
        <v>0</v>
      </c>
      <c r="AJ73">
        <v>0</v>
      </c>
      <c r="AK73">
        <v>0</v>
      </c>
      <c r="AL73" t="s">
        <v>1555</v>
      </c>
      <c r="AM73" t="s">
        <v>1556</v>
      </c>
      <c r="AN73" t="s">
        <v>1557</v>
      </c>
      <c r="AO73" t="s">
        <v>1558</v>
      </c>
      <c r="AP73" t="s">
        <v>74</v>
      </c>
      <c r="AQ73" t="s">
        <v>74</v>
      </c>
      <c r="AR73" t="s">
        <v>1554</v>
      </c>
      <c r="AS73" t="s">
        <v>1559</v>
      </c>
      <c r="AT73" t="s">
        <v>97</v>
      </c>
      <c r="AU73">
        <v>2011</v>
      </c>
      <c r="AV73" t="s">
        <v>74</v>
      </c>
      <c r="AW73">
        <v>519</v>
      </c>
      <c r="AX73" t="s">
        <v>74</v>
      </c>
      <c r="AY73" t="s">
        <v>74</v>
      </c>
      <c r="AZ73" t="s">
        <v>74</v>
      </c>
      <c r="BA73" t="s">
        <v>74</v>
      </c>
      <c r="BB73">
        <v>20</v>
      </c>
      <c r="BC73">
        <v>23</v>
      </c>
      <c r="BD73" t="s">
        <v>74</v>
      </c>
      <c r="BE73" t="s">
        <v>74</v>
      </c>
      <c r="BF73" t="s">
        <v>74</v>
      </c>
      <c r="BG73" t="s">
        <v>74</v>
      </c>
      <c r="BH73" t="s">
        <v>74</v>
      </c>
      <c r="BI73">
        <v>4</v>
      </c>
      <c r="BJ73" t="s">
        <v>1560</v>
      </c>
      <c r="BK73" t="s">
        <v>1561</v>
      </c>
      <c r="BL73" t="s">
        <v>1560</v>
      </c>
      <c r="BM73" t="s">
        <v>1562</v>
      </c>
      <c r="BN73" t="s">
        <v>74</v>
      </c>
      <c r="BO73" t="s">
        <v>74</v>
      </c>
      <c r="BP73" t="s">
        <v>74</v>
      </c>
      <c r="BQ73" t="s">
        <v>74</v>
      </c>
      <c r="BR73" t="s">
        <v>103</v>
      </c>
      <c r="BS73" t="s">
        <v>1563</v>
      </c>
      <c r="BT73" t="str">
        <f>HYPERLINK("https%3A%2F%2Fwww.webofscience.com%2Fwos%2Fwoscc%2Ffull-record%2FWOS:000287778700016","View Full Record in Web of Science")</f>
        <v>View Full Record in Web of Science</v>
      </c>
    </row>
    <row r="74" spans="1:72" x14ac:dyDescent="0.15">
      <c r="A74" t="s">
        <v>72</v>
      </c>
      <c r="B74" t="s">
        <v>1564</v>
      </c>
      <c r="C74" t="s">
        <v>74</v>
      </c>
      <c r="D74" t="s">
        <v>74</v>
      </c>
      <c r="E74" t="s">
        <v>74</v>
      </c>
      <c r="F74" t="s">
        <v>1565</v>
      </c>
      <c r="G74" t="s">
        <v>74</v>
      </c>
      <c r="H74" t="s">
        <v>74</v>
      </c>
      <c r="I74" t="s">
        <v>1566</v>
      </c>
      <c r="J74" t="s">
        <v>1567</v>
      </c>
      <c r="K74" t="s">
        <v>74</v>
      </c>
      <c r="L74" t="s">
        <v>74</v>
      </c>
      <c r="M74" t="s">
        <v>1568</v>
      </c>
      <c r="N74" t="s">
        <v>79</v>
      </c>
      <c r="O74" t="s">
        <v>74</v>
      </c>
      <c r="P74" t="s">
        <v>74</v>
      </c>
      <c r="Q74" t="s">
        <v>74</v>
      </c>
      <c r="R74" t="s">
        <v>74</v>
      </c>
      <c r="S74" t="s">
        <v>74</v>
      </c>
      <c r="T74" t="s">
        <v>1569</v>
      </c>
      <c r="U74" t="s">
        <v>1570</v>
      </c>
      <c r="V74" t="s">
        <v>1571</v>
      </c>
      <c r="W74" t="s">
        <v>1572</v>
      </c>
      <c r="X74" t="s">
        <v>1573</v>
      </c>
      <c r="Y74" t="s">
        <v>1574</v>
      </c>
      <c r="Z74" t="s">
        <v>1575</v>
      </c>
      <c r="AA74" t="s">
        <v>1576</v>
      </c>
      <c r="AB74" t="s">
        <v>74</v>
      </c>
      <c r="AC74" t="s">
        <v>74</v>
      </c>
      <c r="AD74" t="s">
        <v>74</v>
      </c>
      <c r="AE74" t="s">
        <v>74</v>
      </c>
      <c r="AF74" t="s">
        <v>74</v>
      </c>
      <c r="AG74">
        <v>15</v>
      </c>
      <c r="AH74">
        <v>1</v>
      </c>
      <c r="AI74">
        <v>1</v>
      </c>
      <c r="AJ74">
        <v>0</v>
      </c>
      <c r="AK74">
        <v>11</v>
      </c>
      <c r="AL74" t="s">
        <v>1577</v>
      </c>
      <c r="AM74" t="s">
        <v>1578</v>
      </c>
      <c r="AN74" t="s">
        <v>1579</v>
      </c>
      <c r="AO74" t="s">
        <v>1580</v>
      </c>
      <c r="AP74" t="s">
        <v>74</v>
      </c>
      <c r="AQ74" t="s">
        <v>74</v>
      </c>
      <c r="AR74" t="s">
        <v>1581</v>
      </c>
      <c r="AS74" t="s">
        <v>1582</v>
      </c>
      <c r="AT74" t="s">
        <v>97</v>
      </c>
      <c r="AU74">
        <v>2011</v>
      </c>
      <c r="AV74">
        <v>31</v>
      </c>
      <c r="AW74">
        <v>2</v>
      </c>
      <c r="AX74" t="s">
        <v>74</v>
      </c>
      <c r="AY74" t="s">
        <v>74</v>
      </c>
      <c r="AZ74" t="s">
        <v>74</v>
      </c>
      <c r="BA74" t="s">
        <v>74</v>
      </c>
      <c r="BB74">
        <v>418</v>
      </c>
      <c r="BC74">
        <v>421</v>
      </c>
      <c r="BD74" t="s">
        <v>74</v>
      </c>
      <c r="BE74" t="s">
        <v>1583</v>
      </c>
      <c r="BF74" t="str">
        <f>HYPERLINK("http://dx.doi.org/10.3964/j.issn.1000-0593(2011)02-0418-04","http://dx.doi.org/10.3964/j.issn.1000-0593(2011)02-0418-04")</f>
        <v>http://dx.doi.org/10.3964/j.issn.1000-0593(2011)02-0418-04</v>
      </c>
      <c r="BG74" t="s">
        <v>74</v>
      </c>
      <c r="BH74" t="s">
        <v>74</v>
      </c>
      <c r="BI74">
        <v>4</v>
      </c>
      <c r="BJ74" t="s">
        <v>1584</v>
      </c>
      <c r="BK74" t="s">
        <v>100</v>
      </c>
      <c r="BL74" t="s">
        <v>1584</v>
      </c>
      <c r="BM74" t="s">
        <v>1585</v>
      </c>
      <c r="BN74">
        <v>21510394</v>
      </c>
      <c r="BO74" t="s">
        <v>74</v>
      </c>
      <c r="BP74" t="s">
        <v>74</v>
      </c>
      <c r="BQ74" t="s">
        <v>74</v>
      </c>
      <c r="BR74" t="s">
        <v>103</v>
      </c>
      <c r="BS74" t="s">
        <v>1586</v>
      </c>
      <c r="BT74" t="str">
        <f>HYPERLINK("https%3A%2F%2Fwww.webofscience.com%2Fwos%2Fwoscc%2Ffull-record%2FWOS:000287263400029","View Full Record in Web of Science")</f>
        <v>View Full Record in Web of Science</v>
      </c>
    </row>
    <row r="75" spans="1:72" x14ac:dyDescent="0.15">
      <c r="A75" t="s">
        <v>72</v>
      </c>
      <c r="B75" t="s">
        <v>1587</v>
      </c>
      <c r="C75" t="s">
        <v>74</v>
      </c>
      <c r="D75" t="s">
        <v>74</v>
      </c>
      <c r="E75" t="s">
        <v>74</v>
      </c>
      <c r="F75" t="s">
        <v>1588</v>
      </c>
      <c r="G75" t="s">
        <v>74</v>
      </c>
      <c r="H75" t="s">
        <v>74</v>
      </c>
      <c r="I75" t="s">
        <v>1589</v>
      </c>
      <c r="J75" t="s">
        <v>1567</v>
      </c>
      <c r="K75" t="s">
        <v>74</v>
      </c>
      <c r="L75" t="s">
        <v>74</v>
      </c>
      <c r="M75" t="s">
        <v>1568</v>
      </c>
      <c r="N75" t="s">
        <v>79</v>
      </c>
      <c r="O75" t="s">
        <v>74</v>
      </c>
      <c r="P75" t="s">
        <v>74</v>
      </c>
      <c r="Q75" t="s">
        <v>74</v>
      </c>
      <c r="R75" t="s">
        <v>74</v>
      </c>
      <c r="S75" t="s">
        <v>74</v>
      </c>
      <c r="T75" t="s">
        <v>1590</v>
      </c>
      <c r="U75" t="s">
        <v>1591</v>
      </c>
      <c r="V75" t="s">
        <v>1592</v>
      </c>
      <c r="W75" t="s">
        <v>1593</v>
      </c>
      <c r="X75" t="s">
        <v>1594</v>
      </c>
      <c r="Y75" t="s">
        <v>1595</v>
      </c>
      <c r="Z75" t="s">
        <v>1596</v>
      </c>
      <c r="AA75" t="s">
        <v>1597</v>
      </c>
      <c r="AB75" t="s">
        <v>74</v>
      </c>
      <c r="AC75" t="s">
        <v>74</v>
      </c>
      <c r="AD75" t="s">
        <v>74</v>
      </c>
      <c r="AE75" t="s">
        <v>74</v>
      </c>
      <c r="AF75" t="s">
        <v>74</v>
      </c>
      <c r="AG75">
        <v>18</v>
      </c>
      <c r="AH75">
        <v>1</v>
      </c>
      <c r="AI75">
        <v>2</v>
      </c>
      <c r="AJ75">
        <v>1</v>
      </c>
      <c r="AK75">
        <v>15</v>
      </c>
      <c r="AL75" t="s">
        <v>1577</v>
      </c>
      <c r="AM75" t="s">
        <v>1578</v>
      </c>
      <c r="AN75" t="s">
        <v>1579</v>
      </c>
      <c r="AO75" t="s">
        <v>1580</v>
      </c>
      <c r="AP75" t="s">
        <v>74</v>
      </c>
      <c r="AQ75" t="s">
        <v>74</v>
      </c>
      <c r="AR75" t="s">
        <v>1581</v>
      </c>
      <c r="AS75" t="s">
        <v>1582</v>
      </c>
      <c r="AT75" t="s">
        <v>97</v>
      </c>
      <c r="AU75">
        <v>2011</v>
      </c>
      <c r="AV75">
        <v>31</v>
      </c>
      <c r="AW75">
        <v>2</v>
      </c>
      <c r="AX75" t="s">
        <v>74</v>
      </c>
      <c r="AY75" t="s">
        <v>74</v>
      </c>
      <c r="AZ75" t="s">
        <v>74</v>
      </c>
      <c r="BA75" t="s">
        <v>74</v>
      </c>
      <c r="BB75">
        <v>456</v>
      </c>
      <c r="BC75">
        <v>460</v>
      </c>
      <c r="BD75" t="s">
        <v>74</v>
      </c>
      <c r="BE75" t="s">
        <v>1598</v>
      </c>
      <c r="BF75" t="str">
        <f>HYPERLINK("http://dx.doi.org/10.3964/j.issn.1000-0593(2011)02-0456-05","http://dx.doi.org/10.3964/j.issn.1000-0593(2011)02-0456-05")</f>
        <v>http://dx.doi.org/10.3964/j.issn.1000-0593(2011)02-0456-05</v>
      </c>
      <c r="BG75" t="s">
        <v>74</v>
      </c>
      <c r="BH75" t="s">
        <v>74</v>
      </c>
      <c r="BI75">
        <v>5</v>
      </c>
      <c r="BJ75" t="s">
        <v>1584</v>
      </c>
      <c r="BK75" t="s">
        <v>100</v>
      </c>
      <c r="BL75" t="s">
        <v>1584</v>
      </c>
      <c r="BM75" t="s">
        <v>1585</v>
      </c>
      <c r="BN75">
        <v>21510403</v>
      </c>
      <c r="BO75" t="s">
        <v>74</v>
      </c>
      <c r="BP75" t="s">
        <v>74</v>
      </c>
      <c r="BQ75" t="s">
        <v>74</v>
      </c>
      <c r="BR75" t="s">
        <v>103</v>
      </c>
      <c r="BS75" t="s">
        <v>1599</v>
      </c>
      <c r="BT75" t="str">
        <f>HYPERLINK("https%3A%2F%2Fwww.webofscience.com%2Fwos%2Fwoscc%2Ffull-record%2FWOS:000287263400038","View Full Record in Web of Science")</f>
        <v>View Full Record in Web of Science</v>
      </c>
    </row>
    <row r="76" spans="1:72" x14ac:dyDescent="0.15">
      <c r="A76" t="s">
        <v>72</v>
      </c>
      <c r="B76" t="s">
        <v>1600</v>
      </c>
      <c r="C76" t="s">
        <v>74</v>
      </c>
      <c r="D76" t="s">
        <v>74</v>
      </c>
      <c r="E76" t="s">
        <v>74</v>
      </c>
      <c r="F76" t="s">
        <v>1601</v>
      </c>
      <c r="G76" t="s">
        <v>74</v>
      </c>
      <c r="H76" t="s">
        <v>74</v>
      </c>
      <c r="I76" t="s">
        <v>1602</v>
      </c>
      <c r="J76" t="s">
        <v>1603</v>
      </c>
      <c r="K76" t="s">
        <v>74</v>
      </c>
      <c r="L76" t="s">
        <v>74</v>
      </c>
      <c r="M76" t="s">
        <v>78</v>
      </c>
      <c r="N76" t="s">
        <v>681</v>
      </c>
      <c r="O76" t="s">
        <v>74</v>
      </c>
      <c r="P76" t="s">
        <v>74</v>
      </c>
      <c r="Q76" t="s">
        <v>74</v>
      </c>
      <c r="R76" t="s">
        <v>74</v>
      </c>
      <c r="S76" t="s">
        <v>74</v>
      </c>
      <c r="T76" t="s">
        <v>74</v>
      </c>
      <c r="U76" t="s">
        <v>1604</v>
      </c>
      <c r="V76" t="s">
        <v>1605</v>
      </c>
      <c r="W76" t="s">
        <v>1606</v>
      </c>
      <c r="X76" t="s">
        <v>1607</v>
      </c>
      <c r="Y76" t="s">
        <v>1608</v>
      </c>
      <c r="Z76" t="s">
        <v>1609</v>
      </c>
      <c r="AA76" t="s">
        <v>1610</v>
      </c>
      <c r="AB76" t="s">
        <v>1611</v>
      </c>
      <c r="AC76" t="s">
        <v>1612</v>
      </c>
      <c r="AD76" t="s">
        <v>1613</v>
      </c>
      <c r="AE76" t="s">
        <v>1614</v>
      </c>
      <c r="AF76" t="s">
        <v>74</v>
      </c>
      <c r="AG76">
        <v>57</v>
      </c>
      <c r="AH76">
        <v>55</v>
      </c>
      <c r="AI76">
        <v>67</v>
      </c>
      <c r="AJ76">
        <v>5</v>
      </c>
      <c r="AK76">
        <v>60</v>
      </c>
      <c r="AL76" t="s">
        <v>1457</v>
      </c>
      <c r="AM76" t="s">
        <v>719</v>
      </c>
      <c r="AN76" t="s">
        <v>1458</v>
      </c>
      <c r="AO76" t="s">
        <v>1615</v>
      </c>
      <c r="AP76" t="s">
        <v>1616</v>
      </c>
      <c r="AQ76" t="s">
        <v>74</v>
      </c>
      <c r="AR76" t="s">
        <v>1617</v>
      </c>
      <c r="AS76" t="s">
        <v>1618</v>
      </c>
      <c r="AT76" t="s">
        <v>97</v>
      </c>
      <c r="AU76">
        <v>2011</v>
      </c>
      <c r="AV76">
        <v>19</v>
      </c>
      <c r="AW76">
        <v>2</v>
      </c>
      <c r="AX76" t="s">
        <v>74</v>
      </c>
      <c r="AY76" t="s">
        <v>74</v>
      </c>
      <c r="AZ76" t="s">
        <v>74</v>
      </c>
      <c r="BA76" t="s">
        <v>74</v>
      </c>
      <c r="BB76">
        <v>52</v>
      </c>
      <c r="BC76">
        <v>57</v>
      </c>
      <c r="BD76" t="s">
        <v>74</v>
      </c>
      <c r="BE76" t="s">
        <v>1619</v>
      </c>
      <c r="BF76" t="str">
        <f>HYPERLINK("http://dx.doi.org/10.1016/j.tim.2010.11.002","http://dx.doi.org/10.1016/j.tim.2010.11.002")</f>
        <v>http://dx.doi.org/10.1016/j.tim.2010.11.002</v>
      </c>
      <c r="BG76" t="s">
        <v>74</v>
      </c>
      <c r="BH76" t="s">
        <v>74</v>
      </c>
      <c r="BI76">
        <v>6</v>
      </c>
      <c r="BJ76" t="s">
        <v>1075</v>
      </c>
      <c r="BK76" t="s">
        <v>100</v>
      </c>
      <c r="BL76" t="s">
        <v>1075</v>
      </c>
      <c r="BM76" t="s">
        <v>1620</v>
      </c>
      <c r="BN76">
        <v>21130655</v>
      </c>
      <c r="BO76" t="s">
        <v>74</v>
      </c>
      <c r="BP76" t="s">
        <v>74</v>
      </c>
      <c r="BQ76" t="s">
        <v>74</v>
      </c>
      <c r="BR76" t="s">
        <v>103</v>
      </c>
      <c r="BS76" t="s">
        <v>1621</v>
      </c>
      <c r="BT76" t="str">
        <f>HYPERLINK("https%3A%2F%2Fwww.webofscience.com%2Fwos%2Fwoscc%2Ffull-record%2FWOS:000287903300003","View Full Record in Web of Science")</f>
        <v>View Full Record in Web of Science</v>
      </c>
    </row>
    <row r="77" spans="1:72" x14ac:dyDescent="0.15">
      <c r="A77" t="s">
        <v>72</v>
      </c>
      <c r="B77" t="s">
        <v>1622</v>
      </c>
      <c r="C77" t="s">
        <v>74</v>
      </c>
      <c r="D77" t="s">
        <v>74</v>
      </c>
      <c r="E77" t="s">
        <v>74</v>
      </c>
      <c r="F77" t="s">
        <v>1623</v>
      </c>
      <c r="G77" t="s">
        <v>74</v>
      </c>
      <c r="H77" t="s">
        <v>74</v>
      </c>
      <c r="I77" t="s">
        <v>1624</v>
      </c>
      <c r="J77" t="s">
        <v>1625</v>
      </c>
      <c r="K77" t="s">
        <v>74</v>
      </c>
      <c r="L77" t="s">
        <v>74</v>
      </c>
      <c r="M77" t="s">
        <v>78</v>
      </c>
      <c r="N77" t="s">
        <v>79</v>
      </c>
      <c r="O77" t="s">
        <v>74</v>
      </c>
      <c r="P77" t="s">
        <v>74</v>
      </c>
      <c r="Q77" t="s">
        <v>74</v>
      </c>
      <c r="R77" t="s">
        <v>74</v>
      </c>
      <c r="S77" t="s">
        <v>74</v>
      </c>
      <c r="T77" t="s">
        <v>1626</v>
      </c>
      <c r="U77" t="s">
        <v>1627</v>
      </c>
      <c r="V77" t="s">
        <v>1628</v>
      </c>
      <c r="W77" t="s">
        <v>1629</v>
      </c>
      <c r="X77" t="s">
        <v>1630</v>
      </c>
      <c r="Y77" t="s">
        <v>1631</v>
      </c>
      <c r="Z77" t="s">
        <v>1632</v>
      </c>
      <c r="AA77" t="s">
        <v>1633</v>
      </c>
      <c r="AB77" t="s">
        <v>1634</v>
      </c>
      <c r="AC77" t="s">
        <v>1635</v>
      </c>
      <c r="AD77" t="s">
        <v>1636</v>
      </c>
      <c r="AE77" t="s">
        <v>1637</v>
      </c>
      <c r="AF77" t="s">
        <v>74</v>
      </c>
      <c r="AG77">
        <v>110</v>
      </c>
      <c r="AH77">
        <v>6</v>
      </c>
      <c r="AI77">
        <v>7</v>
      </c>
      <c r="AJ77">
        <v>4</v>
      </c>
      <c r="AK77">
        <v>30</v>
      </c>
      <c r="AL77" t="s">
        <v>639</v>
      </c>
      <c r="AM77" t="s">
        <v>640</v>
      </c>
      <c r="AN77" t="s">
        <v>641</v>
      </c>
      <c r="AO77" t="s">
        <v>1638</v>
      </c>
      <c r="AP77" t="s">
        <v>1639</v>
      </c>
      <c r="AQ77" t="s">
        <v>74</v>
      </c>
      <c r="AR77" t="s">
        <v>1640</v>
      </c>
      <c r="AS77" t="s">
        <v>1641</v>
      </c>
      <c r="AT77" t="s">
        <v>1642</v>
      </c>
      <c r="AU77">
        <v>2011</v>
      </c>
      <c r="AV77">
        <v>397</v>
      </c>
      <c r="AW77">
        <v>1</v>
      </c>
      <c r="AX77" t="s">
        <v>74</v>
      </c>
      <c r="AY77" t="s">
        <v>74</v>
      </c>
      <c r="AZ77" t="s">
        <v>74</v>
      </c>
      <c r="BA77" t="s">
        <v>74</v>
      </c>
      <c r="BB77">
        <v>27</v>
      </c>
      <c r="BC77">
        <v>37</v>
      </c>
      <c r="BD77" t="s">
        <v>74</v>
      </c>
      <c r="BE77" t="s">
        <v>1643</v>
      </c>
      <c r="BF77" t="str">
        <f>HYPERLINK("http://dx.doi.org/10.1016/j.jembe.2010.11.005","http://dx.doi.org/10.1016/j.jembe.2010.11.005")</f>
        <v>http://dx.doi.org/10.1016/j.jembe.2010.11.005</v>
      </c>
      <c r="BG77" t="s">
        <v>74</v>
      </c>
      <c r="BH77" t="s">
        <v>74</v>
      </c>
      <c r="BI77">
        <v>11</v>
      </c>
      <c r="BJ77" t="s">
        <v>346</v>
      </c>
      <c r="BK77" t="s">
        <v>100</v>
      </c>
      <c r="BL77" t="s">
        <v>347</v>
      </c>
      <c r="BM77" t="s">
        <v>1644</v>
      </c>
      <c r="BN77" t="s">
        <v>74</v>
      </c>
      <c r="BO77" t="s">
        <v>74</v>
      </c>
      <c r="BP77" t="s">
        <v>74</v>
      </c>
      <c r="BQ77" t="s">
        <v>74</v>
      </c>
      <c r="BR77" t="s">
        <v>103</v>
      </c>
      <c r="BS77" t="s">
        <v>1645</v>
      </c>
      <c r="BT77" t="str">
        <f>HYPERLINK("https%3A%2F%2Fwww.webofscience.com%2Fwos%2Fwoscc%2Ffull-record%2FWOS:000287113400005","View Full Record in Web of Science")</f>
        <v>View Full Record in Web of Science</v>
      </c>
    </row>
    <row r="78" spans="1:72" x14ac:dyDescent="0.15">
      <c r="A78" t="s">
        <v>72</v>
      </c>
      <c r="B78" t="s">
        <v>1646</v>
      </c>
      <c r="C78" t="s">
        <v>74</v>
      </c>
      <c r="D78" t="s">
        <v>74</v>
      </c>
      <c r="E78" t="s">
        <v>74</v>
      </c>
      <c r="F78" t="s">
        <v>1647</v>
      </c>
      <c r="G78" t="s">
        <v>74</v>
      </c>
      <c r="H78" t="s">
        <v>74</v>
      </c>
      <c r="I78" t="s">
        <v>1648</v>
      </c>
      <c r="J78" t="s">
        <v>1649</v>
      </c>
      <c r="K78" t="s">
        <v>74</v>
      </c>
      <c r="L78" t="s">
        <v>74</v>
      </c>
      <c r="M78" t="s">
        <v>78</v>
      </c>
      <c r="N78" t="s">
        <v>79</v>
      </c>
      <c r="O78" t="s">
        <v>74</v>
      </c>
      <c r="P78" t="s">
        <v>74</v>
      </c>
      <c r="Q78" t="s">
        <v>74</v>
      </c>
      <c r="R78" t="s">
        <v>74</v>
      </c>
      <c r="S78" t="s">
        <v>74</v>
      </c>
      <c r="T78" t="s">
        <v>74</v>
      </c>
      <c r="U78" t="s">
        <v>1650</v>
      </c>
      <c r="V78" t="s">
        <v>1651</v>
      </c>
      <c r="W78" t="s">
        <v>1652</v>
      </c>
      <c r="X78" t="s">
        <v>1653</v>
      </c>
      <c r="Y78" t="s">
        <v>1654</v>
      </c>
      <c r="Z78" t="s">
        <v>1655</v>
      </c>
      <c r="AA78" t="s">
        <v>1656</v>
      </c>
      <c r="AB78" t="s">
        <v>1657</v>
      </c>
      <c r="AC78" t="s">
        <v>1658</v>
      </c>
      <c r="AD78" t="s">
        <v>1659</v>
      </c>
      <c r="AE78" t="s">
        <v>1660</v>
      </c>
      <c r="AF78" t="s">
        <v>74</v>
      </c>
      <c r="AG78">
        <v>15</v>
      </c>
      <c r="AH78">
        <v>46</v>
      </c>
      <c r="AI78">
        <v>46</v>
      </c>
      <c r="AJ78">
        <v>0</v>
      </c>
      <c r="AK78">
        <v>11</v>
      </c>
      <c r="AL78" t="s">
        <v>1661</v>
      </c>
      <c r="AM78" t="s">
        <v>1662</v>
      </c>
      <c r="AN78" t="s">
        <v>1663</v>
      </c>
      <c r="AO78" t="s">
        <v>1664</v>
      </c>
      <c r="AP78" t="s">
        <v>74</v>
      </c>
      <c r="AQ78" t="s">
        <v>74</v>
      </c>
      <c r="AR78" t="s">
        <v>1649</v>
      </c>
      <c r="AS78" t="s">
        <v>1665</v>
      </c>
      <c r="AT78" t="s">
        <v>1666</v>
      </c>
      <c r="AU78">
        <v>2011</v>
      </c>
      <c r="AV78">
        <v>6</v>
      </c>
      <c r="AW78">
        <v>1</v>
      </c>
      <c r="AX78" t="s">
        <v>74</v>
      </c>
      <c r="AY78" t="s">
        <v>74</v>
      </c>
      <c r="AZ78" t="s">
        <v>74</v>
      </c>
      <c r="BA78" t="s">
        <v>74</v>
      </c>
      <c r="BB78" t="s">
        <v>74</v>
      </c>
      <c r="BC78" t="s">
        <v>74</v>
      </c>
      <c r="BD78" t="s">
        <v>1667</v>
      </c>
      <c r="BE78" t="s">
        <v>1668</v>
      </c>
      <c r="BF78" t="str">
        <f>HYPERLINK("http://dx.doi.org/10.1371/journal.pone.0015850","http://dx.doi.org/10.1371/journal.pone.0015850")</f>
        <v>http://dx.doi.org/10.1371/journal.pone.0015850</v>
      </c>
      <c r="BG78" t="s">
        <v>74</v>
      </c>
      <c r="BH78" t="s">
        <v>74</v>
      </c>
      <c r="BI78">
        <v>9</v>
      </c>
      <c r="BJ78" t="s">
        <v>1669</v>
      </c>
      <c r="BK78" t="s">
        <v>100</v>
      </c>
      <c r="BL78" t="s">
        <v>1670</v>
      </c>
      <c r="BM78" t="s">
        <v>1671</v>
      </c>
      <c r="BN78">
        <v>21297976</v>
      </c>
      <c r="BO78" t="s">
        <v>1672</v>
      </c>
      <c r="BP78" t="s">
        <v>74</v>
      </c>
      <c r="BQ78" t="s">
        <v>74</v>
      </c>
      <c r="BR78" t="s">
        <v>103</v>
      </c>
      <c r="BS78" t="s">
        <v>1673</v>
      </c>
      <c r="BT78" t="str">
        <f>HYPERLINK("https%3A%2F%2Fwww.webofscience.com%2Fwos%2Fwoscc%2Ffull-record%2FWOS:000286664100011","View Full Record in Web of Science")</f>
        <v>View Full Record in Web of Science</v>
      </c>
    </row>
    <row r="79" spans="1:72" x14ac:dyDescent="0.15">
      <c r="A79" t="s">
        <v>72</v>
      </c>
      <c r="B79" t="s">
        <v>1674</v>
      </c>
      <c r="C79" t="s">
        <v>74</v>
      </c>
      <c r="D79" t="s">
        <v>74</v>
      </c>
      <c r="E79" t="s">
        <v>74</v>
      </c>
      <c r="F79" t="s">
        <v>1675</v>
      </c>
      <c r="G79" t="s">
        <v>74</v>
      </c>
      <c r="H79" t="s">
        <v>74</v>
      </c>
      <c r="I79" t="s">
        <v>1676</v>
      </c>
      <c r="J79" t="s">
        <v>1677</v>
      </c>
      <c r="K79" t="s">
        <v>74</v>
      </c>
      <c r="L79" t="s">
        <v>74</v>
      </c>
      <c r="M79" t="s">
        <v>78</v>
      </c>
      <c r="N79" t="s">
        <v>79</v>
      </c>
      <c r="O79" t="s">
        <v>74</v>
      </c>
      <c r="P79" t="s">
        <v>74</v>
      </c>
      <c r="Q79" t="s">
        <v>74</v>
      </c>
      <c r="R79" t="s">
        <v>74</v>
      </c>
      <c r="S79" t="s">
        <v>74</v>
      </c>
      <c r="T79" t="s">
        <v>74</v>
      </c>
      <c r="U79" t="s">
        <v>1678</v>
      </c>
      <c r="V79" t="s">
        <v>1679</v>
      </c>
      <c r="W79" t="s">
        <v>1680</v>
      </c>
      <c r="X79" t="s">
        <v>1681</v>
      </c>
      <c r="Y79" t="s">
        <v>1682</v>
      </c>
      <c r="Z79" t="s">
        <v>1683</v>
      </c>
      <c r="AA79" t="s">
        <v>1684</v>
      </c>
      <c r="AB79" t="s">
        <v>1685</v>
      </c>
      <c r="AC79" t="s">
        <v>1686</v>
      </c>
      <c r="AD79" t="s">
        <v>1687</v>
      </c>
      <c r="AE79" t="s">
        <v>74</v>
      </c>
      <c r="AF79" t="s">
        <v>74</v>
      </c>
      <c r="AG79">
        <v>60</v>
      </c>
      <c r="AH79">
        <v>12</v>
      </c>
      <c r="AI79">
        <v>14</v>
      </c>
      <c r="AJ79">
        <v>0</v>
      </c>
      <c r="AK79">
        <v>3</v>
      </c>
      <c r="AL79" t="s">
        <v>240</v>
      </c>
      <c r="AM79" t="s">
        <v>241</v>
      </c>
      <c r="AN79" t="s">
        <v>242</v>
      </c>
      <c r="AO79" t="s">
        <v>1688</v>
      </c>
      <c r="AP79" t="s">
        <v>1689</v>
      </c>
      <c r="AQ79" t="s">
        <v>74</v>
      </c>
      <c r="AR79" t="s">
        <v>1690</v>
      </c>
      <c r="AS79" t="s">
        <v>1691</v>
      </c>
      <c r="AT79" t="s">
        <v>1692</v>
      </c>
      <c r="AU79">
        <v>2011</v>
      </c>
      <c r="AV79">
        <v>116</v>
      </c>
      <c r="AW79" t="s">
        <v>74</v>
      </c>
      <c r="AX79" t="s">
        <v>74</v>
      </c>
      <c r="AY79" t="s">
        <v>74</v>
      </c>
      <c r="AZ79" t="s">
        <v>74</v>
      </c>
      <c r="BA79" t="s">
        <v>74</v>
      </c>
      <c r="BB79" t="s">
        <v>74</v>
      </c>
      <c r="BC79" t="s">
        <v>74</v>
      </c>
      <c r="BD79" t="s">
        <v>1693</v>
      </c>
      <c r="BE79" t="s">
        <v>1694</v>
      </c>
      <c r="BF79" t="str">
        <f>HYPERLINK("http://dx.doi.org/10.1029/2010JD014535","http://dx.doi.org/10.1029/2010JD014535")</f>
        <v>http://dx.doi.org/10.1029/2010JD014535</v>
      </c>
      <c r="BG79" t="s">
        <v>74</v>
      </c>
      <c r="BH79" t="s">
        <v>74</v>
      </c>
      <c r="BI79">
        <v>14</v>
      </c>
      <c r="BJ79" t="s">
        <v>603</v>
      </c>
      <c r="BK79" t="s">
        <v>100</v>
      </c>
      <c r="BL79" t="s">
        <v>603</v>
      </c>
      <c r="BM79" t="s">
        <v>1695</v>
      </c>
      <c r="BN79" t="s">
        <v>74</v>
      </c>
      <c r="BO79" t="s">
        <v>1696</v>
      </c>
      <c r="BP79" t="s">
        <v>74</v>
      </c>
      <c r="BQ79" t="s">
        <v>74</v>
      </c>
      <c r="BR79" t="s">
        <v>103</v>
      </c>
      <c r="BS79" t="s">
        <v>1697</v>
      </c>
      <c r="BT79" t="str">
        <f>HYPERLINK("https%3A%2F%2Fwww.webofscience.com%2Fwos%2Fwoscc%2Ffull-record%2FWOS:000286757300005","View Full Record in Web of Science")</f>
        <v>View Full Record in Web of Science</v>
      </c>
    </row>
    <row r="80" spans="1:72" x14ac:dyDescent="0.15">
      <c r="A80" t="s">
        <v>72</v>
      </c>
      <c r="B80" t="s">
        <v>1698</v>
      </c>
      <c r="C80" t="s">
        <v>74</v>
      </c>
      <c r="D80" t="s">
        <v>74</v>
      </c>
      <c r="E80" t="s">
        <v>74</v>
      </c>
      <c r="F80" t="s">
        <v>1699</v>
      </c>
      <c r="G80" t="s">
        <v>74</v>
      </c>
      <c r="H80" t="s">
        <v>74</v>
      </c>
      <c r="I80" t="s">
        <v>1700</v>
      </c>
      <c r="J80" t="s">
        <v>1701</v>
      </c>
      <c r="K80" t="s">
        <v>74</v>
      </c>
      <c r="L80" t="s">
        <v>74</v>
      </c>
      <c r="M80" t="s">
        <v>78</v>
      </c>
      <c r="N80" t="s">
        <v>79</v>
      </c>
      <c r="O80" t="s">
        <v>74</v>
      </c>
      <c r="P80" t="s">
        <v>74</v>
      </c>
      <c r="Q80" t="s">
        <v>74</v>
      </c>
      <c r="R80" t="s">
        <v>74</v>
      </c>
      <c r="S80" t="s">
        <v>74</v>
      </c>
      <c r="T80" t="s">
        <v>74</v>
      </c>
      <c r="U80" t="s">
        <v>1702</v>
      </c>
      <c r="V80" t="s">
        <v>1703</v>
      </c>
      <c r="W80" t="s">
        <v>1704</v>
      </c>
      <c r="X80" t="s">
        <v>1705</v>
      </c>
      <c r="Y80" t="s">
        <v>1706</v>
      </c>
      <c r="Z80" t="s">
        <v>1707</v>
      </c>
      <c r="AA80" t="s">
        <v>1708</v>
      </c>
      <c r="AB80" t="s">
        <v>1709</v>
      </c>
      <c r="AC80" t="s">
        <v>1710</v>
      </c>
      <c r="AD80" t="s">
        <v>1711</v>
      </c>
      <c r="AE80" t="s">
        <v>1712</v>
      </c>
      <c r="AF80" t="s">
        <v>74</v>
      </c>
      <c r="AG80">
        <v>65</v>
      </c>
      <c r="AH80">
        <v>18</v>
      </c>
      <c r="AI80">
        <v>18</v>
      </c>
      <c r="AJ80">
        <v>0</v>
      </c>
      <c r="AK80">
        <v>5</v>
      </c>
      <c r="AL80" t="s">
        <v>240</v>
      </c>
      <c r="AM80" t="s">
        <v>241</v>
      </c>
      <c r="AN80" t="s">
        <v>242</v>
      </c>
      <c r="AO80" t="s">
        <v>1713</v>
      </c>
      <c r="AP80" t="s">
        <v>1714</v>
      </c>
      <c r="AQ80" t="s">
        <v>74</v>
      </c>
      <c r="AR80" t="s">
        <v>1715</v>
      </c>
      <c r="AS80" t="s">
        <v>1716</v>
      </c>
      <c r="AT80" t="s">
        <v>1692</v>
      </c>
      <c r="AU80">
        <v>2011</v>
      </c>
      <c r="AV80">
        <v>116</v>
      </c>
      <c r="AW80" t="s">
        <v>74</v>
      </c>
      <c r="AX80" t="s">
        <v>74</v>
      </c>
      <c r="AY80" t="s">
        <v>74</v>
      </c>
      <c r="AZ80" t="s">
        <v>74</v>
      </c>
      <c r="BA80" t="s">
        <v>74</v>
      </c>
      <c r="BB80" t="s">
        <v>74</v>
      </c>
      <c r="BC80" t="s">
        <v>74</v>
      </c>
      <c r="BD80" t="s">
        <v>1717</v>
      </c>
      <c r="BE80" t="s">
        <v>1718</v>
      </c>
      <c r="BF80" t="str">
        <f>HYPERLINK("http://dx.doi.org/10.1029/2010JA016007","http://dx.doi.org/10.1029/2010JA016007")</f>
        <v>http://dx.doi.org/10.1029/2010JA016007</v>
      </c>
      <c r="BG80" t="s">
        <v>74</v>
      </c>
      <c r="BH80" t="s">
        <v>74</v>
      </c>
      <c r="BI80">
        <v>12</v>
      </c>
      <c r="BJ80" t="s">
        <v>373</v>
      </c>
      <c r="BK80" t="s">
        <v>100</v>
      </c>
      <c r="BL80" t="s">
        <v>373</v>
      </c>
      <c r="BM80" t="s">
        <v>1719</v>
      </c>
      <c r="BN80" t="s">
        <v>74</v>
      </c>
      <c r="BO80" t="s">
        <v>1720</v>
      </c>
      <c r="BP80" t="s">
        <v>74</v>
      </c>
      <c r="BQ80" t="s">
        <v>74</v>
      </c>
      <c r="BR80" t="s">
        <v>103</v>
      </c>
      <c r="BS80" t="s">
        <v>1721</v>
      </c>
      <c r="BT80" t="str">
        <f>HYPERLINK("https%3A%2F%2Fwww.webofscience.com%2Fwos%2Fwoscc%2Ffull-record%2FWOS:000286764400007","View Full Record in Web of Science")</f>
        <v>View Full Record in Web of Science</v>
      </c>
    </row>
    <row r="81" spans="1:72" x14ac:dyDescent="0.15">
      <c r="A81" t="s">
        <v>72</v>
      </c>
      <c r="B81" t="s">
        <v>1722</v>
      </c>
      <c r="C81" t="s">
        <v>74</v>
      </c>
      <c r="D81" t="s">
        <v>74</v>
      </c>
      <c r="E81" t="s">
        <v>74</v>
      </c>
      <c r="F81" t="s">
        <v>1723</v>
      </c>
      <c r="G81" t="s">
        <v>74</v>
      </c>
      <c r="H81" t="s">
        <v>74</v>
      </c>
      <c r="I81" t="s">
        <v>1724</v>
      </c>
      <c r="J81" t="s">
        <v>1725</v>
      </c>
      <c r="K81" t="s">
        <v>74</v>
      </c>
      <c r="L81" t="s">
        <v>74</v>
      </c>
      <c r="M81" t="s">
        <v>78</v>
      </c>
      <c r="N81" t="s">
        <v>79</v>
      </c>
      <c r="O81" t="s">
        <v>74</v>
      </c>
      <c r="P81" t="s">
        <v>74</v>
      </c>
      <c r="Q81" t="s">
        <v>74</v>
      </c>
      <c r="R81" t="s">
        <v>74</v>
      </c>
      <c r="S81" t="s">
        <v>74</v>
      </c>
      <c r="T81" t="s">
        <v>74</v>
      </c>
      <c r="U81" t="s">
        <v>1726</v>
      </c>
      <c r="V81" t="s">
        <v>1727</v>
      </c>
      <c r="W81" t="s">
        <v>1728</v>
      </c>
      <c r="X81" t="s">
        <v>1729</v>
      </c>
      <c r="Y81" t="s">
        <v>1730</v>
      </c>
      <c r="Z81" t="s">
        <v>74</v>
      </c>
      <c r="AA81" t="s">
        <v>1731</v>
      </c>
      <c r="AB81" t="s">
        <v>1732</v>
      </c>
      <c r="AC81" t="s">
        <v>1733</v>
      </c>
      <c r="AD81" t="s">
        <v>1734</v>
      </c>
      <c r="AE81" t="s">
        <v>1735</v>
      </c>
      <c r="AF81" t="s">
        <v>74</v>
      </c>
      <c r="AG81">
        <v>93</v>
      </c>
      <c r="AH81">
        <v>34</v>
      </c>
      <c r="AI81">
        <v>36</v>
      </c>
      <c r="AJ81">
        <v>3</v>
      </c>
      <c r="AK81">
        <v>15</v>
      </c>
      <c r="AL81" t="s">
        <v>240</v>
      </c>
      <c r="AM81" t="s">
        <v>241</v>
      </c>
      <c r="AN81" t="s">
        <v>242</v>
      </c>
      <c r="AO81" t="s">
        <v>1736</v>
      </c>
      <c r="AP81" t="s">
        <v>1737</v>
      </c>
      <c r="AQ81" t="s">
        <v>74</v>
      </c>
      <c r="AR81" t="s">
        <v>1725</v>
      </c>
      <c r="AS81" t="s">
        <v>1738</v>
      </c>
      <c r="AT81" t="s">
        <v>1692</v>
      </c>
      <c r="AU81">
        <v>2011</v>
      </c>
      <c r="AV81">
        <v>26</v>
      </c>
      <c r="AW81" t="s">
        <v>74</v>
      </c>
      <c r="AX81" t="s">
        <v>74</v>
      </c>
      <c r="AY81" t="s">
        <v>74</v>
      </c>
      <c r="AZ81" t="s">
        <v>74</v>
      </c>
      <c r="BA81" t="s">
        <v>74</v>
      </c>
      <c r="BB81" t="s">
        <v>74</v>
      </c>
      <c r="BC81" t="s">
        <v>74</v>
      </c>
      <c r="BD81" t="s">
        <v>1739</v>
      </c>
      <c r="BE81" t="s">
        <v>1740</v>
      </c>
      <c r="BF81" t="str">
        <f>HYPERLINK("http://dx.doi.org/10.1029/2009PA001824","http://dx.doi.org/10.1029/2009PA001824")</f>
        <v>http://dx.doi.org/10.1029/2009PA001824</v>
      </c>
      <c r="BG81" t="s">
        <v>74</v>
      </c>
      <c r="BH81" t="s">
        <v>74</v>
      </c>
      <c r="BI81">
        <v>16</v>
      </c>
      <c r="BJ81" t="s">
        <v>1741</v>
      </c>
      <c r="BK81" t="s">
        <v>100</v>
      </c>
      <c r="BL81" t="s">
        <v>1742</v>
      </c>
      <c r="BM81" t="s">
        <v>1743</v>
      </c>
      <c r="BN81" t="s">
        <v>74</v>
      </c>
      <c r="BO81" t="s">
        <v>1744</v>
      </c>
      <c r="BP81" t="s">
        <v>74</v>
      </c>
      <c r="BQ81" t="s">
        <v>74</v>
      </c>
      <c r="BR81" t="s">
        <v>103</v>
      </c>
      <c r="BS81" t="s">
        <v>1745</v>
      </c>
      <c r="BT81" t="str">
        <f>HYPERLINK("https%3A%2F%2Fwww.webofscience.com%2Fwos%2Fwoscc%2Ffull-record%2FWOS:000286767900001","View Full Record in Web of Science")</f>
        <v>View Full Record in Web of Science</v>
      </c>
    </row>
    <row r="82" spans="1:72" x14ac:dyDescent="0.15">
      <c r="A82" t="s">
        <v>72</v>
      </c>
      <c r="B82" t="s">
        <v>1746</v>
      </c>
      <c r="C82" t="s">
        <v>74</v>
      </c>
      <c r="D82" t="s">
        <v>74</v>
      </c>
      <c r="E82" t="s">
        <v>74</v>
      </c>
      <c r="F82" t="s">
        <v>1747</v>
      </c>
      <c r="G82" t="s">
        <v>74</v>
      </c>
      <c r="H82" t="s">
        <v>74</v>
      </c>
      <c r="I82" t="s">
        <v>1748</v>
      </c>
      <c r="J82" t="s">
        <v>1649</v>
      </c>
      <c r="K82" t="s">
        <v>74</v>
      </c>
      <c r="L82" t="s">
        <v>74</v>
      </c>
      <c r="M82" t="s">
        <v>78</v>
      </c>
      <c r="N82" t="s">
        <v>79</v>
      </c>
      <c r="O82" t="s">
        <v>74</v>
      </c>
      <c r="P82" t="s">
        <v>74</v>
      </c>
      <c r="Q82" t="s">
        <v>74</v>
      </c>
      <c r="R82" t="s">
        <v>74</v>
      </c>
      <c r="S82" t="s">
        <v>74</v>
      </c>
      <c r="T82" t="s">
        <v>74</v>
      </c>
      <c r="U82" t="s">
        <v>1749</v>
      </c>
      <c r="V82" t="s">
        <v>1750</v>
      </c>
      <c r="W82" t="s">
        <v>1751</v>
      </c>
      <c r="X82" t="s">
        <v>1752</v>
      </c>
      <c r="Y82" t="s">
        <v>1753</v>
      </c>
      <c r="Z82" t="s">
        <v>1754</v>
      </c>
      <c r="AA82" t="s">
        <v>1755</v>
      </c>
      <c r="AB82" t="s">
        <v>1756</v>
      </c>
      <c r="AC82" t="s">
        <v>1757</v>
      </c>
      <c r="AD82" t="s">
        <v>1758</v>
      </c>
      <c r="AE82" t="s">
        <v>1759</v>
      </c>
      <c r="AF82" t="s">
        <v>74</v>
      </c>
      <c r="AG82">
        <v>26</v>
      </c>
      <c r="AH82">
        <v>21</v>
      </c>
      <c r="AI82">
        <v>22</v>
      </c>
      <c r="AJ82">
        <v>1</v>
      </c>
      <c r="AK82">
        <v>25</v>
      </c>
      <c r="AL82" t="s">
        <v>1661</v>
      </c>
      <c r="AM82" t="s">
        <v>1662</v>
      </c>
      <c r="AN82" t="s">
        <v>1760</v>
      </c>
      <c r="AO82" t="s">
        <v>1664</v>
      </c>
      <c r="AP82" t="s">
        <v>74</v>
      </c>
      <c r="AQ82" t="s">
        <v>74</v>
      </c>
      <c r="AR82" t="s">
        <v>1649</v>
      </c>
      <c r="AS82" t="s">
        <v>1665</v>
      </c>
      <c r="AT82" t="s">
        <v>1761</v>
      </c>
      <c r="AU82">
        <v>2011</v>
      </c>
      <c r="AV82">
        <v>6</v>
      </c>
      <c r="AW82">
        <v>1</v>
      </c>
      <c r="AX82" t="s">
        <v>74</v>
      </c>
      <c r="AY82" t="s">
        <v>74</v>
      </c>
      <c r="AZ82" t="s">
        <v>74</v>
      </c>
      <c r="BA82" t="s">
        <v>74</v>
      </c>
      <c r="BB82" t="s">
        <v>74</v>
      </c>
      <c r="BC82" t="s">
        <v>74</v>
      </c>
      <c r="BD82" t="s">
        <v>1762</v>
      </c>
      <c r="BE82" t="s">
        <v>1763</v>
      </c>
      <c r="BF82" t="str">
        <f>HYPERLINK("http://dx.doi.org/10.1371/journal.pone.0016153","http://dx.doi.org/10.1371/journal.pone.0016153")</f>
        <v>http://dx.doi.org/10.1371/journal.pone.0016153</v>
      </c>
      <c r="BG82" t="s">
        <v>74</v>
      </c>
      <c r="BH82" t="s">
        <v>74</v>
      </c>
      <c r="BI82">
        <v>9</v>
      </c>
      <c r="BJ82" t="s">
        <v>1669</v>
      </c>
      <c r="BK82" t="s">
        <v>100</v>
      </c>
      <c r="BL82" t="s">
        <v>1670</v>
      </c>
      <c r="BM82" t="s">
        <v>1764</v>
      </c>
      <c r="BN82">
        <v>21283585</v>
      </c>
      <c r="BO82" t="s">
        <v>1765</v>
      </c>
      <c r="BP82" t="s">
        <v>74</v>
      </c>
      <c r="BQ82" t="s">
        <v>74</v>
      </c>
      <c r="BR82" t="s">
        <v>103</v>
      </c>
      <c r="BS82" t="s">
        <v>1766</v>
      </c>
      <c r="BT82" t="str">
        <f>HYPERLINK("https%3A%2F%2Fwww.webofscience.com%2Fwos%2Fwoscc%2Ffull-record%2FWOS:000286661400030","View Full Record in Web of Science")</f>
        <v>View Full Record in Web of Science</v>
      </c>
    </row>
    <row r="83" spans="1:72" x14ac:dyDescent="0.15">
      <c r="A83" t="s">
        <v>72</v>
      </c>
      <c r="B83" t="s">
        <v>1767</v>
      </c>
      <c r="C83" t="s">
        <v>74</v>
      </c>
      <c r="D83" t="s">
        <v>74</v>
      </c>
      <c r="E83" t="s">
        <v>74</v>
      </c>
      <c r="F83" t="s">
        <v>1768</v>
      </c>
      <c r="G83" t="s">
        <v>74</v>
      </c>
      <c r="H83" t="s">
        <v>74</v>
      </c>
      <c r="I83" t="s">
        <v>1769</v>
      </c>
      <c r="J83" t="s">
        <v>1677</v>
      </c>
      <c r="K83" t="s">
        <v>74</v>
      </c>
      <c r="L83" t="s">
        <v>74</v>
      </c>
      <c r="M83" t="s">
        <v>78</v>
      </c>
      <c r="N83" t="s">
        <v>79</v>
      </c>
      <c r="O83" t="s">
        <v>74</v>
      </c>
      <c r="P83" t="s">
        <v>74</v>
      </c>
      <c r="Q83" t="s">
        <v>74</v>
      </c>
      <c r="R83" t="s">
        <v>74</v>
      </c>
      <c r="S83" t="s">
        <v>74</v>
      </c>
      <c r="T83" t="s">
        <v>74</v>
      </c>
      <c r="U83" t="s">
        <v>1770</v>
      </c>
      <c r="V83" t="s">
        <v>1771</v>
      </c>
      <c r="W83" t="s">
        <v>1772</v>
      </c>
      <c r="X83" t="s">
        <v>1773</v>
      </c>
      <c r="Y83" t="s">
        <v>1774</v>
      </c>
      <c r="Z83" t="s">
        <v>1775</v>
      </c>
      <c r="AA83" t="s">
        <v>1776</v>
      </c>
      <c r="AB83" t="s">
        <v>1777</v>
      </c>
      <c r="AC83" t="s">
        <v>1778</v>
      </c>
      <c r="AD83" t="s">
        <v>1779</v>
      </c>
      <c r="AE83" t="s">
        <v>1780</v>
      </c>
      <c r="AF83" t="s">
        <v>74</v>
      </c>
      <c r="AG83">
        <v>64</v>
      </c>
      <c r="AH83">
        <v>28</v>
      </c>
      <c r="AI83">
        <v>34</v>
      </c>
      <c r="AJ83">
        <v>0</v>
      </c>
      <c r="AK83">
        <v>16</v>
      </c>
      <c r="AL83" t="s">
        <v>240</v>
      </c>
      <c r="AM83" t="s">
        <v>241</v>
      </c>
      <c r="AN83" t="s">
        <v>242</v>
      </c>
      <c r="AO83" t="s">
        <v>1688</v>
      </c>
      <c r="AP83" t="s">
        <v>1689</v>
      </c>
      <c r="AQ83" t="s">
        <v>74</v>
      </c>
      <c r="AR83" t="s">
        <v>1690</v>
      </c>
      <c r="AS83" t="s">
        <v>1691</v>
      </c>
      <c r="AT83" t="s">
        <v>1781</v>
      </c>
      <c r="AU83">
        <v>2011</v>
      </c>
      <c r="AV83">
        <v>116</v>
      </c>
      <c r="AW83" t="s">
        <v>74</v>
      </c>
      <c r="AX83" t="s">
        <v>74</v>
      </c>
      <c r="AY83" t="s">
        <v>74</v>
      </c>
      <c r="AZ83" t="s">
        <v>74</v>
      </c>
      <c r="BA83" t="s">
        <v>74</v>
      </c>
      <c r="BB83" t="s">
        <v>74</v>
      </c>
      <c r="BC83" t="s">
        <v>74</v>
      </c>
      <c r="BD83" t="s">
        <v>1782</v>
      </c>
      <c r="BE83" t="s">
        <v>1783</v>
      </c>
      <c r="BF83" t="str">
        <f>HYPERLINK("http://dx.doi.org/10.1029/2010JD014655","http://dx.doi.org/10.1029/2010JD014655")</f>
        <v>http://dx.doi.org/10.1029/2010JD014655</v>
      </c>
      <c r="BG83" t="s">
        <v>74</v>
      </c>
      <c r="BH83" t="s">
        <v>74</v>
      </c>
      <c r="BI83">
        <v>12</v>
      </c>
      <c r="BJ83" t="s">
        <v>603</v>
      </c>
      <c r="BK83" t="s">
        <v>100</v>
      </c>
      <c r="BL83" t="s">
        <v>603</v>
      </c>
      <c r="BM83" t="s">
        <v>1784</v>
      </c>
      <c r="BN83" t="s">
        <v>74</v>
      </c>
      <c r="BO83" t="s">
        <v>74</v>
      </c>
      <c r="BP83" t="s">
        <v>74</v>
      </c>
      <c r="BQ83" t="s">
        <v>74</v>
      </c>
      <c r="BR83" t="s">
        <v>103</v>
      </c>
      <c r="BS83" t="s">
        <v>1785</v>
      </c>
      <c r="BT83" t="str">
        <f>HYPERLINK("https%3A%2F%2Fwww.webofscience.com%2Fwos%2Fwoscc%2Ffull-record%2FWOS:000286520100007","View Full Record in Web of Science")</f>
        <v>View Full Record in Web of Science</v>
      </c>
    </row>
    <row r="84" spans="1:72" x14ac:dyDescent="0.15">
      <c r="A84" t="s">
        <v>72</v>
      </c>
      <c r="B84" t="s">
        <v>1786</v>
      </c>
      <c r="C84" t="s">
        <v>74</v>
      </c>
      <c r="D84" t="s">
        <v>74</v>
      </c>
      <c r="E84" t="s">
        <v>74</v>
      </c>
      <c r="F84" t="s">
        <v>1787</v>
      </c>
      <c r="G84" t="s">
        <v>74</v>
      </c>
      <c r="H84" t="s">
        <v>74</v>
      </c>
      <c r="I84" t="s">
        <v>1788</v>
      </c>
      <c r="J84" t="s">
        <v>229</v>
      </c>
      <c r="K84" t="s">
        <v>74</v>
      </c>
      <c r="L84" t="s">
        <v>74</v>
      </c>
      <c r="M84" t="s">
        <v>78</v>
      </c>
      <c r="N84" t="s">
        <v>79</v>
      </c>
      <c r="O84" t="s">
        <v>74</v>
      </c>
      <c r="P84" t="s">
        <v>74</v>
      </c>
      <c r="Q84" t="s">
        <v>74</v>
      </c>
      <c r="R84" t="s">
        <v>74</v>
      </c>
      <c r="S84" t="s">
        <v>74</v>
      </c>
      <c r="T84" t="s">
        <v>74</v>
      </c>
      <c r="U84" t="s">
        <v>1789</v>
      </c>
      <c r="V84" t="s">
        <v>1790</v>
      </c>
      <c r="W84" t="s">
        <v>1791</v>
      </c>
      <c r="X84" t="s">
        <v>1792</v>
      </c>
      <c r="Y84" t="s">
        <v>1793</v>
      </c>
      <c r="Z84" t="s">
        <v>1794</v>
      </c>
      <c r="AA84" t="s">
        <v>1795</v>
      </c>
      <c r="AB84" t="s">
        <v>1796</v>
      </c>
      <c r="AC84" t="s">
        <v>1797</v>
      </c>
      <c r="AD84" t="s">
        <v>1798</v>
      </c>
      <c r="AE84" t="s">
        <v>1799</v>
      </c>
      <c r="AF84" t="s">
        <v>74</v>
      </c>
      <c r="AG84">
        <v>30</v>
      </c>
      <c r="AH84">
        <v>79</v>
      </c>
      <c r="AI84">
        <v>80</v>
      </c>
      <c r="AJ84">
        <v>1</v>
      </c>
      <c r="AK84">
        <v>18</v>
      </c>
      <c r="AL84" t="s">
        <v>240</v>
      </c>
      <c r="AM84" t="s">
        <v>241</v>
      </c>
      <c r="AN84" t="s">
        <v>242</v>
      </c>
      <c r="AO84" t="s">
        <v>243</v>
      </c>
      <c r="AP84" t="s">
        <v>244</v>
      </c>
      <c r="AQ84" t="s">
        <v>74</v>
      </c>
      <c r="AR84" t="s">
        <v>245</v>
      </c>
      <c r="AS84" t="s">
        <v>246</v>
      </c>
      <c r="AT84" t="s">
        <v>1800</v>
      </c>
      <c r="AU84">
        <v>2011</v>
      </c>
      <c r="AV84">
        <v>116</v>
      </c>
      <c r="AW84" t="s">
        <v>74</v>
      </c>
      <c r="AX84" t="s">
        <v>74</v>
      </c>
      <c r="AY84" t="s">
        <v>74</v>
      </c>
      <c r="AZ84" t="s">
        <v>74</v>
      </c>
      <c r="BA84" t="s">
        <v>74</v>
      </c>
      <c r="BB84" t="s">
        <v>74</v>
      </c>
      <c r="BC84" t="s">
        <v>74</v>
      </c>
      <c r="BD84" t="s">
        <v>1801</v>
      </c>
      <c r="BE84" t="s">
        <v>1802</v>
      </c>
      <c r="BF84" t="str">
        <f>HYPERLINK("http://dx.doi.org/10.1029/2009JC005926","http://dx.doi.org/10.1029/2009JC005926")</f>
        <v>http://dx.doi.org/10.1029/2009JC005926</v>
      </c>
      <c r="BG84" t="s">
        <v>74</v>
      </c>
      <c r="BH84" t="s">
        <v>74</v>
      </c>
      <c r="BI84">
        <v>12</v>
      </c>
      <c r="BJ84" t="s">
        <v>250</v>
      </c>
      <c r="BK84" t="s">
        <v>100</v>
      </c>
      <c r="BL84" t="s">
        <v>250</v>
      </c>
      <c r="BM84" t="s">
        <v>1803</v>
      </c>
      <c r="BN84" t="s">
        <v>74</v>
      </c>
      <c r="BO84" t="s">
        <v>172</v>
      </c>
      <c r="BP84" t="s">
        <v>74</v>
      </c>
      <c r="BQ84" t="s">
        <v>74</v>
      </c>
      <c r="BR84" t="s">
        <v>103</v>
      </c>
      <c r="BS84" t="s">
        <v>1804</v>
      </c>
      <c r="BT84" t="str">
        <f>HYPERLINK("https%3A%2F%2Fwww.webofscience.com%2Fwos%2Fwoscc%2Ffull-record%2FWOS:000286519100001","View Full Record in Web of Science")</f>
        <v>View Full Record in Web of Science</v>
      </c>
    </row>
    <row r="85" spans="1:72" x14ac:dyDescent="0.15">
      <c r="A85" t="s">
        <v>72</v>
      </c>
      <c r="B85" t="s">
        <v>1805</v>
      </c>
      <c r="C85" t="s">
        <v>74</v>
      </c>
      <c r="D85" t="s">
        <v>74</v>
      </c>
      <c r="E85" t="s">
        <v>74</v>
      </c>
      <c r="F85" t="s">
        <v>1806</v>
      </c>
      <c r="G85" t="s">
        <v>74</v>
      </c>
      <c r="H85" t="s">
        <v>74</v>
      </c>
      <c r="I85" t="s">
        <v>1807</v>
      </c>
      <c r="J85" t="s">
        <v>1808</v>
      </c>
      <c r="K85" t="s">
        <v>74</v>
      </c>
      <c r="L85" t="s">
        <v>74</v>
      </c>
      <c r="M85" t="s">
        <v>78</v>
      </c>
      <c r="N85" t="s">
        <v>79</v>
      </c>
      <c r="O85" t="s">
        <v>74</v>
      </c>
      <c r="P85" t="s">
        <v>74</v>
      </c>
      <c r="Q85" t="s">
        <v>74</v>
      </c>
      <c r="R85" t="s">
        <v>74</v>
      </c>
      <c r="S85" t="s">
        <v>74</v>
      </c>
      <c r="T85" t="s">
        <v>1809</v>
      </c>
      <c r="U85" t="s">
        <v>1810</v>
      </c>
      <c r="V85" t="s">
        <v>1811</v>
      </c>
      <c r="W85" t="s">
        <v>1812</v>
      </c>
      <c r="X85" t="s">
        <v>1813</v>
      </c>
      <c r="Y85" t="s">
        <v>1814</v>
      </c>
      <c r="Z85" t="s">
        <v>1815</v>
      </c>
      <c r="AA85" t="s">
        <v>1816</v>
      </c>
      <c r="AB85" t="s">
        <v>1817</v>
      </c>
      <c r="AC85" t="s">
        <v>1818</v>
      </c>
      <c r="AD85" t="s">
        <v>1819</v>
      </c>
      <c r="AE85" t="s">
        <v>1820</v>
      </c>
      <c r="AF85" t="s">
        <v>74</v>
      </c>
      <c r="AG85">
        <v>69</v>
      </c>
      <c r="AH85">
        <v>73</v>
      </c>
      <c r="AI85">
        <v>73</v>
      </c>
      <c r="AJ85">
        <v>1</v>
      </c>
      <c r="AK85">
        <v>37</v>
      </c>
      <c r="AL85" t="s">
        <v>767</v>
      </c>
      <c r="AM85" t="s">
        <v>640</v>
      </c>
      <c r="AN85" t="s">
        <v>768</v>
      </c>
      <c r="AO85" t="s">
        <v>1821</v>
      </c>
      <c r="AP85" t="s">
        <v>1822</v>
      </c>
      <c r="AQ85" t="s">
        <v>74</v>
      </c>
      <c r="AR85" t="s">
        <v>1823</v>
      </c>
      <c r="AS85" t="s">
        <v>1824</v>
      </c>
      <c r="AT85" t="s">
        <v>1800</v>
      </c>
      <c r="AU85">
        <v>2011</v>
      </c>
      <c r="AV85">
        <v>123</v>
      </c>
      <c r="AW85" t="s">
        <v>1350</v>
      </c>
      <c r="AX85" t="s">
        <v>74</v>
      </c>
      <c r="AY85" t="s">
        <v>74</v>
      </c>
      <c r="AZ85" t="s">
        <v>74</v>
      </c>
      <c r="BA85" t="s">
        <v>74</v>
      </c>
      <c r="BB85">
        <v>11</v>
      </c>
      <c r="BC85">
        <v>22</v>
      </c>
      <c r="BD85" t="s">
        <v>74</v>
      </c>
      <c r="BE85" t="s">
        <v>1825</v>
      </c>
      <c r="BF85" t="str">
        <f>HYPERLINK("http://dx.doi.org/10.1016/j.marchem.2010.08.005","http://dx.doi.org/10.1016/j.marchem.2010.08.005")</f>
        <v>http://dx.doi.org/10.1016/j.marchem.2010.08.005</v>
      </c>
      <c r="BG85" t="s">
        <v>74</v>
      </c>
      <c r="BH85" t="s">
        <v>74</v>
      </c>
      <c r="BI85">
        <v>12</v>
      </c>
      <c r="BJ85" t="s">
        <v>1826</v>
      </c>
      <c r="BK85" t="s">
        <v>100</v>
      </c>
      <c r="BL85" t="s">
        <v>1827</v>
      </c>
      <c r="BM85" t="s">
        <v>1828</v>
      </c>
      <c r="BN85" t="s">
        <v>74</v>
      </c>
      <c r="BO85" t="s">
        <v>74</v>
      </c>
      <c r="BP85" t="s">
        <v>74</v>
      </c>
      <c r="BQ85" t="s">
        <v>74</v>
      </c>
      <c r="BR85" t="s">
        <v>103</v>
      </c>
      <c r="BS85" t="s">
        <v>1829</v>
      </c>
      <c r="BT85" t="str">
        <f>HYPERLINK("https%3A%2F%2Fwww.webofscience.com%2Fwos%2Fwoscc%2Ffull-record%2FWOS:000286859800002","View Full Record in Web of Science")</f>
        <v>View Full Record in Web of Science</v>
      </c>
    </row>
    <row r="86" spans="1:72" x14ac:dyDescent="0.15">
      <c r="A86" t="s">
        <v>72</v>
      </c>
      <c r="B86" t="s">
        <v>1830</v>
      </c>
      <c r="C86" t="s">
        <v>74</v>
      </c>
      <c r="D86" t="s">
        <v>74</v>
      </c>
      <c r="E86" t="s">
        <v>74</v>
      </c>
      <c r="F86" t="s">
        <v>1831</v>
      </c>
      <c r="G86" t="s">
        <v>74</v>
      </c>
      <c r="H86" t="s">
        <v>1832</v>
      </c>
      <c r="I86" t="s">
        <v>1833</v>
      </c>
      <c r="J86" t="s">
        <v>1834</v>
      </c>
      <c r="K86" t="s">
        <v>74</v>
      </c>
      <c r="L86" t="s">
        <v>74</v>
      </c>
      <c r="M86" t="s">
        <v>78</v>
      </c>
      <c r="N86" t="s">
        <v>79</v>
      </c>
      <c r="O86" t="s">
        <v>74</v>
      </c>
      <c r="P86" t="s">
        <v>74</v>
      </c>
      <c r="Q86" t="s">
        <v>74</v>
      </c>
      <c r="R86" t="s">
        <v>74</v>
      </c>
      <c r="S86" t="s">
        <v>74</v>
      </c>
      <c r="T86" t="s">
        <v>74</v>
      </c>
      <c r="U86" t="s">
        <v>1835</v>
      </c>
      <c r="V86" t="s">
        <v>1836</v>
      </c>
      <c r="W86" t="s">
        <v>1837</v>
      </c>
      <c r="X86" t="s">
        <v>1838</v>
      </c>
      <c r="Y86" t="s">
        <v>1839</v>
      </c>
      <c r="Z86" t="s">
        <v>74</v>
      </c>
      <c r="AA86" t="s">
        <v>1840</v>
      </c>
      <c r="AB86" t="s">
        <v>1841</v>
      </c>
      <c r="AC86" t="s">
        <v>74</v>
      </c>
      <c r="AD86" t="s">
        <v>74</v>
      </c>
      <c r="AE86" t="s">
        <v>74</v>
      </c>
      <c r="AF86" t="s">
        <v>74</v>
      </c>
      <c r="AG86">
        <v>34</v>
      </c>
      <c r="AH86">
        <v>41</v>
      </c>
      <c r="AI86">
        <v>43</v>
      </c>
      <c r="AJ86">
        <v>0</v>
      </c>
      <c r="AK86">
        <v>3</v>
      </c>
      <c r="AL86" t="s">
        <v>1842</v>
      </c>
      <c r="AM86" t="s">
        <v>1843</v>
      </c>
      <c r="AN86" t="s">
        <v>1844</v>
      </c>
      <c r="AO86" t="s">
        <v>1845</v>
      </c>
      <c r="AP86" t="s">
        <v>1846</v>
      </c>
      <c r="AQ86" t="s">
        <v>74</v>
      </c>
      <c r="AR86" t="s">
        <v>1847</v>
      </c>
      <c r="AS86" t="s">
        <v>1848</v>
      </c>
      <c r="AT86" t="s">
        <v>1849</v>
      </c>
      <c r="AU86">
        <v>2011</v>
      </c>
      <c r="AV86">
        <v>83</v>
      </c>
      <c r="AW86">
        <v>2</v>
      </c>
      <c r="AX86" t="s">
        <v>74</v>
      </c>
      <c r="AY86" t="s">
        <v>74</v>
      </c>
      <c r="AZ86" t="s">
        <v>74</v>
      </c>
      <c r="BA86" t="s">
        <v>74</v>
      </c>
      <c r="BB86" t="s">
        <v>74</v>
      </c>
      <c r="BC86" t="s">
        <v>74</v>
      </c>
      <c r="BD86">
        <v>23513</v>
      </c>
      <c r="BE86" t="s">
        <v>1850</v>
      </c>
      <c r="BF86" t="str">
        <f>HYPERLINK("http://dx.doi.org/10.1103/PhysRevD.83.023513","http://dx.doi.org/10.1103/PhysRevD.83.023513")</f>
        <v>http://dx.doi.org/10.1103/PhysRevD.83.023513</v>
      </c>
      <c r="BG86" t="s">
        <v>74</v>
      </c>
      <c r="BH86" t="s">
        <v>74</v>
      </c>
      <c r="BI86">
        <v>11</v>
      </c>
      <c r="BJ86" t="s">
        <v>1851</v>
      </c>
      <c r="BK86" t="s">
        <v>100</v>
      </c>
      <c r="BL86" t="s">
        <v>1852</v>
      </c>
      <c r="BM86" t="s">
        <v>1853</v>
      </c>
      <c r="BN86" t="s">
        <v>74</v>
      </c>
      <c r="BO86" t="s">
        <v>1854</v>
      </c>
      <c r="BP86" t="s">
        <v>74</v>
      </c>
      <c r="BQ86" t="s">
        <v>74</v>
      </c>
      <c r="BR86" t="s">
        <v>103</v>
      </c>
      <c r="BS86" t="s">
        <v>1855</v>
      </c>
      <c r="BT86" t="str">
        <f>HYPERLINK("https%3A%2F%2Fwww.webofscience.com%2Fwos%2Fwoscc%2Ffull-record%2FWOS:000286803300006","View Full Record in Web of Science")</f>
        <v>View Full Record in Web of Science</v>
      </c>
    </row>
    <row r="87" spans="1:72" x14ac:dyDescent="0.15">
      <c r="A87" t="s">
        <v>72</v>
      </c>
      <c r="B87" t="s">
        <v>1856</v>
      </c>
      <c r="C87" t="s">
        <v>74</v>
      </c>
      <c r="D87" t="s">
        <v>74</v>
      </c>
      <c r="E87" t="s">
        <v>74</v>
      </c>
      <c r="F87" t="s">
        <v>1857</v>
      </c>
      <c r="G87" t="s">
        <v>74</v>
      </c>
      <c r="H87" t="s">
        <v>74</v>
      </c>
      <c r="I87" t="s">
        <v>1858</v>
      </c>
      <c r="J87" t="s">
        <v>1859</v>
      </c>
      <c r="K87" t="s">
        <v>74</v>
      </c>
      <c r="L87" t="s">
        <v>74</v>
      </c>
      <c r="M87" t="s">
        <v>78</v>
      </c>
      <c r="N87" t="s">
        <v>79</v>
      </c>
      <c r="O87" t="s">
        <v>74</v>
      </c>
      <c r="P87" t="s">
        <v>74</v>
      </c>
      <c r="Q87" t="s">
        <v>74</v>
      </c>
      <c r="R87" t="s">
        <v>74</v>
      </c>
      <c r="S87" t="s">
        <v>74</v>
      </c>
      <c r="T87" t="s">
        <v>1860</v>
      </c>
      <c r="U87" t="s">
        <v>1861</v>
      </c>
      <c r="V87" t="s">
        <v>1862</v>
      </c>
      <c r="W87" t="s">
        <v>1863</v>
      </c>
      <c r="X87" t="s">
        <v>1864</v>
      </c>
      <c r="Y87" t="s">
        <v>1865</v>
      </c>
      <c r="Z87" t="s">
        <v>1866</v>
      </c>
      <c r="AA87" t="s">
        <v>1867</v>
      </c>
      <c r="AB87" t="s">
        <v>1868</v>
      </c>
      <c r="AC87" t="s">
        <v>1869</v>
      </c>
      <c r="AD87" t="s">
        <v>1870</v>
      </c>
      <c r="AE87" t="s">
        <v>1871</v>
      </c>
      <c r="AF87" t="s">
        <v>74</v>
      </c>
      <c r="AG87">
        <v>48</v>
      </c>
      <c r="AH87">
        <v>217</v>
      </c>
      <c r="AI87">
        <v>232</v>
      </c>
      <c r="AJ87">
        <v>4</v>
      </c>
      <c r="AK87">
        <v>98</v>
      </c>
      <c r="AL87" t="s">
        <v>1872</v>
      </c>
      <c r="AM87" t="s">
        <v>241</v>
      </c>
      <c r="AN87" t="s">
        <v>1873</v>
      </c>
      <c r="AO87" t="s">
        <v>1874</v>
      </c>
      <c r="AP87" t="s">
        <v>74</v>
      </c>
      <c r="AQ87" t="s">
        <v>74</v>
      </c>
      <c r="AR87" t="s">
        <v>1875</v>
      </c>
      <c r="AS87" t="s">
        <v>1876</v>
      </c>
      <c r="AT87" t="s">
        <v>1877</v>
      </c>
      <c r="AU87">
        <v>2011</v>
      </c>
      <c r="AV87">
        <v>108</v>
      </c>
      <c r="AW87">
        <v>3</v>
      </c>
      <c r="AX87" t="s">
        <v>74</v>
      </c>
      <c r="AY87" t="s">
        <v>74</v>
      </c>
      <c r="AZ87" t="s">
        <v>74</v>
      </c>
      <c r="BA87" t="s">
        <v>74</v>
      </c>
      <c r="BB87">
        <v>1076</v>
      </c>
      <c r="BC87">
        <v>1081</v>
      </c>
      <c r="BD87" t="s">
        <v>74</v>
      </c>
      <c r="BE87" t="s">
        <v>1878</v>
      </c>
      <c r="BF87" t="str">
        <f>HYPERLINK("http://dx.doi.org/10.1073/pnas.1010963108","http://dx.doi.org/10.1073/pnas.1010963108")</f>
        <v>http://dx.doi.org/10.1073/pnas.1010963108</v>
      </c>
      <c r="BG87" t="s">
        <v>74</v>
      </c>
      <c r="BH87" t="s">
        <v>74</v>
      </c>
      <c r="BI87">
        <v>6</v>
      </c>
      <c r="BJ87" t="s">
        <v>1669</v>
      </c>
      <c r="BK87" t="s">
        <v>100</v>
      </c>
      <c r="BL87" t="s">
        <v>1670</v>
      </c>
      <c r="BM87" t="s">
        <v>1879</v>
      </c>
      <c r="BN87">
        <v>21169217</v>
      </c>
      <c r="BO87" t="s">
        <v>726</v>
      </c>
      <c r="BP87" t="s">
        <v>74</v>
      </c>
      <c r="BQ87" t="s">
        <v>74</v>
      </c>
      <c r="BR87" t="s">
        <v>103</v>
      </c>
      <c r="BS87" t="s">
        <v>1880</v>
      </c>
      <c r="BT87" t="str">
        <f>HYPERLINK("https%3A%2F%2Fwww.webofscience.com%2Fwos%2Fwoscc%2Ffull-record%2FWOS:000286310300037","View Full Record in Web of Science")</f>
        <v>View Full Record in Web of Science</v>
      </c>
    </row>
    <row r="88" spans="1:72" x14ac:dyDescent="0.15">
      <c r="A88" t="s">
        <v>72</v>
      </c>
      <c r="B88" t="s">
        <v>1881</v>
      </c>
      <c r="C88" t="s">
        <v>74</v>
      </c>
      <c r="D88" t="s">
        <v>74</v>
      </c>
      <c r="E88" t="s">
        <v>74</v>
      </c>
      <c r="F88" t="s">
        <v>1882</v>
      </c>
      <c r="G88" t="s">
        <v>74</v>
      </c>
      <c r="H88" t="s">
        <v>74</v>
      </c>
      <c r="I88" t="s">
        <v>1883</v>
      </c>
      <c r="J88" t="s">
        <v>1884</v>
      </c>
      <c r="K88" t="s">
        <v>74</v>
      </c>
      <c r="L88" t="s">
        <v>74</v>
      </c>
      <c r="M88" t="s">
        <v>78</v>
      </c>
      <c r="N88" t="s">
        <v>79</v>
      </c>
      <c r="O88" t="s">
        <v>74</v>
      </c>
      <c r="P88" t="s">
        <v>74</v>
      </c>
      <c r="Q88" t="s">
        <v>74</v>
      </c>
      <c r="R88" t="s">
        <v>74</v>
      </c>
      <c r="S88" t="s">
        <v>74</v>
      </c>
      <c r="T88" t="s">
        <v>74</v>
      </c>
      <c r="U88" t="s">
        <v>1885</v>
      </c>
      <c r="V88" t="s">
        <v>1886</v>
      </c>
      <c r="W88" t="s">
        <v>1887</v>
      </c>
      <c r="X88" t="s">
        <v>1888</v>
      </c>
      <c r="Y88" t="s">
        <v>1889</v>
      </c>
      <c r="Z88" t="s">
        <v>1890</v>
      </c>
      <c r="AA88" t="s">
        <v>74</v>
      </c>
      <c r="AB88" t="s">
        <v>1891</v>
      </c>
      <c r="AC88" t="s">
        <v>1892</v>
      </c>
      <c r="AD88" t="s">
        <v>1892</v>
      </c>
      <c r="AE88" t="s">
        <v>1893</v>
      </c>
      <c r="AF88" t="s">
        <v>74</v>
      </c>
      <c r="AG88">
        <v>38</v>
      </c>
      <c r="AH88">
        <v>11</v>
      </c>
      <c r="AI88">
        <v>12</v>
      </c>
      <c r="AJ88">
        <v>0</v>
      </c>
      <c r="AK88">
        <v>23</v>
      </c>
      <c r="AL88" t="s">
        <v>718</v>
      </c>
      <c r="AM88" t="s">
        <v>719</v>
      </c>
      <c r="AN88" t="s">
        <v>720</v>
      </c>
      <c r="AO88" t="s">
        <v>1894</v>
      </c>
      <c r="AP88" t="s">
        <v>1895</v>
      </c>
      <c r="AQ88" t="s">
        <v>74</v>
      </c>
      <c r="AR88" t="s">
        <v>1896</v>
      </c>
      <c r="AS88" t="s">
        <v>1897</v>
      </c>
      <c r="AT88" t="s">
        <v>1898</v>
      </c>
      <c r="AU88">
        <v>2011</v>
      </c>
      <c r="AV88">
        <v>75</v>
      </c>
      <c r="AW88">
        <v>2</v>
      </c>
      <c r="AX88" t="s">
        <v>74</v>
      </c>
      <c r="AY88" t="s">
        <v>74</v>
      </c>
      <c r="AZ88" t="s">
        <v>74</v>
      </c>
      <c r="BA88" t="s">
        <v>74</v>
      </c>
      <c r="BB88">
        <v>533</v>
      </c>
      <c r="BC88">
        <v>540</v>
      </c>
      <c r="BD88" t="s">
        <v>74</v>
      </c>
      <c r="BE88" t="s">
        <v>1899</v>
      </c>
      <c r="BF88" t="str">
        <f>HYPERLINK("http://dx.doi.org/10.1016/j.gca.2010.10.020","http://dx.doi.org/10.1016/j.gca.2010.10.020")</f>
        <v>http://dx.doi.org/10.1016/j.gca.2010.10.020</v>
      </c>
      <c r="BG88" t="s">
        <v>74</v>
      </c>
      <c r="BH88" t="s">
        <v>74</v>
      </c>
      <c r="BI88">
        <v>8</v>
      </c>
      <c r="BJ88" t="s">
        <v>774</v>
      </c>
      <c r="BK88" t="s">
        <v>100</v>
      </c>
      <c r="BL88" t="s">
        <v>774</v>
      </c>
      <c r="BM88" t="s">
        <v>1900</v>
      </c>
      <c r="BN88" t="s">
        <v>74</v>
      </c>
      <c r="BO88" t="s">
        <v>74</v>
      </c>
      <c r="BP88" t="s">
        <v>74</v>
      </c>
      <c r="BQ88" t="s">
        <v>74</v>
      </c>
      <c r="BR88" t="s">
        <v>103</v>
      </c>
      <c r="BS88" t="s">
        <v>1901</v>
      </c>
      <c r="BT88" t="str">
        <f>HYPERLINK("https%3A%2F%2Fwww.webofscience.com%2Fwos%2Fwoscc%2Ffull-record%2FWOS:000286349600014","View Full Record in Web of Science")</f>
        <v>View Full Record in Web of Science</v>
      </c>
    </row>
    <row r="89" spans="1:72" x14ac:dyDescent="0.15">
      <c r="A89" t="s">
        <v>72</v>
      </c>
      <c r="B89" t="s">
        <v>1902</v>
      </c>
      <c r="C89" t="s">
        <v>74</v>
      </c>
      <c r="D89" t="s">
        <v>74</v>
      </c>
      <c r="E89" t="s">
        <v>74</v>
      </c>
      <c r="F89" t="s">
        <v>1903</v>
      </c>
      <c r="G89" t="s">
        <v>74</v>
      </c>
      <c r="H89" t="s">
        <v>74</v>
      </c>
      <c r="I89" t="s">
        <v>1904</v>
      </c>
      <c r="J89" t="s">
        <v>1006</v>
      </c>
      <c r="K89" t="s">
        <v>74</v>
      </c>
      <c r="L89" t="s">
        <v>74</v>
      </c>
      <c r="M89" t="s">
        <v>78</v>
      </c>
      <c r="N89" t="s">
        <v>79</v>
      </c>
      <c r="O89" t="s">
        <v>74</v>
      </c>
      <c r="P89" t="s">
        <v>74</v>
      </c>
      <c r="Q89" t="s">
        <v>74</v>
      </c>
      <c r="R89" t="s">
        <v>74</v>
      </c>
      <c r="S89" t="s">
        <v>74</v>
      </c>
      <c r="T89" t="s">
        <v>74</v>
      </c>
      <c r="U89" t="s">
        <v>1905</v>
      </c>
      <c r="V89" t="s">
        <v>1906</v>
      </c>
      <c r="W89" t="s">
        <v>1907</v>
      </c>
      <c r="X89" t="s">
        <v>1908</v>
      </c>
      <c r="Y89" t="s">
        <v>1909</v>
      </c>
      <c r="Z89" t="s">
        <v>1910</v>
      </c>
      <c r="AA89" t="s">
        <v>1911</v>
      </c>
      <c r="AB89" t="s">
        <v>1912</v>
      </c>
      <c r="AC89" t="s">
        <v>1913</v>
      </c>
      <c r="AD89" t="s">
        <v>1914</v>
      </c>
      <c r="AE89" t="s">
        <v>1915</v>
      </c>
      <c r="AF89" t="s">
        <v>74</v>
      </c>
      <c r="AG89">
        <v>79</v>
      </c>
      <c r="AH89">
        <v>71</v>
      </c>
      <c r="AI89">
        <v>74</v>
      </c>
      <c r="AJ89">
        <v>0</v>
      </c>
      <c r="AK89">
        <v>15</v>
      </c>
      <c r="AL89" t="s">
        <v>1018</v>
      </c>
      <c r="AM89" t="s">
        <v>1019</v>
      </c>
      <c r="AN89" t="s">
        <v>1020</v>
      </c>
      <c r="AO89" t="s">
        <v>1021</v>
      </c>
      <c r="AP89" t="s">
        <v>1022</v>
      </c>
      <c r="AQ89" t="s">
        <v>74</v>
      </c>
      <c r="AR89" t="s">
        <v>1023</v>
      </c>
      <c r="AS89" t="s">
        <v>1024</v>
      </c>
      <c r="AT89" t="s">
        <v>1898</v>
      </c>
      <c r="AU89">
        <v>2011</v>
      </c>
      <c r="AV89">
        <v>24</v>
      </c>
      <c r="AW89">
        <v>2</v>
      </c>
      <c r="AX89" t="s">
        <v>74</v>
      </c>
      <c r="AY89" t="s">
        <v>74</v>
      </c>
      <c r="AZ89" t="s">
        <v>74</v>
      </c>
      <c r="BA89" t="s">
        <v>74</v>
      </c>
      <c r="BB89">
        <v>349</v>
      </c>
      <c r="BC89">
        <v>375</v>
      </c>
      <c r="BD89" t="s">
        <v>74</v>
      </c>
      <c r="BE89" t="s">
        <v>1916</v>
      </c>
      <c r="BF89" t="str">
        <f>HYPERLINK("http://dx.doi.org/10.1175/2010JCLI3351.1","http://dx.doi.org/10.1175/2010JCLI3351.1")</f>
        <v>http://dx.doi.org/10.1175/2010JCLI3351.1</v>
      </c>
      <c r="BG89" t="s">
        <v>74</v>
      </c>
      <c r="BH89" t="s">
        <v>74</v>
      </c>
      <c r="BI89">
        <v>27</v>
      </c>
      <c r="BJ89" t="s">
        <v>603</v>
      </c>
      <c r="BK89" t="s">
        <v>100</v>
      </c>
      <c r="BL89" t="s">
        <v>603</v>
      </c>
      <c r="BM89" t="s">
        <v>1917</v>
      </c>
      <c r="BN89" t="s">
        <v>74</v>
      </c>
      <c r="BO89" t="s">
        <v>1744</v>
      </c>
      <c r="BP89" t="s">
        <v>74</v>
      </c>
      <c r="BQ89" t="s">
        <v>74</v>
      </c>
      <c r="BR89" t="s">
        <v>103</v>
      </c>
      <c r="BS89" t="s">
        <v>1918</v>
      </c>
      <c r="BT89" t="str">
        <f>HYPERLINK("https%3A%2F%2Fwww.webofscience.com%2Fwos%2Fwoscc%2Ffull-record%2FWOS:000287002100002","View Full Record in Web of Science")</f>
        <v>View Full Record in Web of Science</v>
      </c>
    </row>
    <row r="90" spans="1:72" x14ac:dyDescent="0.15">
      <c r="A90" t="s">
        <v>72</v>
      </c>
      <c r="B90" t="s">
        <v>1919</v>
      </c>
      <c r="C90" t="s">
        <v>74</v>
      </c>
      <c r="D90" t="s">
        <v>74</v>
      </c>
      <c r="E90" t="s">
        <v>74</v>
      </c>
      <c r="F90" t="s">
        <v>1920</v>
      </c>
      <c r="G90" t="s">
        <v>74</v>
      </c>
      <c r="H90" t="s">
        <v>74</v>
      </c>
      <c r="I90" t="s">
        <v>1921</v>
      </c>
      <c r="J90" t="s">
        <v>1006</v>
      </c>
      <c r="K90" t="s">
        <v>74</v>
      </c>
      <c r="L90" t="s">
        <v>74</v>
      </c>
      <c r="M90" t="s">
        <v>78</v>
      </c>
      <c r="N90" t="s">
        <v>79</v>
      </c>
      <c r="O90" t="s">
        <v>74</v>
      </c>
      <c r="P90" t="s">
        <v>74</v>
      </c>
      <c r="Q90" t="s">
        <v>74</v>
      </c>
      <c r="R90" t="s">
        <v>74</v>
      </c>
      <c r="S90" t="s">
        <v>74</v>
      </c>
      <c r="T90" t="s">
        <v>74</v>
      </c>
      <c r="U90" t="s">
        <v>1922</v>
      </c>
      <c r="V90" t="s">
        <v>1923</v>
      </c>
      <c r="W90" t="s">
        <v>1924</v>
      </c>
      <c r="X90" t="s">
        <v>1681</v>
      </c>
      <c r="Y90" t="s">
        <v>1925</v>
      </c>
      <c r="Z90" t="s">
        <v>1926</v>
      </c>
      <c r="AA90" t="s">
        <v>1927</v>
      </c>
      <c r="AB90" t="s">
        <v>1928</v>
      </c>
      <c r="AC90" t="s">
        <v>1929</v>
      </c>
      <c r="AD90" t="s">
        <v>1930</v>
      </c>
      <c r="AE90" t="s">
        <v>1931</v>
      </c>
      <c r="AF90" t="s">
        <v>74</v>
      </c>
      <c r="AG90">
        <v>22</v>
      </c>
      <c r="AH90">
        <v>58</v>
      </c>
      <c r="AI90">
        <v>60</v>
      </c>
      <c r="AJ90">
        <v>0</v>
      </c>
      <c r="AK90">
        <v>13</v>
      </c>
      <c r="AL90" t="s">
        <v>1018</v>
      </c>
      <c r="AM90" t="s">
        <v>1019</v>
      </c>
      <c r="AN90" t="s">
        <v>1020</v>
      </c>
      <c r="AO90" t="s">
        <v>1021</v>
      </c>
      <c r="AP90" t="s">
        <v>1022</v>
      </c>
      <c r="AQ90" t="s">
        <v>74</v>
      </c>
      <c r="AR90" t="s">
        <v>1023</v>
      </c>
      <c r="AS90" t="s">
        <v>1024</v>
      </c>
      <c r="AT90" t="s">
        <v>1898</v>
      </c>
      <c r="AU90">
        <v>2011</v>
      </c>
      <c r="AV90">
        <v>24</v>
      </c>
      <c r="AW90">
        <v>2</v>
      </c>
      <c r="AX90" t="s">
        <v>74</v>
      </c>
      <c r="AY90" t="s">
        <v>74</v>
      </c>
      <c r="AZ90" t="s">
        <v>74</v>
      </c>
      <c r="BA90" t="s">
        <v>74</v>
      </c>
      <c r="BB90">
        <v>466</v>
      </c>
      <c r="BC90">
        <v>472</v>
      </c>
      <c r="BD90" t="s">
        <v>74</v>
      </c>
      <c r="BE90" t="s">
        <v>1932</v>
      </c>
      <c r="BF90" t="str">
        <f>HYPERLINK("http://dx.doi.org/10.1175/2010JCLI3739.1","http://dx.doi.org/10.1175/2010JCLI3739.1")</f>
        <v>http://dx.doi.org/10.1175/2010JCLI3739.1</v>
      </c>
      <c r="BG90" t="s">
        <v>74</v>
      </c>
      <c r="BH90" t="s">
        <v>74</v>
      </c>
      <c r="BI90">
        <v>7</v>
      </c>
      <c r="BJ90" t="s">
        <v>603</v>
      </c>
      <c r="BK90" t="s">
        <v>100</v>
      </c>
      <c r="BL90" t="s">
        <v>603</v>
      </c>
      <c r="BM90" t="s">
        <v>1917</v>
      </c>
      <c r="BN90" t="s">
        <v>74</v>
      </c>
      <c r="BO90" t="s">
        <v>252</v>
      </c>
      <c r="BP90" t="s">
        <v>74</v>
      </c>
      <c r="BQ90" t="s">
        <v>74</v>
      </c>
      <c r="BR90" t="s">
        <v>103</v>
      </c>
      <c r="BS90" t="s">
        <v>1933</v>
      </c>
      <c r="BT90" t="str">
        <f>HYPERLINK("https%3A%2F%2Fwww.webofscience.com%2Fwos%2Fwoscc%2Ffull-record%2FWOS:000287002100009","View Full Record in Web of Science")</f>
        <v>View Full Record in Web of Science</v>
      </c>
    </row>
    <row r="91" spans="1:72" x14ac:dyDescent="0.15">
      <c r="A91" t="s">
        <v>72</v>
      </c>
      <c r="B91" t="s">
        <v>1934</v>
      </c>
      <c r="C91" t="s">
        <v>74</v>
      </c>
      <c r="D91" t="s">
        <v>74</v>
      </c>
      <c r="E91" t="s">
        <v>74</v>
      </c>
      <c r="F91" t="s">
        <v>1935</v>
      </c>
      <c r="G91" t="s">
        <v>74</v>
      </c>
      <c r="H91" t="s">
        <v>74</v>
      </c>
      <c r="I91" t="s">
        <v>1936</v>
      </c>
      <c r="J91" t="s">
        <v>1649</v>
      </c>
      <c r="K91" t="s">
        <v>74</v>
      </c>
      <c r="L91" t="s">
        <v>74</v>
      </c>
      <c r="M91" t="s">
        <v>78</v>
      </c>
      <c r="N91" t="s">
        <v>79</v>
      </c>
      <c r="O91" t="s">
        <v>74</v>
      </c>
      <c r="P91" t="s">
        <v>74</v>
      </c>
      <c r="Q91" t="s">
        <v>74</v>
      </c>
      <c r="R91" t="s">
        <v>74</v>
      </c>
      <c r="S91" t="s">
        <v>74</v>
      </c>
      <c r="T91" t="s">
        <v>74</v>
      </c>
      <c r="U91" t="s">
        <v>1937</v>
      </c>
      <c r="V91" t="s">
        <v>1938</v>
      </c>
      <c r="W91" t="s">
        <v>1939</v>
      </c>
      <c r="X91" t="s">
        <v>1940</v>
      </c>
      <c r="Y91" t="s">
        <v>1941</v>
      </c>
      <c r="Z91" t="s">
        <v>1942</v>
      </c>
      <c r="AA91" t="s">
        <v>1943</v>
      </c>
      <c r="AB91" t="s">
        <v>1944</v>
      </c>
      <c r="AC91" t="s">
        <v>1945</v>
      </c>
      <c r="AD91" t="s">
        <v>1946</v>
      </c>
      <c r="AE91" t="s">
        <v>1947</v>
      </c>
      <c r="AF91" t="s">
        <v>74</v>
      </c>
      <c r="AG91">
        <v>27</v>
      </c>
      <c r="AH91">
        <v>35</v>
      </c>
      <c r="AI91">
        <v>37</v>
      </c>
      <c r="AJ91">
        <v>1</v>
      </c>
      <c r="AK91">
        <v>46</v>
      </c>
      <c r="AL91" t="s">
        <v>1661</v>
      </c>
      <c r="AM91" t="s">
        <v>1662</v>
      </c>
      <c r="AN91" t="s">
        <v>1760</v>
      </c>
      <c r="AO91" t="s">
        <v>1664</v>
      </c>
      <c r="AP91" t="s">
        <v>74</v>
      </c>
      <c r="AQ91" t="s">
        <v>74</v>
      </c>
      <c r="AR91" t="s">
        <v>1649</v>
      </c>
      <c r="AS91" t="s">
        <v>1665</v>
      </c>
      <c r="AT91" t="s">
        <v>1948</v>
      </c>
      <c r="AU91">
        <v>2011</v>
      </c>
      <c r="AV91">
        <v>6</v>
      </c>
      <c r="AW91">
        <v>1</v>
      </c>
      <c r="AX91" t="s">
        <v>74</v>
      </c>
      <c r="AY91" t="s">
        <v>74</v>
      </c>
      <c r="AZ91" t="s">
        <v>74</v>
      </c>
      <c r="BA91" t="s">
        <v>74</v>
      </c>
      <c r="BB91" t="s">
        <v>74</v>
      </c>
      <c r="BC91" t="s">
        <v>74</v>
      </c>
      <c r="BD91" t="s">
        <v>1949</v>
      </c>
      <c r="BE91" t="s">
        <v>1950</v>
      </c>
      <c r="BF91" t="str">
        <f>HYPERLINK("http://dx.doi.org/10.1371/journal.pone.0016050","http://dx.doi.org/10.1371/journal.pone.0016050")</f>
        <v>http://dx.doi.org/10.1371/journal.pone.0016050</v>
      </c>
      <c r="BG91" t="s">
        <v>74</v>
      </c>
      <c r="BH91" t="s">
        <v>74</v>
      </c>
      <c r="BI91">
        <v>4</v>
      </c>
      <c r="BJ91" t="s">
        <v>1669</v>
      </c>
      <c r="BK91" t="s">
        <v>100</v>
      </c>
      <c r="BL91" t="s">
        <v>1670</v>
      </c>
      <c r="BM91" t="s">
        <v>1951</v>
      </c>
      <c r="BN91">
        <v>21264244</v>
      </c>
      <c r="BO91" t="s">
        <v>1952</v>
      </c>
      <c r="BP91" t="s">
        <v>74</v>
      </c>
      <c r="BQ91" t="s">
        <v>74</v>
      </c>
      <c r="BR91" t="s">
        <v>103</v>
      </c>
      <c r="BS91" t="s">
        <v>1953</v>
      </c>
      <c r="BT91" t="str">
        <f>HYPERLINK("https%3A%2F%2Fwww.webofscience.com%2Fwos%2Fwoscc%2Ffull-record%2FWOS:000286516500024","View Full Record in Web of Science")</f>
        <v>View Full Record in Web of Science</v>
      </c>
    </row>
    <row r="92" spans="1:72" x14ac:dyDescent="0.15">
      <c r="A92" t="s">
        <v>72</v>
      </c>
      <c r="B92" t="s">
        <v>1954</v>
      </c>
      <c r="C92" t="s">
        <v>74</v>
      </c>
      <c r="D92" t="s">
        <v>74</v>
      </c>
      <c r="E92" t="s">
        <v>74</v>
      </c>
      <c r="F92" t="s">
        <v>1955</v>
      </c>
      <c r="G92" t="s">
        <v>74</v>
      </c>
      <c r="H92" t="s">
        <v>74</v>
      </c>
      <c r="I92" t="s">
        <v>1956</v>
      </c>
      <c r="J92" t="s">
        <v>1957</v>
      </c>
      <c r="K92" t="s">
        <v>74</v>
      </c>
      <c r="L92" t="s">
        <v>74</v>
      </c>
      <c r="M92" t="s">
        <v>78</v>
      </c>
      <c r="N92" t="s">
        <v>79</v>
      </c>
      <c r="O92" t="s">
        <v>74</v>
      </c>
      <c r="P92" t="s">
        <v>74</v>
      </c>
      <c r="Q92" t="s">
        <v>74</v>
      </c>
      <c r="R92" t="s">
        <v>74</v>
      </c>
      <c r="S92" t="s">
        <v>74</v>
      </c>
      <c r="T92" t="s">
        <v>74</v>
      </c>
      <c r="U92" t="s">
        <v>1958</v>
      </c>
      <c r="V92" t="s">
        <v>1959</v>
      </c>
      <c r="W92" t="s">
        <v>1960</v>
      </c>
      <c r="X92" t="s">
        <v>1961</v>
      </c>
      <c r="Y92" t="s">
        <v>1962</v>
      </c>
      <c r="Z92" t="s">
        <v>1963</v>
      </c>
      <c r="AA92" t="s">
        <v>1964</v>
      </c>
      <c r="AB92" t="s">
        <v>1965</v>
      </c>
      <c r="AC92" t="s">
        <v>1966</v>
      </c>
      <c r="AD92" t="s">
        <v>1967</v>
      </c>
      <c r="AE92" t="s">
        <v>1968</v>
      </c>
      <c r="AF92" t="s">
        <v>74</v>
      </c>
      <c r="AG92">
        <v>33</v>
      </c>
      <c r="AH92">
        <v>126</v>
      </c>
      <c r="AI92">
        <v>146</v>
      </c>
      <c r="AJ92">
        <v>1</v>
      </c>
      <c r="AK92">
        <v>109</v>
      </c>
      <c r="AL92" t="s">
        <v>1969</v>
      </c>
      <c r="AM92" t="s">
        <v>241</v>
      </c>
      <c r="AN92" t="s">
        <v>1970</v>
      </c>
      <c r="AO92" t="s">
        <v>1971</v>
      </c>
      <c r="AP92" t="s">
        <v>1972</v>
      </c>
      <c r="AQ92" t="s">
        <v>74</v>
      </c>
      <c r="AR92" t="s">
        <v>1957</v>
      </c>
      <c r="AS92" t="s">
        <v>1973</v>
      </c>
      <c r="AT92" t="s">
        <v>1948</v>
      </c>
      <c r="AU92">
        <v>2011</v>
      </c>
      <c r="AV92">
        <v>331</v>
      </c>
      <c r="AW92">
        <v>6014</v>
      </c>
      <c r="AX92" t="s">
        <v>74</v>
      </c>
      <c r="AY92" t="s">
        <v>74</v>
      </c>
      <c r="AZ92" t="s">
        <v>74</v>
      </c>
      <c r="BA92" t="s">
        <v>74</v>
      </c>
      <c r="BB92">
        <v>202</v>
      </c>
      <c r="BC92">
        <v>205</v>
      </c>
      <c r="BD92" t="s">
        <v>74</v>
      </c>
      <c r="BE92" t="s">
        <v>1974</v>
      </c>
      <c r="BF92" t="str">
        <f>HYPERLINK("http://dx.doi.org/10.1126/science.1196812","http://dx.doi.org/10.1126/science.1196812")</f>
        <v>http://dx.doi.org/10.1126/science.1196812</v>
      </c>
      <c r="BG92" t="s">
        <v>74</v>
      </c>
      <c r="BH92" t="s">
        <v>74</v>
      </c>
      <c r="BI92">
        <v>4</v>
      </c>
      <c r="BJ92" t="s">
        <v>1669</v>
      </c>
      <c r="BK92" t="s">
        <v>100</v>
      </c>
      <c r="BL92" t="s">
        <v>1670</v>
      </c>
      <c r="BM92" t="s">
        <v>1975</v>
      </c>
      <c r="BN92">
        <v>21233385</v>
      </c>
      <c r="BO92" t="s">
        <v>138</v>
      </c>
      <c r="BP92" t="s">
        <v>74</v>
      </c>
      <c r="BQ92" t="s">
        <v>74</v>
      </c>
      <c r="BR92" t="s">
        <v>103</v>
      </c>
      <c r="BS92" t="s">
        <v>1976</v>
      </c>
      <c r="BT92" t="str">
        <f>HYPERLINK("https%3A%2F%2Fwww.webofscience.com%2Fwos%2Fwoscc%2Ffull-record%2FWOS:000286433100039","View Full Record in Web of Science")</f>
        <v>View Full Record in Web of Science</v>
      </c>
    </row>
    <row r="93" spans="1:72" x14ac:dyDescent="0.15">
      <c r="A93" t="s">
        <v>72</v>
      </c>
      <c r="B93" t="s">
        <v>1977</v>
      </c>
      <c r="C93" t="s">
        <v>74</v>
      </c>
      <c r="D93" t="s">
        <v>74</v>
      </c>
      <c r="E93" t="s">
        <v>74</v>
      </c>
      <c r="F93" t="s">
        <v>1978</v>
      </c>
      <c r="G93" t="s">
        <v>74</v>
      </c>
      <c r="H93" t="s">
        <v>74</v>
      </c>
      <c r="I93" t="s">
        <v>1979</v>
      </c>
      <c r="J93" t="s">
        <v>1980</v>
      </c>
      <c r="K93" t="s">
        <v>74</v>
      </c>
      <c r="L93" t="s">
        <v>74</v>
      </c>
      <c r="M93" t="s">
        <v>78</v>
      </c>
      <c r="N93" t="s">
        <v>79</v>
      </c>
      <c r="O93" t="s">
        <v>74</v>
      </c>
      <c r="P93" t="s">
        <v>74</v>
      </c>
      <c r="Q93" t="s">
        <v>74</v>
      </c>
      <c r="R93" t="s">
        <v>74</v>
      </c>
      <c r="S93" t="s">
        <v>74</v>
      </c>
      <c r="T93" t="s">
        <v>74</v>
      </c>
      <c r="U93" t="s">
        <v>1981</v>
      </c>
      <c r="V93" t="s">
        <v>1982</v>
      </c>
      <c r="W93" t="s">
        <v>1983</v>
      </c>
      <c r="X93" t="s">
        <v>1984</v>
      </c>
      <c r="Y93" t="s">
        <v>1985</v>
      </c>
      <c r="Z93" t="s">
        <v>74</v>
      </c>
      <c r="AA93" t="s">
        <v>1986</v>
      </c>
      <c r="AB93" t="s">
        <v>1987</v>
      </c>
      <c r="AC93" t="s">
        <v>74</v>
      </c>
      <c r="AD93" t="s">
        <v>74</v>
      </c>
      <c r="AE93" t="s">
        <v>74</v>
      </c>
      <c r="AF93" t="s">
        <v>74</v>
      </c>
      <c r="AG93">
        <v>23</v>
      </c>
      <c r="AH93">
        <v>27</v>
      </c>
      <c r="AI93">
        <v>27</v>
      </c>
      <c r="AJ93">
        <v>0</v>
      </c>
      <c r="AK93">
        <v>9</v>
      </c>
      <c r="AL93" t="s">
        <v>240</v>
      </c>
      <c r="AM93" t="s">
        <v>241</v>
      </c>
      <c r="AN93" t="s">
        <v>242</v>
      </c>
      <c r="AO93" t="s">
        <v>1988</v>
      </c>
      <c r="AP93" t="s">
        <v>74</v>
      </c>
      <c r="AQ93" t="s">
        <v>74</v>
      </c>
      <c r="AR93" t="s">
        <v>1989</v>
      </c>
      <c r="AS93" t="s">
        <v>1990</v>
      </c>
      <c r="AT93" t="s">
        <v>1991</v>
      </c>
      <c r="AU93">
        <v>2011</v>
      </c>
      <c r="AV93">
        <v>38</v>
      </c>
      <c r="AW93" t="s">
        <v>74</v>
      </c>
      <c r="AX93" t="s">
        <v>74</v>
      </c>
      <c r="AY93" t="s">
        <v>74</v>
      </c>
      <c r="AZ93" t="s">
        <v>74</v>
      </c>
      <c r="BA93" t="s">
        <v>74</v>
      </c>
      <c r="BB93" t="s">
        <v>74</v>
      </c>
      <c r="BC93" t="s">
        <v>74</v>
      </c>
      <c r="BD93" t="s">
        <v>1992</v>
      </c>
      <c r="BE93" t="s">
        <v>1993</v>
      </c>
      <c r="BF93" t="str">
        <f>HYPERLINK("http://dx.doi.org/10.1029/2010GL045542","http://dx.doi.org/10.1029/2010GL045542")</f>
        <v>http://dx.doi.org/10.1029/2010GL045542</v>
      </c>
      <c r="BG93" t="s">
        <v>74</v>
      </c>
      <c r="BH93" t="s">
        <v>74</v>
      </c>
      <c r="BI93">
        <v>5</v>
      </c>
      <c r="BJ93" t="s">
        <v>396</v>
      </c>
      <c r="BK93" t="s">
        <v>100</v>
      </c>
      <c r="BL93" t="s">
        <v>397</v>
      </c>
      <c r="BM93" t="s">
        <v>1994</v>
      </c>
      <c r="BN93" t="s">
        <v>74</v>
      </c>
      <c r="BO93" t="s">
        <v>1696</v>
      </c>
      <c r="BP93" t="s">
        <v>74</v>
      </c>
      <c r="BQ93" t="s">
        <v>74</v>
      </c>
      <c r="BR93" t="s">
        <v>103</v>
      </c>
      <c r="BS93" t="s">
        <v>1995</v>
      </c>
      <c r="BT93" t="str">
        <f>HYPERLINK("https%3A%2F%2Fwww.webofscience.com%2Fwos%2Fwoscc%2Ffull-record%2FWOS:000286323300003","View Full Record in Web of Science")</f>
        <v>View Full Record in Web of Science</v>
      </c>
    </row>
    <row r="94" spans="1:72" x14ac:dyDescent="0.15">
      <c r="A94" t="s">
        <v>72</v>
      </c>
      <c r="B94" t="s">
        <v>1996</v>
      </c>
      <c r="C94" t="s">
        <v>74</v>
      </c>
      <c r="D94" t="s">
        <v>74</v>
      </c>
      <c r="E94" t="s">
        <v>74</v>
      </c>
      <c r="F94" t="s">
        <v>1997</v>
      </c>
      <c r="G94" t="s">
        <v>74</v>
      </c>
      <c r="H94" t="s">
        <v>74</v>
      </c>
      <c r="I94" t="s">
        <v>1998</v>
      </c>
      <c r="J94" t="s">
        <v>1999</v>
      </c>
      <c r="K94" t="s">
        <v>74</v>
      </c>
      <c r="L94" t="s">
        <v>74</v>
      </c>
      <c r="M94" t="s">
        <v>78</v>
      </c>
      <c r="N94" t="s">
        <v>2000</v>
      </c>
      <c r="O94" t="s">
        <v>2001</v>
      </c>
      <c r="P94" t="s">
        <v>2002</v>
      </c>
      <c r="Q94" t="s">
        <v>2003</v>
      </c>
      <c r="R94" t="s">
        <v>74</v>
      </c>
      <c r="S94" t="s">
        <v>74</v>
      </c>
      <c r="T94" t="s">
        <v>2004</v>
      </c>
      <c r="U94" t="s">
        <v>2005</v>
      </c>
      <c r="V94" t="s">
        <v>2006</v>
      </c>
      <c r="W94" t="s">
        <v>2007</v>
      </c>
      <c r="X94" t="s">
        <v>2008</v>
      </c>
      <c r="Y94" t="s">
        <v>2009</v>
      </c>
      <c r="Z94" t="s">
        <v>2010</v>
      </c>
      <c r="AA94" t="s">
        <v>2011</v>
      </c>
      <c r="AB94" t="s">
        <v>74</v>
      </c>
      <c r="AC94" t="s">
        <v>74</v>
      </c>
      <c r="AD94" t="s">
        <v>74</v>
      </c>
      <c r="AE94" t="s">
        <v>74</v>
      </c>
      <c r="AF94" t="s">
        <v>74</v>
      </c>
      <c r="AG94">
        <v>28</v>
      </c>
      <c r="AH94">
        <v>5</v>
      </c>
      <c r="AI94">
        <v>5</v>
      </c>
      <c r="AJ94">
        <v>0</v>
      </c>
      <c r="AK94">
        <v>3</v>
      </c>
      <c r="AL94" t="s">
        <v>767</v>
      </c>
      <c r="AM94" t="s">
        <v>640</v>
      </c>
      <c r="AN94" t="s">
        <v>768</v>
      </c>
      <c r="AO94" t="s">
        <v>2012</v>
      </c>
      <c r="AP94" t="s">
        <v>2013</v>
      </c>
      <c r="AQ94" t="s">
        <v>74</v>
      </c>
      <c r="AR94" t="s">
        <v>2014</v>
      </c>
      <c r="AS94" t="s">
        <v>2015</v>
      </c>
      <c r="AT94" t="s">
        <v>2016</v>
      </c>
      <c r="AU94">
        <v>2011</v>
      </c>
      <c r="AV94">
        <v>626</v>
      </c>
      <c r="AW94" t="s">
        <v>74</v>
      </c>
      <c r="AX94" t="s">
        <v>74</v>
      </c>
      <c r="AY94" t="s">
        <v>2017</v>
      </c>
      <c r="AZ94" t="s">
        <v>74</v>
      </c>
      <c r="BA94" t="s">
        <v>74</v>
      </c>
      <c r="BB94" t="s">
        <v>2018</v>
      </c>
      <c r="BC94" t="s">
        <v>2019</v>
      </c>
      <c r="BD94" t="s">
        <v>74</v>
      </c>
      <c r="BE94" t="s">
        <v>2020</v>
      </c>
      <c r="BF94" t="str">
        <f>HYPERLINK("http://dx.doi.org/10.1016/j.nima.2010.04.025","http://dx.doi.org/10.1016/j.nima.2010.04.025")</f>
        <v>http://dx.doi.org/10.1016/j.nima.2010.04.025</v>
      </c>
      <c r="BG94" t="s">
        <v>74</v>
      </c>
      <c r="BH94" t="s">
        <v>74</v>
      </c>
      <c r="BI94">
        <v>4</v>
      </c>
      <c r="BJ94" t="s">
        <v>2021</v>
      </c>
      <c r="BK94" t="s">
        <v>2022</v>
      </c>
      <c r="BL94" t="s">
        <v>2023</v>
      </c>
      <c r="BM94" t="s">
        <v>2024</v>
      </c>
      <c r="BN94" t="s">
        <v>74</v>
      </c>
      <c r="BO94" t="s">
        <v>74</v>
      </c>
      <c r="BP94" t="s">
        <v>74</v>
      </c>
      <c r="BQ94" t="s">
        <v>74</v>
      </c>
      <c r="BR94" t="s">
        <v>103</v>
      </c>
      <c r="BS94" t="s">
        <v>2025</v>
      </c>
      <c r="BT94" t="str">
        <f>HYPERLINK("https%3A%2F%2Fwww.webofscience.com%2Fwos%2Fwoscc%2Ffull-record%2FWOS:000286446800010","View Full Record in Web of Science")</f>
        <v>View Full Record in Web of Science</v>
      </c>
    </row>
    <row r="95" spans="1:72" x14ac:dyDescent="0.15">
      <c r="A95" t="s">
        <v>72</v>
      </c>
      <c r="B95" t="s">
        <v>2026</v>
      </c>
      <c r="C95" t="s">
        <v>74</v>
      </c>
      <c r="D95" t="s">
        <v>74</v>
      </c>
      <c r="E95" t="s">
        <v>74</v>
      </c>
      <c r="F95" t="s">
        <v>2027</v>
      </c>
      <c r="G95" t="s">
        <v>74</v>
      </c>
      <c r="H95" t="s">
        <v>1832</v>
      </c>
      <c r="I95" t="s">
        <v>2028</v>
      </c>
      <c r="J95" t="s">
        <v>1999</v>
      </c>
      <c r="K95" t="s">
        <v>74</v>
      </c>
      <c r="L95" t="s">
        <v>74</v>
      </c>
      <c r="M95" t="s">
        <v>78</v>
      </c>
      <c r="N95" t="s">
        <v>2000</v>
      </c>
      <c r="O95" t="s">
        <v>2001</v>
      </c>
      <c r="P95" t="s">
        <v>2002</v>
      </c>
      <c r="Q95" t="s">
        <v>2003</v>
      </c>
      <c r="R95" t="s">
        <v>74</v>
      </c>
      <c r="S95" t="s">
        <v>74</v>
      </c>
      <c r="T95" t="s">
        <v>2029</v>
      </c>
      <c r="U95" t="s">
        <v>2030</v>
      </c>
      <c r="V95" t="s">
        <v>2031</v>
      </c>
      <c r="W95" t="s">
        <v>2032</v>
      </c>
      <c r="X95" t="s">
        <v>2033</v>
      </c>
      <c r="Y95" t="s">
        <v>2034</v>
      </c>
      <c r="Z95" t="s">
        <v>2035</v>
      </c>
      <c r="AA95" t="s">
        <v>2036</v>
      </c>
      <c r="AB95" t="s">
        <v>2037</v>
      </c>
      <c r="AC95" t="s">
        <v>74</v>
      </c>
      <c r="AD95" t="s">
        <v>74</v>
      </c>
      <c r="AE95" t="s">
        <v>74</v>
      </c>
      <c r="AF95" t="s">
        <v>74</v>
      </c>
      <c r="AG95">
        <v>49</v>
      </c>
      <c r="AH95">
        <v>5</v>
      </c>
      <c r="AI95">
        <v>5</v>
      </c>
      <c r="AJ95">
        <v>0</v>
      </c>
      <c r="AK95">
        <v>0</v>
      </c>
      <c r="AL95" t="s">
        <v>767</v>
      </c>
      <c r="AM95" t="s">
        <v>640</v>
      </c>
      <c r="AN95" t="s">
        <v>768</v>
      </c>
      <c r="AO95" t="s">
        <v>2012</v>
      </c>
      <c r="AP95" t="s">
        <v>2013</v>
      </c>
      <c r="AQ95" t="s">
        <v>74</v>
      </c>
      <c r="AR95" t="s">
        <v>2014</v>
      </c>
      <c r="AS95" t="s">
        <v>2015</v>
      </c>
      <c r="AT95" t="s">
        <v>2016</v>
      </c>
      <c r="AU95">
        <v>2011</v>
      </c>
      <c r="AV95">
        <v>626</v>
      </c>
      <c r="AW95" t="s">
        <v>74</v>
      </c>
      <c r="AX95" t="s">
        <v>74</v>
      </c>
      <c r="AY95" t="s">
        <v>2017</v>
      </c>
      <c r="AZ95" t="s">
        <v>74</v>
      </c>
      <c r="BA95" t="s">
        <v>74</v>
      </c>
      <c r="BB95" t="s">
        <v>2038</v>
      </c>
      <c r="BC95" t="s">
        <v>2039</v>
      </c>
      <c r="BD95" t="s">
        <v>74</v>
      </c>
      <c r="BE95" t="s">
        <v>2040</v>
      </c>
      <c r="BF95" t="str">
        <f>HYPERLINK("http://dx.doi.org/10.1016/j.nima.2010.06.268","http://dx.doi.org/10.1016/j.nima.2010.06.268")</f>
        <v>http://dx.doi.org/10.1016/j.nima.2010.06.268</v>
      </c>
      <c r="BG95" t="s">
        <v>74</v>
      </c>
      <c r="BH95" t="s">
        <v>74</v>
      </c>
      <c r="BI95">
        <v>6</v>
      </c>
      <c r="BJ95" t="s">
        <v>2021</v>
      </c>
      <c r="BK95" t="s">
        <v>2022</v>
      </c>
      <c r="BL95" t="s">
        <v>2023</v>
      </c>
      <c r="BM95" t="s">
        <v>2024</v>
      </c>
      <c r="BN95" t="s">
        <v>74</v>
      </c>
      <c r="BO95" t="s">
        <v>74</v>
      </c>
      <c r="BP95" t="s">
        <v>74</v>
      </c>
      <c r="BQ95" t="s">
        <v>74</v>
      </c>
      <c r="BR95" t="s">
        <v>103</v>
      </c>
      <c r="BS95" t="s">
        <v>2041</v>
      </c>
      <c r="BT95" t="str">
        <f>HYPERLINK("https%3A%2F%2Fwww.webofscience.com%2Fwos%2Fwoscc%2Ffull-record%2FWOS:000286446800007","View Full Record in Web of Science")</f>
        <v>View Full Record in Web of Science</v>
      </c>
    </row>
    <row r="96" spans="1:72" x14ac:dyDescent="0.15">
      <c r="A96" t="s">
        <v>72</v>
      </c>
      <c r="B96" t="s">
        <v>2042</v>
      </c>
      <c r="C96" t="s">
        <v>74</v>
      </c>
      <c r="D96" t="s">
        <v>74</v>
      </c>
      <c r="E96" t="s">
        <v>74</v>
      </c>
      <c r="F96" t="s">
        <v>2043</v>
      </c>
      <c r="G96" t="s">
        <v>74</v>
      </c>
      <c r="H96" t="s">
        <v>74</v>
      </c>
      <c r="I96" t="s">
        <v>2044</v>
      </c>
      <c r="J96" t="s">
        <v>2045</v>
      </c>
      <c r="K96" t="s">
        <v>74</v>
      </c>
      <c r="L96" t="s">
        <v>74</v>
      </c>
      <c r="M96" t="s">
        <v>78</v>
      </c>
      <c r="N96" t="s">
        <v>79</v>
      </c>
      <c r="O96" t="s">
        <v>74</v>
      </c>
      <c r="P96" t="s">
        <v>74</v>
      </c>
      <c r="Q96" t="s">
        <v>74</v>
      </c>
      <c r="R96" t="s">
        <v>74</v>
      </c>
      <c r="S96" t="s">
        <v>74</v>
      </c>
      <c r="T96" t="s">
        <v>74</v>
      </c>
      <c r="U96" t="s">
        <v>2046</v>
      </c>
      <c r="V96" t="s">
        <v>2047</v>
      </c>
      <c r="W96" t="s">
        <v>2048</v>
      </c>
      <c r="X96" t="s">
        <v>2049</v>
      </c>
      <c r="Y96" t="s">
        <v>2050</v>
      </c>
      <c r="Z96" t="s">
        <v>2051</v>
      </c>
      <c r="AA96" t="s">
        <v>2052</v>
      </c>
      <c r="AB96" t="s">
        <v>2053</v>
      </c>
      <c r="AC96" t="s">
        <v>2054</v>
      </c>
      <c r="AD96" t="s">
        <v>2055</v>
      </c>
      <c r="AE96" t="s">
        <v>2056</v>
      </c>
      <c r="AF96" t="s">
        <v>74</v>
      </c>
      <c r="AG96">
        <v>53</v>
      </c>
      <c r="AH96">
        <v>9</v>
      </c>
      <c r="AI96">
        <v>10</v>
      </c>
      <c r="AJ96">
        <v>1</v>
      </c>
      <c r="AK96">
        <v>29</v>
      </c>
      <c r="AL96" t="s">
        <v>240</v>
      </c>
      <c r="AM96" t="s">
        <v>241</v>
      </c>
      <c r="AN96" t="s">
        <v>242</v>
      </c>
      <c r="AO96" t="s">
        <v>2057</v>
      </c>
      <c r="AP96" t="s">
        <v>2058</v>
      </c>
      <c r="AQ96" t="s">
        <v>74</v>
      </c>
      <c r="AR96" t="s">
        <v>2059</v>
      </c>
      <c r="AS96" t="s">
        <v>2060</v>
      </c>
      <c r="AT96" t="s">
        <v>2061</v>
      </c>
      <c r="AU96">
        <v>2011</v>
      </c>
      <c r="AV96">
        <v>25</v>
      </c>
      <c r="AW96" t="s">
        <v>74</v>
      </c>
      <c r="AX96" t="s">
        <v>74</v>
      </c>
      <c r="AY96" t="s">
        <v>74</v>
      </c>
      <c r="AZ96" t="s">
        <v>74</v>
      </c>
      <c r="BA96" t="s">
        <v>74</v>
      </c>
      <c r="BB96" t="s">
        <v>74</v>
      </c>
      <c r="BC96" t="s">
        <v>74</v>
      </c>
      <c r="BD96" t="s">
        <v>2062</v>
      </c>
      <c r="BE96" t="s">
        <v>2063</v>
      </c>
      <c r="BF96" t="str">
        <f>HYPERLINK("http://dx.doi.org/10.1029/2010GB003887","http://dx.doi.org/10.1029/2010GB003887")</f>
        <v>http://dx.doi.org/10.1029/2010GB003887</v>
      </c>
      <c r="BG96" t="s">
        <v>74</v>
      </c>
      <c r="BH96" t="s">
        <v>74</v>
      </c>
      <c r="BI96">
        <v>7</v>
      </c>
      <c r="BJ96" t="s">
        <v>2064</v>
      </c>
      <c r="BK96" t="s">
        <v>100</v>
      </c>
      <c r="BL96" t="s">
        <v>2065</v>
      </c>
      <c r="BM96" t="s">
        <v>2066</v>
      </c>
      <c r="BN96" t="s">
        <v>74</v>
      </c>
      <c r="BO96" t="s">
        <v>252</v>
      </c>
      <c r="BP96" t="s">
        <v>74</v>
      </c>
      <c r="BQ96" t="s">
        <v>74</v>
      </c>
      <c r="BR96" t="s">
        <v>103</v>
      </c>
      <c r="BS96" t="s">
        <v>2067</v>
      </c>
      <c r="BT96" t="str">
        <f>HYPERLINK("https%3A%2F%2Fwww.webofscience.com%2Fwos%2Fwoscc%2Ffull-record%2FWOS:000286057000001","View Full Record in Web of Science")</f>
        <v>View Full Record in Web of Science</v>
      </c>
    </row>
    <row r="97" spans="1:72" x14ac:dyDescent="0.15">
      <c r="A97" t="s">
        <v>72</v>
      </c>
      <c r="B97" t="s">
        <v>2068</v>
      </c>
      <c r="C97" t="s">
        <v>74</v>
      </c>
      <c r="D97" t="s">
        <v>74</v>
      </c>
      <c r="E97" t="s">
        <v>74</v>
      </c>
      <c r="F97" t="s">
        <v>2069</v>
      </c>
      <c r="G97" t="s">
        <v>74</v>
      </c>
      <c r="H97" t="s">
        <v>74</v>
      </c>
      <c r="I97" t="s">
        <v>2070</v>
      </c>
      <c r="J97" t="s">
        <v>2071</v>
      </c>
      <c r="K97" t="s">
        <v>74</v>
      </c>
      <c r="L97" t="s">
        <v>74</v>
      </c>
      <c r="M97" t="s">
        <v>78</v>
      </c>
      <c r="N97" t="s">
        <v>79</v>
      </c>
      <c r="O97" t="s">
        <v>74</v>
      </c>
      <c r="P97" t="s">
        <v>74</v>
      </c>
      <c r="Q97" t="s">
        <v>74</v>
      </c>
      <c r="R97" t="s">
        <v>74</v>
      </c>
      <c r="S97" t="s">
        <v>74</v>
      </c>
      <c r="T97" t="s">
        <v>2072</v>
      </c>
      <c r="U97" t="s">
        <v>2073</v>
      </c>
      <c r="V97" t="s">
        <v>2074</v>
      </c>
      <c r="W97" t="s">
        <v>2075</v>
      </c>
      <c r="X97" t="s">
        <v>2076</v>
      </c>
      <c r="Y97" t="s">
        <v>2077</v>
      </c>
      <c r="Z97" t="s">
        <v>2078</v>
      </c>
      <c r="AA97" t="s">
        <v>2079</v>
      </c>
      <c r="AB97" t="s">
        <v>2080</v>
      </c>
      <c r="AC97" t="s">
        <v>2081</v>
      </c>
      <c r="AD97" t="s">
        <v>2082</v>
      </c>
      <c r="AE97" t="s">
        <v>2083</v>
      </c>
      <c r="AF97" t="s">
        <v>74</v>
      </c>
      <c r="AG97">
        <v>77</v>
      </c>
      <c r="AH97">
        <v>31</v>
      </c>
      <c r="AI97">
        <v>35</v>
      </c>
      <c r="AJ97">
        <v>0</v>
      </c>
      <c r="AK97">
        <v>26</v>
      </c>
      <c r="AL97" t="s">
        <v>767</v>
      </c>
      <c r="AM97" t="s">
        <v>640</v>
      </c>
      <c r="AN97" t="s">
        <v>768</v>
      </c>
      <c r="AO97" t="s">
        <v>2084</v>
      </c>
      <c r="AP97" t="s">
        <v>2085</v>
      </c>
      <c r="AQ97" t="s">
        <v>74</v>
      </c>
      <c r="AR97" t="s">
        <v>2086</v>
      </c>
      <c r="AS97" t="s">
        <v>2087</v>
      </c>
      <c r="AT97" t="s">
        <v>2088</v>
      </c>
      <c r="AU97">
        <v>2011</v>
      </c>
      <c r="AV97">
        <v>280</v>
      </c>
      <c r="AW97" t="s">
        <v>2089</v>
      </c>
      <c r="AX97" t="s">
        <v>74</v>
      </c>
      <c r="AY97" t="s">
        <v>74</v>
      </c>
      <c r="AZ97" t="s">
        <v>74</v>
      </c>
      <c r="BA97" t="s">
        <v>74</v>
      </c>
      <c r="BB97">
        <v>115</v>
      </c>
      <c r="BC97">
        <v>125</v>
      </c>
      <c r="BD97" t="s">
        <v>74</v>
      </c>
      <c r="BE97" t="s">
        <v>2090</v>
      </c>
      <c r="BF97" t="str">
        <f>HYPERLINK("http://dx.doi.org/10.1016/j.chemgeo.2010.11.002","http://dx.doi.org/10.1016/j.chemgeo.2010.11.002")</f>
        <v>http://dx.doi.org/10.1016/j.chemgeo.2010.11.002</v>
      </c>
      <c r="BG97" t="s">
        <v>74</v>
      </c>
      <c r="BH97" t="s">
        <v>74</v>
      </c>
      <c r="BI97">
        <v>11</v>
      </c>
      <c r="BJ97" t="s">
        <v>774</v>
      </c>
      <c r="BK97" t="s">
        <v>100</v>
      </c>
      <c r="BL97" t="s">
        <v>774</v>
      </c>
      <c r="BM97" t="s">
        <v>2091</v>
      </c>
      <c r="BN97" t="s">
        <v>74</v>
      </c>
      <c r="BO97" t="s">
        <v>74</v>
      </c>
      <c r="BP97" t="s">
        <v>74</v>
      </c>
      <c r="BQ97" t="s">
        <v>74</v>
      </c>
      <c r="BR97" t="s">
        <v>103</v>
      </c>
      <c r="BS97" t="s">
        <v>2092</v>
      </c>
      <c r="BT97" t="str">
        <f>HYPERLINK("https%3A%2F%2Fwww.webofscience.com%2Fwos%2Fwoscc%2Ffull-record%2FWOS:000287016400011","View Full Record in Web of Science")</f>
        <v>View Full Record in Web of Science</v>
      </c>
    </row>
    <row r="98" spans="1:72" x14ac:dyDescent="0.15">
      <c r="A98" t="s">
        <v>72</v>
      </c>
      <c r="B98" t="s">
        <v>2093</v>
      </c>
      <c r="C98" t="s">
        <v>74</v>
      </c>
      <c r="D98" t="s">
        <v>74</v>
      </c>
      <c r="E98" t="s">
        <v>74</v>
      </c>
      <c r="F98" t="s">
        <v>2094</v>
      </c>
      <c r="G98" t="s">
        <v>74</v>
      </c>
      <c r="H98" t="s">
        <v>74</v>
      </c>
      <c r="I98" t="s">
        <v>2095</v>
      </c>
      <c r="J98" t="s">
        <v>2096</v>
      </c>
      <c r="K98" t="s">
        <v>74</v>
      </c>
      <c r="L98" t="s">
        <v>74</v>
      </c>
      <c r="M98" t="s">
        <v>78</v>
      </c>
      <c r="N98" t="s">
        <v>79</v>
      </c>
      <c r="O98" t="s">
        <v>74</v>
      </c>
      <c r="P98" t="s">
        <v>74</v>
      </c>
      <c r="Q98" t="s">
        <v>74</v>
      </c>
      <c r="R98" t="s">
        <v>74</v>
      </c>
      <c r="S98" t="s">
        <v>74</v>
      </c>
      <c r="T98" t="s">
        <v>74</v>
      </c>
      <c r="U98" t="s">
        <v>2097</v>
      </c>
      <c r="V98" t="s">
        <v>2098</v>
      </c>
      <c r="W98" t="s">
        <v>2099</v>
      </c>
      <c r="X98" t="s">
        <v>2100</v>
      </c>
      <c r="Y98" t="s">
        <v>2101</v>
      </c>
      <c r="Z98" t="s">
        <v>2102</v>
      </c>
      <c r="AA98" t="s">
        <v>74</v>
      </c>
      <c r="AB98" t="s">
        <v>2103</v>
      </c>
      <c r="AC98" t="s">
        <v>2104</v>
      </c>
      <c r="AD98" t="s">
        <v>2105</v>
      </c>
      <c r="AE98" t="s">
        <v>2106</v>
      </c>
      <c r="AF98" t="s">
        <v>74</v>
      </c>
      <c r="AG98">
        <v>16</v>
      </c>
      <c r="AH98">
        <v>5</v>
      </c>
      <c r="AI98">
        <v>5</v>
      </c>
      <c r="AJ98">
        <v>1</v>
      </c>
      <c r="AK98">
        <v>6</v>
      </c>
      <c r="AL98" t="s">
        <v>639</v>
      </c>
      <c r="AM98" t="s">
        <v>640</v>
      </c>
      <c r="AN98" t="s">
        <v>641</v>
      </c>
      <c r="AO98" t="s">
        <v>2107</v>
      </c>
      <c r="AP98" t="s">
        <v>2108</v>
      </c>
      <c r="AQ98" t="s">
        <v>74</v>
      </c>
      <c r="AR98" t="s">
        <v>2109</v>
      </c>
      <c r="AS98" t="s">
        <v>2110</v>
      </c>
      <c r="AT98" t="s">
        <v>2088</v>
      </c>
      <c r="AU98">
        <v>2011</v>
      </c>
      <c r="AV98">
        <v>501</v>
      </c>
      <c r="AW98" t="s">
        <v>2111</v>
      </c>
      <c r="AX98" t="s">
        <v>74</v>
      </c>
      <c r="AY98" t="s">
        <v>74</v>
      </c>
      <c r="AZ98" t="s">
        <v>74</v>
      </c>
      <c r="BA98" t="s">
        <v>74</v>
      </c>
      <c r="BB98">
        <v>517</v>
      </c>
      <c r="BC98">
        <v>522</v>
      </c>
      <c r="BD98" t="s">
        <v>74</v>
      </c>
      <c r="BE98" t="s">
        <v>2112</v>
      </c>
      <c r="BF98" t="str">
        <f>HYPERLINK("http://dx.doi.org/10.1016/j.cplett.2010.11.059","http://dx.doi.org/10.1016/j.cplett.2010.11.059")</f>
        <v>http://dx.doi.org/10.1016/j.cplett.2010.11.059</v>
      </c>
      <c r="BG98" t="s">
        <v>74</v>
      </c>
      <c r="BH98" t="s">
        <v>74</v>
      </c>
      <c r="BI98">
        <v>6</v>
      </c>
      <c r="BJ98" t="s">
        <v>2113</v>
      </c>
      <c r="BK98" t="s">
        <v>100</v>
      </c>
      <c r="BL98" t="s">
        <v>2114</v>
      </c>
      <c r="BM98" t="s">
        <v>2115</v>
      </c>
      <c r="BN98" t="s">
        <v>74</v>
      </c>
      <c r="BO98" t="s">
        <v>74</v>
      </c>
      <c r="BP98" t="s">
        <v>74</v>
      </c>
      <c r="BQ98" t="s">
        <v>74</v>
      </c>
      <c r="BR98" t="s">
        <v>103</v>
      </c>
      <c r="BS98" t="s">
        <v>2116</v>
      </c>
      <c r="BT98" t="str">
        <f>HYPERLINK("https%3A%2F%2Fwww.webofscience.com%2Fwos%2Fwoscc%2Ffull-record%2FWOS:000285829300071","View Full Record in Web of Science")</f>
        <v>View Full Record in Web of Science</v>
      </c>
    </row>
    <row r="99" spans="1:72" x14ac:dyDescent="0.15">
      <c r="A99" t="s">
        <v>72</v>
      </c>
      <c r="B99" t="s">
        <v>2117</v>
      </c>
      <c r="C99" t="s">
        <v>74</v>
      </c>
      <c r="D99" t="s">
        <v>74</v>
      </c>
      <c r="E99" t="s">
        <v>74</v>
      </c>
      <c r="F99" t="s">
        <v>2118</v>
      </c>
      <c r="G99" t="s">
        <v>74</v>
      </c>
      <c r="H99" t="s">
        <v>74</v>
      </c>
      <c r="I99" t="s">
        <v>2119</v>
      </c>
      <c r="J99" t="s">
        <v>2120</v>
      </c>
      <c r="K99" t="s">
        <v>74</v>
      </c>
      <c r="L99" t="s">
        <v>74</v>
      </c>
      <c r="M99" t="s">
        <v>78</v>
      </c>
      <c r="N99" t="s">
        <v>79</v>
      </c>
      <c r="O99" t="s">
        <v>74</v>
      </c>
      <c r="P99" t="s">
        <v>74</v>
      </c>
      <c r="Q99" t="s">
        <v>74</v>
      </c>
      <c r="R99" t="s">
        <v>74</v>
      </c>
      <c r="S99" t="s">
        <v>74</v>
      </c>
      <c r="T99" t="s">
        <v>2121</v>
      </c>
      <c r="U99" t="s">
        <v>2122</v>
      </c>
      <c r="V99" t="s">
        <v>2123</v>
      </c>
      <c r="W99" t="s">
        <v>2124</v>
      </c>
      <c r="X99" t="s">
        <v>2125</v>
      </c>
      <c r="Y99" t="s">
        <v>2126</v>
      </c>
      <c r="Z99" t="s">
        <v>2127</v>
      </c>
      <c r="AA99" t="s">
        <v>2128</v>
      </c>
      <c r="AB99" t="s">
        <v>2129</v>
      </c>
      <c r="AC99" t="s">
        <v>2130</v>
      </c>
      <c r="AD99" t="s">
        <v>2131</v>
      </c>
      <c r="AE99" t="s">
        <v>2132</v>
      </c>
      <c r="AF99" t="s">
        <v>74</v>
      </c>
      <c r="AG99">
        <v>35</v>
      </c>
      <c r="AH99">
        <v>87</v>
      </c>
      <c r="AI99">
        <v>109</v>
      </c>
      <c r="AJ99">
        <v>0</v>
      </c>
      <c r="AK99">
        <v>61</v>
      </c>
      <c r="AL99" t="s">
        <v>2133</v>
      </c>
      <c r="AM99" t="s">
        <v>913</v>
      </c>
      <c r="AN99" t="s">
        <v>2134</v>
      </c>
      <c r="AO99" t="s">
        <v>2135</v>
      </c>
      <c r="AP99" t="s">
        <v>74</v>
      </c>
      <c r="AQ99" t="s">
        <v>74</v>
      </c>
      <c r="AR99" t="s">
        <v>2136</v>
      </c>
      <c r="AS99" t="s">
        <v>2137</v>
      </c>
      <c r="AT99" t="s">
        <v>2088</v>
      </c>
      <c r="AU99">
        <v>2011</v>
      </c>
      <c r="AV99">
        <v>278</v>
      </c>
      <c r="AW99">
        <v>1702</v>
      </c>
      <c r="AX99" t="s">
        <v>74</v>
      </c>
      <c r="AY99" t="s">
        <v>74</v>
      </c>
      <c r="AZ99" t="s">
        <v>74</v>
      </c>
      <c r="BA99" t="s">
        <v>74</v>
      </c>
      <c r="BB99">
        <v>131</v>
      </c>
      <c r="BC99">
        <v>137</v>
      </c>
      <c r="BD99" t="s">
        <v>74</v>
      </c>
      <c r="BE99" t="s">
        <v>2138</v>
      </c>
      <c r="BF99" t="str">
        <f>HYPERLINK("http://dx.doi.org/10.1098/rspb.2010.1220","http://dx.doi.org/10.1098/rspb.2010.1220")</f>
        <v>http://dx.doi.org/10.1098/rspb.2010.1220</v>
      </c>
      <c r="BG99" t="s">
        <v>74</v>
      </c>
      <c r="BH99" t="s">
        <v>74</v>
      </c>
      <c r="BI99">
        <v>7</v>
      </c>
      <c r="BJ99" t="s">
        <v>2139</v>
      </c>
      <c r="BK99" t="s">
        <v>100</v>
      </c>
      <c r="BL99" t="s">
        <v>2140</v>
      </c>
      <c r="BM99" t="s">
        <v>2141</v>
      </c>
      <c r="BN99">
        <v>20659932</v>
      </c>
      <c r="BO99" t="s">
        <v>1744</v>
      </c>
      <c r="BP99" t="s">
        <v>74</v>
      </c>
      <c r="BQ99" t="s">
        <v>74</v>
      </c>
      <c r="BR99" t="s">
        <v>103</v>
      </c>
      <c r="BS99" t="s">
        <v>2142</v>
      </c>
      <c r="BT99" t="str">
        <f>HYPERLINK("https%3A%2F%2Fwww.webofscience.com%2Fwos%2Fwoscc%2Ffull-record%2FWOS:000284554800018","View Full Record in Web of Science")</f>
        <v>View Full Record in Web of Science</v>
      </c>
    </row>
    <row r="100" spans="1:72" x14ac:dyDescent="0.15">
      <c r="A100" t="s">
        <v>72</v>
      </c>
      <c r="B100" t="s">
        <v>2143</v>
      </c>
      <c r="C100" t="s">
        <v>74</v>
      </c>
      <c r="D100" t="s">
        <v>74</v>
      </c>
      <c r="E100" t="s">
        <v>74</v>
      </c>
      <c r="F100" t="s">
        <v>2144</v>
      </c>
      <c r="G100" t="s">
        <v>74</v>
      </c>
      <c r="H100" t="s">
        <v>74</v>
      </c>
      <c r="I100" t="s">
        <v>2145</v>
      </c>
      <c r="J100" t="s">
        <v>1649</v>
      </c>
      <c r="K100" t="s">
        <v>74</v>
      </c>
      <c r="L100" t="s">
        <v>74</v>
      </c>
      <c r="M100" t="s">
        <v>78</v>
      </c>
      <c r="N100" t="s">
        <v>79</v>
      </c>
      <c r="O100" t="s">
        <v>74</v>
      </c>
      <c r="P100" t="s">
        <v>74</v>
      </c>
      <c r="Q100" t="s">
        <v>74</v>
      </c>
      <c r="R100" t="s">
        <v>74</v>
      </c>
      <c r="S100" t="s">
        <v>74</v>
      </c>
      <c r="T100" t="s">
        <v>74</v>
      </c>
      <c r="U100" t="s">
        <v>2146</v>
      </c>
      <c r="V100" t="s">
        <v>2147</v>
      </c>
      <c r="W100" t="s">
        <v>2148</v>
      </c>
      <c r="X100" t="s">
        <v>2149</v>
      </c>
      <c r="Y100" t="s">
        <v>2150</v>
      </c>
      <c r="Z100" t="s">
        <v>2151</v>
      </c>
      <c r="AA100" t="s">
        <v>2152</v>
      </c>
      <c r="AB100" t="s">
        <v>2153</v>
      </c>
      <c r="AC100" t="s">
        <v>2154</v>
      </c>
      <c r="AD100" t="s">
        <v>2155</v>
      </c>
      <c r="AE100" t="s">
        <v>2156</v>
      </c>
      <c r="AF100" t="s">
        <v>74</v>
      </c>
      <c r="AG100">
        <v>127</v>
      </c>
      <c r="AH100">
        <v>66</v>
      </c>
      <c r="AI100">
        <v>73</v>
      </c>
      <c r="AJ100">
        <v>0</v>
      </c>
      <c r="AK100">
        <v>49</v>
      </c>
      <c r="AL100" t="s">
        <v>1661</v>
      </c>
      <c r="AM100" t="s">
        <v>1662</v>
      </c>
      <c r="AN100" t="s">
        <v>1760</v>
      </c>
      <c r="AO100" t="s">
        <v>1664</v>
      </c>
      <c r="AP100" t="s">
        <v>74</v>
      </c>
      <c r="AQ100" t="s">
        <v>74</v>
      </c>
      <c r="AR100" t="s">
        <v>1649</v>
      </c>
      <c r="AS100" t="s">
        <v>1665</v>
      </c>
      <c r="AT100" t="s">
        <v>2157</v>
      </c>
      <c r="AU100">
        <v>2011</v>
      </c>
      <c r="AV100">
        <v>6</v>
      </c>
      <c r="AW100">
        <v>1</v>
      </c>
      <c r="AX100" t="s">
        <v>74</v>
      </c>
      <c r="AY100" t="s">
        <v>74</v>
      </c>
      <c r="AZ100" t="s">
        <v>74</v>
      </c>
      <c r="BA100" t="s">
        <v>74</v>
      </c>
      <c r="BB100" t="s">
        <v>74</v>
      </c>
      <c r="BC100" t="s">
        <v>74</v>
      </c>
      <c r="BD100" t="s">
        <v>2158</v>
      </c>
      <c r="BE100" t="s">
        <v>2159</v>
      </c>
      <c r="BF100" t="str">
        <f>HYPERLINK("http://dx.doi.org/10.1371/journal.pone.0015919","http://dx.doi.org/10.1371/journal.pone.0015919")</f>
        <v>http://dx.doi.org/10.1371/journal.pone.0015919</v>
      </c>
      <c r="BG100" t="s">
        <v>74</v>
      </c>
      <c r="BH100" t="s">
        <v>74</v>
      </c>
      <c r="BI100">
        <v>17</v>
      </c>
      <c r="BJ100" t="s">
        <v>1669</v>
      </c>
      <c r="BK100" t="s">
        <v>100</v>
      </c>
      <c r="BL100" t="s">
        <v>1670</v>
      </c>
      <c r="BM100" t="s">
        <v>2160</v>
      </c>
      <c r="BN100">
        <v>21253607</v>
      </c>
      <c r="BO100" t="s">
        <v>2161</v>
      </c>
      <c r="BP100" t="s">
        <v>74</v>
      </c>
      <c r="BQ100" t="s">
        <v>74</v>
      </c>
      <c r="BR100" t="s">
        <v>103</v>
      </c>
      <c r="BS100" t="s">
        <v>2162</v>
      </c>
      <c r="BT100" t="str">
        <f>HYPERLINK("https%3A%2F%2Fwww.webofscience.com%2Fwos%2Fwoscc%2Ffull-record%2FWOS:000286511900023","View Full Record in Web of Science")</f>
        <v>View Full Record in Web of Science</v>
      </c>
    </row>
    <row r="101" spans="1:72" x14ac:dyDescent="0.15">
      <c r="A101" t="s">
        <v>72</v>
      </c>
      <c r="B101" t="s">
        <v>2163</v>
      </c>
      <c r="C101" t="s">
        <v>74</v>
      </c>
      <c r="D101" t="s">
        <v>74</v>
      </c>
      <c r="E101" t="s">
        <v>74</v>
      </c>
      <c r="F101" t="s">
        <v>2164</v>
      </c>
      <c r="G101" t="s">
        <v>74</v>
      </c>
      <c r="H101" t="s">
        <v>74</v>
      </c>
      <c r="I101" t="s">
        <v>2165</v>
      </c>
      <c r="J101" t="s">
        <v>1649</v>
      </c>
      <c r="K101" t="s">
        <v>74</v>
      </c>
      <c r="L101" t="s">
        <v>74</v>
      </c>
      <c r="M101" t="s">
        <v>78</v>
      </c>
      <c r="N101" t="s">
        <v>79</v>
      </c>
      <c r="O101" t="s">
        <v>74</v>
      </c>
      <c r="P101" t="s">
        <v>74</v>
      </c>
      <c r="Q101" t="s">
        <v>74</v>
      </c>
      <c r="R101" t="s">
        <v>74</v>
      </c>
      <c r="S101" t="s">
        <v>74</v>
      </c>
      <c r="T101" t="s">
        <v>74</v>
      </c>
      <c r="U101" t="s">
        <v>2166</v>
      </c>
      <c r="V101" t="s">
        <v>2167</v>
      </c>
      <c r="W101" t="s">
        <v>2168</v>
      </c>
      <c r="X101" t="s">
        <v>2169</v>
      </c>
      <c r="Y101" t="s">
        <v>2170</v>
      </c>
      <c r="Z101" t="s">
        <v>2171</v>
      </c>
      <c r="AA101" t="s">
        <v>2172</v>
      </c>
      <c r="AB101" t="s">
        <v>2173</v>
      </c>
      <c r="AC101" t="s">
        <v>2174</v>
      </c>
      <c r="AD101" t="s">
        <v>2175</v>
      </c>
      <c r="AE101" t="s">
        <v>2176</v>
      </c>
      <c r="AF101" t="s">
        <v>74</v>
      </c>
      <c r="AG101">
        <v>77</v>
      </c>
      <c r="AH101">
        <v>130</v>
      </c>
      <c r="AI101">
        <v>145</v>
      </c>
      <c r="AJ101">
        <v>1</v>
      </c>
      <c r="AK101">
        <v>73</v>
      </c>
      <c r="AL101" t="s">
        <v>1661</v>
      </c>
      <c r="AM101" t="s">
        <v>1662</v>
      </c>
      <c r="AN101" t="s">
        <v>1760</v>
      </c>
      <c r="AO101" t="s">
        <v>1664</v>
      </c>
      <c r="AP101" t="s">
        <v>74</v>
      </c>
      <c r="AQ101" t="s">
        <v>74</v>
      </c>
      <c r="AR101" t="s">
        <v>1649</v>
      </c>
      <c r="AS101" t="s">
        <v>1665</v>
      </c>
      <c r="AT101" t="s">
        <v>2177</v>
      </c>
      <c r="AU101">
        <v>2011</v>
      </c>
      <c r="AV101">
        <v>6</v>
      </c>
      <c r="AW101">
        <v>1</v>
      </c>
      <c r="AX101" t="s">
        <v>74</v>
      </c>
      <c r="AY101" t="s">
        <v>74</v>
      </c>
      <c r="AZ101" t="s">
        <v>74</v>
      </c>
      <c r="BA101" t="s">
        <v>74</v>
      </c>
      <c r="BB101" t="s">
        <v>74</v>
      </c>
      <c r="BC101" t="s">
        <v>74</v>
      </c>
      <c r="BD101" t="s">
        <v>2178</v>
      </c>
      <c r="BE101" t="s">
        <v>2179</v>
      </c>
      <c r="BF101" t="str">
        <f>HYPERLINK("http://dx.doi.org/10.1371/journal.pone.0016069","http://dx.doi.org/10.1371/journal.pone.0016069")</f>
        <v>http://dx.doi.org/10.1371/journal.pone.0016069</v>
      </c>
      <c r="BG101" t="s">
        <v>74</v>
      </c>
      <c r="BH101" t="s">
        <v>74</v>
      </c>
      <c r="BI101">
        <v>11</v>
      </c>
      <c r="BJ101" t="s">
        <v>1669</v>
      </c>
      <c r="BK101" t="s">
        <v>100</v>
      </c>
      <c r="BL101" t="s">
        <v>1670</v>
      </c>
      <c r="BM101" t="s">
        <v>2180</v>
      </c>
      <c r="BN101">
        <v>21245932</v>
      </c>
      <c r="BO101" t="s">
        <v>2181</v>
      </c>
      <c r="BP101" t="s">
        <v>74</v>
      </c>
      <c r="BQ101" t="s">
        <v>74</v>
      </c>
      <c r="BR101" t="s">
        <v>103</v>
      </c>
      <c r="BS101" t="s">
        <v>2182</v>
      </c>
      <c r="BT101" t="str">
        <f>HYPERLINK("https%3A%2F%2Fwww.webofscience.com%2Fwos%2Fwoscc%2Ffull-record%2FWOS:000286511200033","View Full Record in Web of Science")</f>
        <v>View Full Record in Web of Science</v>
      </c>
    </row>
    <row r="102" spans="1:72" x14ac:dyDescent="0.15">
      <c r="A102" t="s">
        <v>72</v>
      </c>
      <c r="B102" t="s">
        <v>2183</v>
      </c>
      <c r="C102" t="s">
        <v>74</v>
      </c>
      <c r="D102" t="s">
        <v>74</v>
      </c>
      <c r="E102" t="s">
        <v>74</v>
      </c>
      <c r="F102" t="s">
        <v>2184</v>
      </c>
      <c r="G102" t="s">
        <v>74</v>
      </c>
      <c r="H102" t="s">
        <v>74</v>
      </c>
      <c r="I102" t="s">
        <v>2185</v>
      </c>
      <c r="J102" t="s">
        <v>2186</v>
      </c>
      <c r="K102" t="s">
        <v>74</v>
      </c>
      <c r="L102" t="s">
        <v>74</v>
      </c>
      <c r="M102" t="s">
        <v>78</v>
      </c>
      <c r="N102" t="s">
        <v>79</v>
      </c>
      <c r="O102" t="s">
        <v>74</v>
      </c>
      <c r="P102" t="s">
        <v>74</v>
      </c>
      <c r="Q102" t="s">
        <v>74</v>
      </c>
      <c r="R102" t="s">
        <v>74</v>
      </c>
      <c r="S102" t="s">
        <v>74</v>
      </c>
      <c r="T102" t="s">
        <v>2187</v>
      </c>
      <c r="U102" t="s">
        <v>2188</v>
      </c>
      <c r="V102" t="s">
        <v>2189</v>
      </c>
      <c r="W102" t="s">
        <v>2190</v>
      </c>
      <c r="X102" t="s">
        <v>2191</v>
      </c>
      <c r="Y102" t="s">
        <v>2192</v>
      </c>
      <c r="Z102" t="s">
        <v>2193</v>
      </c>
      <c r="AA102" t="s">
        <v>74</v>
      </c>
      <c r="AB102" t="s">
        <v>74</v>
      </c>
      <c r="AC102" t="s">
        <v>74</v>
      </c>
      <c r="AD102" t="s">
        <v>74</v>
      </c>
      <c r="AE102" t="s">
        <v>74</v>
      </c>
      <c r="AF102" t="s">
        <v>74</v>
      </c>
      <c r="AG102">
        <v>13</v>
      </c>
      <c r="AH102">
        <v>1</v>
      </c>
      <c r="AI102">
        <v>2</v>
      </c>
      <c r="AJ102">
        <v>0</v>
      </c>
      <c r="AK102">
        <v>7</v>
      </c>
      <c r="AL102" t="s">
        <v>1457</v>
      </c>
      <c r="AM102" t="s">
        <v>719</v>
      </c>
      <c r="AN102" t="s">
        <v>1458</v>
      </c>
      <c r="AO102" t="s">
        <v>2194</v>
      </c>
      <c r="AP102" t="s">
        <v>74</v>
      </c>
      <c r="AQ102" t="s">
        <v>74</v>
      </c>
      <c r="AR102" t="s">
        <v>2195</v>
      </c>
      <c r="AS102" t="s">
        <v>2196</v>
      </c>
      <c r="AT102" t="s">
        <v>2197</v>
      </c>
      <c r="AU102">
        <v>2011</v>
      </c>
      <c r="AV102">
        <v>47</v>
      </c>
      <c r="AW102">
        <v>1</v>
      </c>
      <c r="AX102" t="s">
        <v>74</v>
      </c>
      <c r="AY102" t="s">
        <v>74</v>
      </c>
      <c r="AZ102" t="s">
        <v>74</v>
      </c>
      <c r="BA102" t="s">
        <v>74</v>
      </c>
      <c r="BB102">
        <v>86</v>
      </c>
      <c r="BC102">
        <v>93</v>
      </c>
      <c r="BD102" t="s">
        <v>74</v>
      </c>
      <c r="BE102" t="s">
        <v>2198</v>
      </c>
      <c r="BF102" t="str">
        <f>HYPERLINK("http://dx.doi.org/10.1016/j.asr.2010.08.034","http://dx.doi.org/10.1016/j.asr.2010.08.034")</f>
        <v>http://dx.doi.org/10.1016/j.asr.2010.08.034</v>
      </c>
      <c r="BG102" t="s">
        <v>74</v>
      </c>
      <c r="BH102" t="s">
        <v>74</v>
      </c>
      <c r="BI102">
        <v>8</v>
      </c>
      <c r="BJ102" t="s">
        <v>2199</v>
      </c>
      <c r="BK102" t="s">
        <v>100</v>
      </c>
      <c r="BL102" t="s">
        <v>2200</v>
      </c>
      <c r="BM102" t="s">
        <v>2201</v>
      </c>
      <c r="BN102" t="s">
        <v>74</v>
      </c>
      <c r="BO102" t="s">
        <v>74</v>
      </c>
      <c r="BP102" t="s">
        <v>74</v>
      </c>
      <c r="BQ102" t="s">
        <v>74</v>
      </c>
      <c r="BR102" t="s">
        <v>103</v>
      </c>
      <c r="BS102" t="s">
        <v>2202</v>
      </c>
      <c r="BT102" t="str">
        <f>HYPERLINK("https%3A%2F%2Fwww.webofscience.com%2Fwos%2Fwoscc%2Ffull-record%2FWOS:000287104500009","View Full Record in Web of Science")</f>
        <v>View Full Record in Web of Science</v>
      </c>
    </row>
    <row r="103" spans="1:72" x14ac:dyDescent="0.15">
      <c r="A103" t="s">
        <v>72</v>
      </c>
      <c r="B103" t="s">
        <v>2203</v>
      </c>
      <c r="C103" t="s">
        <v>74</v>
      </c>
      <c r="D103" t="s">
        <v>74</v>
      </c>
      <c r="E103" t="s">
        <v>74</v>
      </c>
      <c r="F103" t="s">
        <v>2204</v>
      </c>
      <c r="G103" t="s">
        <v>74</v>
      </c>
      <c r="H103" t="s">
        <v>74</v>
      </c>
      <c r="I103" t="s">
        <v>2205</v>
      </c>
      <c r="J103" t="s">
        <v>2186</v>
      </c>
      <c r="K103" t="s">
        <v>74</v>
      </c>
      <c r="L103" t="s">
        <v>74</v>
      </c>
      <c r="M103" t="s">
        <v>78</v>
      </c>
      <c r="N103" t="s">
        <v>79</v>
      </c>
      <c r="O103" t="s">
        <v>74</v>
      </c>
      <c r="P103" t="s">
        <v>74</v>
      </c>
      <c r="Q103" t="s">
        <v>74</v>
      </c>
      <c r="R103" t="s">
        <v>74</v>
      </c>
      <c r="S103" t="s">
        <v>74</v>
      </c>
      <c r="T103" t="s">
        <v>2206</v>
      </c>
      <c r="U103" t="s">
        <v>2207</v>
      </c>
      <c r="V103" t="s">
        <v>2208</v>
      </c>
      <c r="W103" t="s">
        <v>2209</v>
      </c>
      <c r="X103" t="s">
        <v>2210</v>
      </c>
      <c r="Y103" t="s">
        <v>2211</v>
      </c>
      <c r="Z103" t="s">
        <v>2212</v>
      </c>
      <c r="AA103" t="s">
        <v>2213</v>
      </c>
      <c r="AB103" t="s">
        <v>74</v>
      </c>
      <c r="AC103" t="s">
        <v>74</v>
      </c>
      <c r="AD103" t="s">
        <v>74</v>
      </c>
      <c r="AE103" t="s">
        <v>74</v>
      </c>
      <c r="AF103" t="s">
        <v>74</v>
      </c>
      <c r="AG103">
        <v>20</v>
      </c>
      <c r="AH103">
        <v>0</v>
      </c>
      <c r="AI103">
        <v>1</v>
      </c>
      <c r="AJ103">
        <v>0</v>
      </c>
      <c r="AK103">
        <v>6</v>
      </c>
      <c r="AL103" t="s">
        <v>1457</v>
      </c>
      <c r="AM103" t="s">
        <v>719</v>
      </c>
      <c r="AN103" t="s">
        <v>1458</v>
      </c>
      <c r="AO103" t="s">
        <v>2194</v>
      </c>
      <c r="AP103" t="s">
        <v>2214</v>
      </c>
      <c r="AQ103" t="s">
        <v>74</v>
      </c>
      <c r="AR103" t="s">
        <v>2195</v>
      </c>
      <c r="AS103" t="s">
        <v>2196</v>
      </c>
      <c r="AT103" t="s">
        <v>2197</v>
      </c>
      <c r="AU103">
        <v>2011</v>
      </c>
      <c r="AV103">
        <v>47</v>
      </c>
      <c r="AW103">
        <v>1</v>
      </c>
      <c r="AX103" t="s">
        <v>74</v>
      </c>
      <c r="AY103" t="s">
        <v>74</v>
      </c>
      <c r="AZ103" t="s">
        <v>74</v>
      </c>
      <c r="BA103" t="s">
        <v>74</v>
      </c>
      <c r="BB103">
        <v>105</v>
      </c>
      <c r="BC103">
        <v>114</v>
      </c>
      <c r="BD103" t="s">
        <v>74</v>
      </c>
      <c r="BE103" t="s">
        <v>2215</v>
      </c>
      <c r="BF103" t="str">
        <f>HYPERLINK("http://dx.doi.org/10.1016/j.asr.2010.08.013","http://dx.doi.org/10.1016/j.asr.2010.08.013")</f>
        <v>http://dx.doi.org/10.1016/j.asr.2010.08.013</v>
      </c>
      <c r="BG103" t="s">
        <v>74</v>
      </c>
      <c r="BH103" t="s">
        <v>74</v>
      </c>
      <c r="BI103">
        <v>10</v>
      </c>
      <c r="BJ103" t="s">
        <v>2199</v>
      </c>
      <c r="BK103" t="s">
        <v>100</v>
      </c>
      <c r="BL103" t="s">
        <v>2200</v>
      </c>
      <c r="BM103" t="s">
        <v>2201</v>
      </c>
      <c r="BN103" t="s">
        <v>74</v>
      </c>
      <c r="BO103" t="s">
        <v>74</v>
      </c>
      <c r="BP103" t="s">
        <v>74</v>
      </c>
      <c r="BQ103" t="s">
        <v>74</v>
      </c>
      <c r="BR103" t="s">
        <v>103</v>
      </c>
      <c r="BS103" t="s">
        <v>2216</v>
      </c>
      <c r="BT103" t="str">
        <f>HYPERLINK("https%3A%2F%2Fwww.webofscience.com%2Fwos%2Fwoscc%2Ffull-record%2FWOS:000287104500011","View Full Record in Web of Science")</f>
        <v>View Full Record in Web of Science</v>
      </c>
    </row>
    <row r="104" spans="1:72" x14ac:dyDescent="0.15">
      <c r="A104" t="s">
        <v>72</v>
      </c>
      <c r="B104" t="s">
        <v>2217</v>
      </c>
      <c r="C104" t="s">
        <v>74</v>
      </c>
      <c r="D104" t="s">
        <v>74</v>
      </c>
      <c r="E104" t="s">
        <v>74</v>
      </c>
      <c r="F104" t="s">
        <v>2218</v>
      </c>
      <c r="G104" t="s">
        <v>74</v>
      </c>
      <c r="H104" t="s">
        <v>74</v>
      </c>
      <c r="I104" t="s">
        <v>2219</v>
      </c>
      <c r="J104" t="s">
        <v>754</v>
      </c>
      <c r="K104" t="s">
        <v>74</v>
      </c>
      <c r="L104" t="s">
        <v>74</v>
      </c>
      <c r="M104" t="s">
        <v>78</v>
      </c>
      <c r="N104" t="s">
        <v>79</v>
      </c>
      <c r="O104" t="s">
        <v>74</v>
      </c>
      <c r="P104" t="s">
        <v>74</v>
      </c>
      <c r="Q104" t="s">
        <v>74</v>
      </c>
      <c r="R104" t="s">
        <v>74</v>
      </c>
      <c r="S104" t="s">
        <v>74</v>
      </c>
      <c r="T104" t="s">
        <v>2220</v>
      </c>
      <c r="U104" t="s">
        <v>2221</v>
      </c>
      <c r="V104" t="s">
        <v>2222</v>
      </c>
      <c r="W104" t="s">
        <v>2223</v>
      </c>
      <c r="X104" t="s">
        <v>2224</v>
      </c>
      <c r="Y104" t="s">
        <v>2225</v>
      </c>
      <c r="Z104" t="s">
        <v>2226</v>
      </c>
      <c r="AA104" t="s">
        <v>2227</v>
      </c>
      <c r="AB104" t="s">
        <v>2228</v>
      </c>
      <c r="AC104" t="s">
        <v>2229</v>
      </c>
      <c r="AD104" t="s">
        <v>2230</v>
      </c>
      <c r="AE104" t="s">
        <v>2231</v>
      </c>
      <c r="AF104" t="s">
        <v>74</v>
      </c>
      <c r="AG104">
        <v>60</v>
      </c>
      <c r="AH104">
        <v>38</v>
      </c>
      <c r="AI104">
        <v>47</v>
      </c>
      <c r="AJ104">
        <v>2</v>
      </c>
      <c r="AK104">
        <v>40</v>
      </c>
      <c r="AL104" t="s">
        <v>767</v>
      </c>
      <c r="AM104" t="s">
        <v>640</v>
      </c>
      <c r="AN104" t="s">
        <v>768</v>
      </c>
      <c r="AO104" t="s">
        <v>769</v>
      </c>
      <c r="AP104" t="s">
        <v>770</v>
      </c>
      <c r="AQ104" t="s">
        <v>74</v>
      </c>
      <c r="AR104" t="s">
        <v>771</v>
      </c>
      <c r="AS104" t="s">
        <v>772</v>
      </c>
      <c r="AT104" t="s">
        <v>2232</v>
      </c>
      <c r="AU104">
        <v>2011</v>
      </c>
      <c r="AV104">
        <v>301</v>
      </c>
      <c r="AW104" t="s">
        <v>2089</v>
      </c>
      <c r="AX104" t="s">
        <v>74</v>
      </c>
      <c r="AY104" t="s">
        <v>74</v>
      </c>
      <c r="AZ104" t="s">
        <v>74</v>
      </c>
      <c r="BA104" t="s">
        <v>74</v>
      </c>
      <c r="BB104">
        <v>117</v>
      </c>
      <c r="BC104">
        <v>124</v>
      </c>
      <c r="BD104" t="s">
        <v>74</v>
      </c>
      <c r="BE104" t="s">
        <v>2233</v>
      </c>
      <c r="BF104" t="str">
        <f>HYPERLINK("http://dx.doi.org/10.1016/j.epsl.2010.10.028","http://dx.doi.org/10.1016/j.epsl.2010.10.028")</f>
        <v>http://dx.doi.org/10.1016/j.epsl.2010.10.028</v>
      </c>
      <c r="BG104" t="s">
        <v>74</v>
      </c>
      <c r="BH104" t="s">
        <v>74</v>
      </c>
      <c r="BI104">
        <v>8</v>
      </c>
      <c r="BJ104" t="s">
        <v>774</v>
      </c>
      <c r="BK104" t="s">
        <v>100</v>
      </c>
      <c r="BL104" t="s">
        <v>774</v>
      </c>
      <c r="BM104" t="s">
        <v>2234</v>
      </c>
      <c r="BN104" t="s">
        <v>74</v>
      </c>
      <c r="BO104" t="s">
        <v>74</v>
      </c>
      <c r="BP104" t="s">
        <v>74</v>
      </c>
      <c r="BQ104" t="s">
        <v>74</v>
      </c>
      <c r="BR104" t="s">
        <v>103</v>
      </c>
      <c r="BS104" t="s">
        <v>2235</v>
      </c>
      <c r="BT104" t="str">
        <f>HYPERLINK("https%3A%2F%2Fwww.webofscience.com%2Fwos%2Fwoscc%2Ffull-record%2FWOS:000286640400012","View Full Record in Web of Science")</f>
        <v>View Full Record in Web of Science</v>
      </c>
    </row>
    <row r="105" spans="1:72" x14ac:dyDescent="0.15">
      <c r="A105" t="s">
        <v>72</v>
      </c>
      <c r="B105" t="s">
        <v>2236</v>
      </c>
      <c r="C105" t="s">
        <v>74</v>
      </c>
      <c r="D105" t="s">
        <v>74</v>
      </c>
      <c r="E105" t="s">
        <v>74</v>
      </c>
      <c r="F105" t="s">
        <v>2237</v>
      </c>
      <c r="G105" t="s">
        <v>74</v>
      </c>
      <c r="H105" t="s">
        <v>74</v>
      </c>
      <c r="I105" t="s">
        <v>2238</v>
      </c>
      <c r="J105" t="s">
        <v>754</v>
      </c>
      <c r="K105" t="s">
        <v>74</v>
      </c>
      <c r="L105" t="s">
        <v>74</v>
      </c>
      <c r="M105" t="s">
        <v>78</v>
      </c>
      <c r="N105" t="s">
        <v>79</v>
      </c>
      <c r="O105" t="s">
        <v>74</v>
      </c>
      <c r="P105" t="s">
        <v>74</v>
      </c>
      <c r="Q105" t="s">
        <v>74</v>
      </c>
      <c r="R105" t="s">
        <v>74</v>
      </c>
      <c r="S105" t="s">
        <v>74</v>
      </c>
      <c r="T105" t="s">
        <v>2239</v>
      </c>
      <c r="U105" t="s">
        <v>2240</v>
      </c>
      <c r="V105" t="s">
        <v>2241</v>
      </c>
      <c r="W105" t="s">
        <v>2242</v>
      </c>
      <c r="X105" t="s">
        <v>2243</v>
      </c>
      <c r="Y105" t="s">
        <v>2244</v>
      </c>
      <c r="Z105" t="s">
        <v>2245</v>
      </c>
      <c r="AA105" t="s">
        <v>2246</v>
      </c>
      <c r="AB105" t="s">
        <v>2247</v>
      </c>
      <c r="AC105" t="s">
        <v>2248</v>
      </c>
      <c r="AD105" t="s">
        <v>2249</v>
      </c>
      <c r="AE105" t="s">
        <v>2250</v>
      </c>
      <c r="AF105" t="s">
        <v>74</v>
      </c>
      <c r="AG105">
        <v>48</v>
      </c>
      <c r="AH105">
        <v>57</v>
      </c>
      <c r="AI105">
        <v>69</v>
      </c>
      <c r="AJ105">
        <v>0</v>
      </c>
      <c r="AK105">
        <v>71</v>
      </c>
      <c r="AL105" t="s">
        <v>639</v>
      </c>
      <c r="AM105" t="s">
        <v>640</v>
      </c>
      <c r="AN105" t="s">
        <v>641</v>
      </c>
      <c r="AO105" t="s">
        <v>769</v>
      </c>
      <c r="AP105" t="s">
        <v>74</v>
      </c>
      <c r="AQ105" t="s">
        <v>74</v>
      </c>
      <c r="AR105" t="s">
        <v>771</v>
      </c>
      <c r="AS105" t="s">
        <v>772</v>
      </c>
      <c r="AT105" t="s">
        <v>2232</v>
      </c>
      <c r="AU105">
        <v>2011</v>
      </c>
      <c r="AV105">
        <v>301</v>
      </c>
      <c r="AW105" t="s">
        <v>2089</v>
      </c>
      <c r="AX105" t="s">
        <v>74</v>
      </c>
      <c r="AY105" t="s">
        <v>74</v>
      </c>
      <c r="AZ105" t="s">
        <v>74</v>
      </c>
      <c r="BA105" t="s">
        <v>74</v>
      </c>
      <c r="BB105">
        <v>137</v>
      </c>
      <c r="BC105">
        <v>145</v>
      </c>
      <c r="BD105" t="s">
        <v>74</v>
      </c>
      <c r="BE105" t="s">
        <v>2251</v>
      </c>
      <c r="BF105" t="str">
        <f>HYPERLINK("http://dx.doi.org/10.1016/j.epsl.2010.10.032","http://dx.doi.org/10.1016/j.epsl.2010.10.032")</f>
        <v>http://dx.doi.org/10.1016/j.epsl.2010.10.032</v>
      </c>
      <c r="BG105" t="s">
        <v>74</v>
      </c>
      <c r="BH105" t="s">
        <v>74</v>
      </c>
      <c r="BI105">
        <v>9</v>
      </c>
      <c r="BJ105" t="s">
        <v>774</v>
      </c>
      <c r="BK105" t="s">
        <v>100</v>
      </c>
      <c r="BL105" t="s">
        <v>774</v>
      </c>
      <c r="BM105" t="s">
        <v>2234</v>
      </c>
      <c r="BN105" t="s">
        <v>74</v>
      </c>
      <c r="BO105" t="s">
        <v>74</v>
      </c>
      <c r="BP105" t="s">
        <v>74</v>
      </c>
      <c r="BQ105" t="s">
        <v>74</v>
      </c>
      <c r="BR105" t="s">
        <v>103</v>
      </c>
      <c r="BS105" t="s">
        <v>2252</v>
      </c>
      <c r="BT105" t="str">
        <f>HYPERLINK("https%3A%2F%2Fwww.webofscience.com%2Fwos%2Fwoscc%2Ffull-record%2FWOS:000286640400014","View Full Record in Web of Science")</f>
        <v>View Full Record in Web of Science</v>
      </c>
    </row>
    <row r="106" spans="1:72" x14ac:dyDescent="0.15">
      <c r="A106" t="s">
        <v>72</v>
      </c>
      <c r="B106" t="s">
        <v>2253</v>
      </c>
      <c r="C106" t="s">
        <v>74</v>
      </c>
      <c r="D106" t="s">
        <v>74</v>
      </c>
      <c r="E106" t="s">
        <v>74</v>
      </c>
      <c r="F106" t="s">
        <v>2254</v>
      </c>
      <c r="G106" t="s">
        <v>74</v>
      </c>
      <c r="H106" t="s">
        <v>74</v>
      </c>
      <c r="I106" t="s">
        <v>2255</v>
      </c>
      <c r="J106" t="s">
        <v>754</v>
      </c>
      <c r="K106" t="s">
        <v>74</v>
      </c>
      <c r="L106" t="s">
        <v>74</v>
      </c>
      <c r="M106" t="s">
        <v>78</v>
      </c>
      <c r="N106" t="s">
        <v>79</v>
      </c>
      <c r="O106" t="s">
        <v>74</v>
      </c>
      <c r="P106" t="s">
        <v>74</v>
      </c>
      <c r="Q106" t="s">
        <v>74</v>
      </c>
      <c r="R106" t="s">
        <v>74</v>
      </c>
      <c r="S106" t="s">
        <v>74</v>
      </c>
      <c r="T106" t="s">
        <v>2256</v>
      </c>
      <c r="U106" t="s">
        <v>2257</v>
      </c>
      <c r="V106" t="s">
        <v>2258</v>
      </c>
      <c r="W106" t="s">
        <v>2259</v>
      </c>
      <c r="X106" t="s">
        <v>2260</v>
      </c>
      <c r="Y106" t="s">
        <v>2261</v>
      </c>
      <c r="Z106" t="s">
        <v>2262</v>
      </c>
      <c r="AA106" t="s">
        <v>74</v>
      </c>
      <c r="AB106" t="s">
        <v>74</v>
      </c>
      <c r="AC106" t="s">
        <v>2263</v>
      </c>
      <c r="AD106" t="s">
        <v>2264</v>
      </c>
      <c r="AE106" t="s">
        <v>2265</v>
      </c>
      <c r="AF106" t="s">
        <v>74</v>
      </c>
      <c r="AG106">
        <v>77</v>
      </c>
      <c r="AH106">
        <v>111</v>
      </c>
      <c r="AI106">
        <v>121</v>
      </c>
      <c r="AJ106">
        <v>1</v>
      </c>
      <c r="AK106">
        <v>65</v>
      </c>
      <c r="AL106" t="s">
        <v>639</v>
      </c>
      <c r="AM106" t="s">
        <v>640</v>
      </c>
      <c r="AN106" t="s">
        <v>641</v>
      </c>
      <c r="AO106" t="s">
        <v>769</v>
      </c>
      <c r="AP106" t="s">
        <v>74</v>
      </c>
      <c r="AQ106" t="s">
        <v>74</v>
      </c>
      <c r="AR106" t="s">
        <v>771</v>
      </c>
      <c r="AS106" t="s">
        <v>772</v>
      </c>
      <c r="AT106" t="s">
        <v>2232</v>
      </c>
      <c r="AU106">
        <v>2011</v>
      </c>
      <c r="AV106">
        <v>301</v>
      </c>
      <c r="AW106" t="s">
        <v>2089</v>
      </c>
      <c r="AX106" t="s">
        <v>74</v>
      </c>
      <c r="AY106" t="s">
        <v>74</v>
      </c>
      <c r="AZ106" t="s">
        <v>74</v>
      </c>
      <c r="BA106" t="s">
        <v>74</v>
      </c>
      <c r="BB106">
        <v>275</v>
      </c>
      <c r="BC106">
        <v>284</v>
      </c>
      <c r="BD106" t="s">
        <v>74</v>
      </c>
      <c r="BE106" t="s">
        <v>2266</v>
      </c>
      <c r="BF106" t="str">
        <f>HYPERLINK("http://dx.doi.org/10.1016/j.epsl.2010.11.008","http://dx.doi.org/10.1016/j.epsl.2010.11.008")</f>
        <v>http://dx.doi.org/10.1016/j.epsl.2010.11.008</v>
      </c>
      <c r="BG106" t="s">
        <v>74</v>
      </c>
      <c r="BH106" t="s">
        <v>74</v>
      </c>
      <c r="BI106">
        <v>10</v>
      </c>
      <c r="BJ106" t="s">
        <v>774</v>
      </c>
      <c r="BK106" t="s">
        <v>100</v>
      </c>
      <c r="BL106" t="s">
        <v>774</v>
      </c>
      <c r="BM106" t="s">
        <v>2234</v>
      </c>
      <c r="BN106" t="s">
        <v>74</v>
      </c>
      <c r="BO106" t="s">
        <v>74</v>
      </c>
      <c r="BP106" t="s">
        <v>74</v>
      </c>
      <c r="BQ106" t="s">
        <v>74</v>
      </c>
      <c r="BR106" t="s">
        <v>103</v>
      </c>
      <c r="BS106" t="s">
        <v>2267</v>
      </c>
      <c r="BT106" t="str">
        <f>HYPERLINK("https%3A%2F%2Fwww.webofscience.com%2Fwos%2Fwoscc%2Ffull-record%2FWOS:000286640400028","View Full Record in Web of Science")</f>
        <v>View Full Record in Web of Science</v>
      </c>
    </row>
    <row r="107" spans="1:72" x14ac:dyDescent="0.15">
      <c r="A107" t="s">
        <v>2268</v>
      </c>
      <c r="B107" t="s">
        <v>2269</v>
      </c>
      <c r="C107" t="s">
        <v>74</v>
      </c>
      <c r="D107" t="s">
        <v>2270</v>
      </c>
      <c r="E107" t="s">
        <v>74</v>
      </c>
      <c r="F107" t="s">
        <v>2271</v>
      </c>
      <c r="G107" t="s">
        <v>74</v>
      </c>
      <c r="H107" t="s">
        <v>74</v>
      </c>
      <c r="I107" t="s">
        <v>2272</v>
      </c>
      <c r="J107" t="s">
        <v>2273</v>
      </c>
      <c r="K107" t="s">
        <v>2274</v>
      </c>
      <c r="L107" t="s">
        <v>74</v>
      </c>
      <c r="M107" t="s">
        <v>78</v>
      </c>
      <c r="N107" t="s">
        <v>2275</v>
      </c>
      <c r="O107" t="s">
        <v>2276</v>
      </c>
      <c r="P107" t="s">
        <v>2277</v>
      </c>
      <c r="Q107" t="s">
        <v>2278</v>
      </c>
      <c r="R107" t="s">
        <v>74</v>
      </c>
      <c r="S107" t="s">
        <v>2279</v>
      </c>
      <c r="T107" t="s">
        <v>74</v>
      </c>
      <c r="U107" t="s">
        <v>74</v>
      </c>
      <c r="V107" t="s">
        <v>2280</v>
      </c>
      <c r="W107" t="s">
        <v>2281</v>
      </c>
      <c r="X107" t="s">
        <v>2282</v>
      </c>
      <c r="Y107" t="s">
        <v>2283</v>
      </c>
      <c r="Z107" t="s">
        <v>2284</v>
      </c>
      <c r="AA107" t="s">
        <v>74</v>
      </c>
      <c r="AB107" t="s">
        <v>74</v>
      </c>
      <c r="AC107" t="s">
        <v>74</v>
      </c>
      <c r="AD107" t="s">
        <v>74</v>
      </c>
      <c r="AE107" t="s">
        <v>74</v>
      </c>
      <c r="AF107" t="s">
        <v>74</v>
      </c>
      <c r="AG107">
        <v>11</v>
      </c>
      <c r="AH107">
        <v>4</v>
      </c>
      <c r="AI107">
        <v>4</v>
      </c>
      <c r="AJ107">
        <v>0</v>
      </c>
      <c r="AK107">
        <v>0</v>
      </c>
      <c r="AL107" t="s">
        <v>2285</v>
      </c>
      <c r="AM107" t="s">
        <v>2286</v>
      </c>
      <c r="AN107" t="s">
        <v>2287</v>
      </c>
      <c r="AO107" t="s">
        <v>74</v>
      </c>
      <c r="AP107" t="s">
        <v>74</v>
      </c>
      <c r="AQ107" t="s">
        <v>2288</v>
      </c>
      <c r="AR107" t="s">
        <v>2289</v>
      </c>
      <c r="AS107" t="s">
        <v>2290</v>
      </c>
      <c r="AT107" t="s">
        <v>74</v>
      </c>
      <c r="AU107">
        <v>2011</v>
      </c>
      <c r="AV107">
        <v>16</v>
      </c>
      <c r="AW107" t="s">
        <v>74</v>
      </c>
      <c r="AX107" t="s">
        <v>74</v>
      </c>
      <c r="AY107" t="s">
        <v>74</v>
      </c>
      <c r="AZ107" t="s">
        <v>74</v>
      </c>
      <c r="BA107" t="s">
        <v>74</v>
      </c>
      <c r="BB107">
        <v>115</v>
      </c>
      <c r="BC107">
        <v>130</v>
      </c>
      <c r="BD107" t="s">
        <v>74</v>
      </c>
      <c r="BE107" t="s">
        <v>74</v>
      </c>
      <c r="BF107" t="s">
        <v>74</v>
      </c>
      <c r="BG107" t="s">
        <v>74</v>
      </c>
      <c r="BH107" t="s">
        <v>74</v>
      </c>
      <c r="BI107">
        <v>16</v>
      </c>
      <c r="BJ107" t="s">
        <v>2291</v>
      </c>
      <c r="BK107" t="s">
        <v>2292</v>
      </c>
      <c r="BL107" t="s">
        <v>2291</v>
      </c>
      <c r="BM107" t="s">
        <v>2293</v>
      </c>
      <c r="BN107" t="s">
        <v>74</v>
      </c>
      <c r="BO107" t="s">
        <v>74</v>
      </c>
      <c r="BP107" t="s">
        <v>74</v>
      </c>
      <c r="BQ107" t="s">
        <v>74</v>
      </c>
      <c r="BR107" t="s">
        <v>103</v>
      </c>
      <c r="BS107" t="s">
        <v>2294</v>
      </c>
      <c r="BT107" t="str">
        <f>HYPERLINK("https%3A%2F%2Fwww.webofscience.com%2Fwos%2Fwoscc%2Ffull-record%2FWOS:000308334200010","View Full Record in Web of Science")</f>
        <v>View Full Record in Web of Science</v>
      </c>
    </row>
    <row r="108" spans="1:72" x14ac:dyDescent="0.15">
      <c r="A108" t="s">
        <v>72</v>
      </c>
      <c r="B108" t="s">
        <v>2295</v>
      </c>
      <c r="C108" t="s">
        <v>74</v>
      </c>
      <c r="D108" t="s">
        <v>74</v>
      </c>
      <c r="E108" t="s">
        <v>74</v>
      </c>
      <c r="F108" t="s">
        <v>2296</v>
      </c>
      <c r="G108" t="s">
        <v>74</v>
      </c>
      <c r="H108" t="s">
        <v>74</v>
      </c>
      <c r="I108" t="s">
        <v>2297</v>
      </c>
      <c r="J108" t="s">
        <v>2298</v>
      </c>
      <c r="K108" t="s">
        <v>74</v>
      </c>
      <c r="L108" t="s">
        <v>74</v>
      </c>
      <c r="M108" t="s">
        <v>78</v>
      </c>
      <c r="N108" t="s">
        <v>79</v>
      </c>
      <c r="O108" t="s">
        <v>74</v>
      </c>
      <c r="P108" t="s">
        <v>74</v>
      </c>
      <c r="Q108" t="s">
        <v>74</v>
      </c>
      <c r="R108" t="s">
        <v>74</v>
      </c>
      <c r="S108" t="s">
        <v>74</v>
      </c>
      <c r="T108" t="s">
        <v>74</v>
      </c>
      <c r="U108" t="s">
        <v>2299</v>
      </c>
      <c r="V108" t="s">
        <v>2300</v>
      </c>
      <c r="W108" t="s">
        <v>2301</v>
      </c>
      <c r="X108" t="s">
        <v>2302</v>
      </c>
      <c r="Y108" t="s">
        <v>2303</v>
      </c>
      <c r="Z108" t="s">
        <v>2304</v>
      </c>
      <c r="AA108" t="s">
        <v>74</v>
      </c>
      <c r="AB108" t="s">
        <v>2305</v>
      </c>
      <c r="AC108" t="s">
        <v>2306</v>
      </c>
      <c r="AD108" t="s">
        <v>2307</v>
      </c>
      <c r="AE108" t="s">
        <v>2308</v>
      </c>
      <c r="AF108" t="s">
        <v>74</v>
      </c>
      <c r="AG108">
        <v>45</v>
      </c>
      <c r="AH108">
        <v>16</v>
      </c>
      <c r="AI108">
        <v>16</v>
      </c>
      <c r="AJ108">
        <v>0</v>
      </c>
      <c r="AK108">
        <v>8</v>
      </c>
      <c r="AL108" t="s">
        <v>2309</v>
      </c>
      <c r="AM108" t="s">
        <v>913</v>
      </c>
      <c r="AN108" t="s">
        <v>2310</v>
      </c>
      <c r="AO108" t="s">
        <v>2311</v>
      </c>
      <c r="AP108" t="s">
        <v>2312</v>
      </c>
      <c r="AQ108" t="s">
        <v>74</v>
      </c>
      <c r="AR108" t="s">
        <v>2313</v>
      </c>
      <c r="AS108" t="s">
        <v>2314</v>
      </c>
      <c r="AT108" t="s">
        <v>74</v>
      </c>
      <c r="AU108">
        <v>2011</v>
      </c>
      <c r="AV108">
        <v>2011</v>
      </c>
      <c r="AW108" t="s">
        <v>74</v>
      </c>
      <c r="AX108" t="s">
        <v>74</v>
      </c>
      <c r="AY108" t="s">
        <v>74</v>
      </c>
      <c r="AZ108" t="s">
        <v>74</v>
      </c>
      <c r="BA108" t="s">
        <v>74</v>
      </c>
      <c r="BB108" t="s">
        <v>74</v>
      </c>
      <c r="BC108" t="s">
        <v>74</v>
      </c>
      <c r="BD108">
        <v>353829</v>
      </c>
      <c r="BE108" t="s">
        <v>2315</v>
      </c>
      <c r="BF108" t="str">
        <f>HYPERLINK("http://dx.doi.org/10.1155/2011/353829","http://dx.doi.org/10.1155/2011/353829")</f>
        <v>http://dx.doi.org/10.1155/2011/353829</v>
      </c>
      <c r="BG108" t="s">
        <v>74</v>
      </c>
      <c r="BH108" t="s">
        <v>74</v>
      </c>
      <c r="BI108">
        <v>16</v>
      </c>
      <c r="BJ108" t="s">
        <v>603</v>
      </c>
      <c r="BK108" t="s">
        <v>100</v>
      </c>
      <c r="BL108" t="s">
        <v>603</v>
      </c>
      <c r="BM108" t="s">
        <v>2316</v>
      </c>
      <c r="BN108" t="s">
        <v>74</v>
      </c>
      <c r="BO108" t="s">
        <v>2317</v>
      </c>
      <c r="BP108" t="s">
        <v>74</v>
      </c>
      <c r="BQ108" t="s">
        <v>74</v>
      </c>
      <c r="BR108" t="s">
        <v>103</v>
      </c>
      <c r="BS108" t="s">
        <v>2318</v>
      </c>
      <c r="BT108" t="str">
        <f>HYPERLINK("https%3A%2F%2Fwww.webofscience.com%2Fwos%2Fwoscc%2Ffull-record%2FWOS:000306749800007","View Full Record in Web of Science")</f>
        <v>View Full Record in Web of Science</v>
      </c>
    </row>
    <row r="109" spans="1:72" x14ac:dyDescent="0.15">
      <c r="A109" t="s">
        <v>2268</v>
      </c>
      <c r="B109" t="s">
        <v>2319</v>
      </c>
      <c r="C109" t="s">
        <v>74</v>
      </c>
      <c r="D109" t="s">
        <v>74</v>
      </c>
      <c r="E109" t="s">
        <v>2320</v>
      </c>
      <c r="F109" t="s">
        <v>2321</v>
      </c>
      <c r="G109" t="s">
        <v>74</v>
      </c>
      <c r="H109" t="s">
        <v>74</v>
      </c>
      <c r="I109" t="s">
        <v>2322</v>
      </c>
      <c r="J109" t="s">
        <v>2323</v>
      </c>
      <c r="K109" t="s">
        <v>2324</v>
      </c>
      <c r="L109" t="s">
        <v>74</v>
      </c>
      <c r="M109" t="s">
        <v>78</v>
      </c>
      <c r="N109" t="s">
        <v>2275</v>
      </c>
      <c r="O109" t="s">
        <v>2325</v>
      </c>
      <c r="P109" t="s">
        <v>2326</v>
      </c>
      <c r="Q109" t="s">
        <v>2327</v>
      </c>
      <c r="R109" t="s">
        <v>74</v>
      </c>
      <c r="S109" t="s">
        <v>74</v>
      </c>
      <c r="T109" t="s">
        <v>74</v>
      </c>
      <c r="U109" t="s">
        <v>1554</v>
      </c>
      <c r="V109" t="s">
        <v>2328</v>
      </c>
      <c r="W109" t="s">
        <v>2329</v>
      </c>
      <c r="X109" t="s">
        <v>2330</v>
      </c>
      <c r="Y109" t="s">
        <v>2331</v>
      </c>
      <c r="Z109" t="s">
        <v>74</v>
      </c>
      <c r="AA109" t="s">
        <v>2332</v>
      </c>
      <c r="AB109" t="s">
        <v>2333</v>
      </c>
      <c r="AC109" t="s">
        <v>74</v>
      </c>
      <c r="AD109" t="s">
        <v>74</v>
      </c>
      <c r="AE109" t="s">
        <v>74</v>
      </c>
      <c r="AF109" t="s">
        <v>74</v>
      </c>
      <c r="AG109">
        <v>5</v>
      </c>
      <c r="AH109">
        <v>1</v>
      </c>
      <c r="AI109">
        <v>1</v>
      </c>
      <c r="AJ109">
        <v>0</v>
      </c>
      <c r="AK109">
        <v>4</v>
      </c>
      <c r="AL109" t="s">
        <v>2334</v>
      </c>
      <c r="AM109" t="s">
        <v>2335</v>
      </c>
      <c r="AN109" t="s">
        <v>2336</v>
      </c>
      <c r="AO109" t="s">
        <v>2337</v>
      </c>
      <c r="AP109" t="s">
        <v>74</v>
      </c>
      <c r="AQ109" t="s">
        <v>2338</v>
      </c>
      <c r="AR109" t="s">
        <v>2339</v>
      </c>
      <c r="AS109" t="s">
        <v>74</v>
      </c>
      <c r="AT109" t="s">
        <v>74</v>
      </c>
      <c r="AU109">
        <v>2011</v>
      </c>
      <c r="AV109" t="s">
        <v>74</v>
      </c>
      <c r="AW109" t="s">
        <v>74</v>
      </c>
      <c r="AX109" t="s">
        <v>74</v>
      </c>
      <c r="AY109" t="s">
        <v>74</v>
      </c>
      <c r="AZ109" t="s">
        <v>74</v>
      </c>
      <c r="BA109" t="s">
        <v>74</v>
      </c>
      <c r="BB109">
        <v>590</v>
      </c>
      <c r="BC109">
        <v>593</v>
      </c>
      <c r="BD109" t="s">
        <v>74</v>
      </c>
      <c r="BE109" t="s">
        <v>74</v>
      </c>
      <c r="BF109" t="s">
        <v>74</v>
      </c>
      <c r="BG109" t="s">
        <v>74</v>
      </c>
      <c r="BH109" t="s">
        <v>74</v>
      </c>
      <c r="BI109">
        <v>4</v>
      </c>
      <c r="BJ109" t="s">
        <v>2340</v>
      </c>
      <c r="BK109" t="s">
        <v>2292</v>
      </c>
      <c r="BL109" t="s">
        <v>1487</v>
      </c>
      <c r="BM109" t="s">
        <v>2341</v>
      </c>
      <c r="BN109" t="s">
        <v>74</v>
      </c>
      <c r="BO109" t="s">
        <v>74</v>
      </c>
      <c r="BP109" t="s">
        <v>74</v>
      </c>
      <c r="BQ109" t="s">
        <v>74</v>
      </c>
      <c r="BR109" t="s">
        <v>103</v>
      </c>
      <c r="BS109" t="s">
        <v>2342</v>
      </c>
      <c r="BT109" t="str">
        <f>HYPERLINK("https%3A%2F%2Fwww.webofscience.com%2Fwos%2Fwoscc%2Ffull-record%2FWOS:000305185600134","View Full Record in Web of Science")</f>
        <v>View Full Record in Web of Science</v>
      </c>
    </row>
    <row r="110" spans="1:72" x14ac:dyDescent="0.15">
      <c r="A110" t="s">
        <v>72</v>
      </c>
      <c r="B110" t="s">
        <v>2343</v>
      </c>
      <c r="C110" t="s">
        <v>74</v>
      </c>
      <c r="D110" t="s">
        <v>74</v>
      </c>
      <c r="E110" t="s">
        <v>74</v>
      </c>
      <c r="F110" t="s">
        <v>2344</v>
      </c>
      <c r="G110" t="s">
        <v>74</v>
      </c>
      <c r="H110" t="s">
        <v>74</v>
      </c>
      <c r="I110" t="s">
        <v>2345</v>
      </c>
      <c r="J110" t="s">
        <v>2346</v>
      </c>
      <c r="K110" t="s">
        <v>74</v>
      </c>
      <c r="L110" t="s">
        <v>74</v>
      </c>
      <c r="M110" t="s">
        <v>78</v>
      </c>
      <c r="N110" t="s">
        <v>52</v>
      </c>
      <c r="O110" t="s">
        <v>2347</v>
      </c>
      <c r="P110" t="s">
        <v>2348</v>
      </c>
      <c r="Q110" t="s">
        <v>2349</v>
      </c>
      <c r="R110" t="s">
        <v>74</v>
      </c>
      <c r="S110" t="s">
        <v>74</v>
      </c>
      <c r="T110" t="s">
        <v>74</v>
      </c>
      <c r="U110" t="s">
        <v>74</v>
      </c>
      <c r="V110" t="s">
        <v>74</v>
      </c>
      <c r="W110" t="s">
        <v>2350</v>
      </c>
      <c r="X110" t="s">
        <v>2351</v>
      </c>
      <c r="Y110" t="s">
        <v>74</v>
      </c>
      <c r="Z110" t="s">
        <v>74</v>
      </c>
      <c r="AA110" t="s">
        <v>2352</v>
      </c>
      <c r="AB110" t="s">
        <v>2353</v>
      </c>
      <c r="AC110" t="s">
        <v>74</v>
      </c>
      <c r="AD110" t="s">
        <v>74</v>
      </c>
      <c r="AE110" t="s">
        <v>74</v>
      </c>
      <c r="AF110" t="s">
        <v>74</v>
      </c>
      <c r="AG110">
        <v>0</v>
      </c>
      <c r="AH110">
        <v>0</v>
      </c>
      <c r="AI110">
        <v>0</v>
      </c>
      <c r="AJ110">
        <v>0</v>
      </c>
      <c r="AK110">
        <v>2</v>
      </c>
      <c r="AL110" t="s">
        <v>2354</v>
      </c>
      <c r="AM110" t="s">
        <v>2355</v>
      </c>
      <c r="AN110" t="s">
        <v>2356</v>
      </c>
      <c r="AO110" t="s">
        <v>2357</v>
      </c>
      <c r="AP110" t="s">
        <v>74</v>
      </c>
      <c r="AQ110" t="s">
        <v>74</v>
      </c>
      <c r="AR110" t="s">
        <v>2358</v>
      </c>
      <c r="AS110" t="s">
        <v>2359</v>
      </c>
      <c r="AT110" t="s">
        <v>74</v>
      </c>
      <c r="AU110">
        <v>2011</v>
      </c>
      <c r="AV110">
        <v>22</v>
      </c>
      <c r="AW110" t="s">
        <v>74</v>
      </c>
      <c r="AX110" t="s">
        <v>74</v>
      </c>
      <c r="AY110" t="s">
        <v>74</v>
      </c>
      <c r="AZ110" t="s">
        <v>74</v>
      </c>
      <c r="BA110">
        <v>1280</v>
      </c>
      <c r="BB110" t="s">
        <v>74</v>
      </c>
      <c r="BC110" t="s">
        <v>74</v>
      </c>
      <c r="BD110" t="s">
        <v>74</v>
      </c>
      <c r="BE110" t="s">
        <v>74</v>
      </c>
      <c r="BF110" t="s">
        <v>74</v>
      </c>
      <c r="BG110" t="s">
        <v>74</v>
      </c>
      <c r="BH110" t="s">
        <v>74</v>
      </c>
      <c r="BI110">
        <v>2</v>
      </c>
      <c r="BJ110" t="s">
        <v>2360</v>
      </c>
      <c r="BK110" t="s">
        <v>2022</v>
      </c>
      <c r="BL110" t="s">
        <v>2360</v>
      </c>
      <c r="BM110" t="s">
        <v>2361</v>
      </c>
      <c r="BN110" t="s">
        <v>74</v>
      </c>
      <c r="BO110" t="s">
        <v>74</v>
      </c>
      <c r="BP110" t="s">
        <v>74</v>
      </c>
      <c r="BQ110" t="s">
        <v>74</v>
      </c>
      <c r="BR110" t="s">
        <v>103</v>
      </c>
      <c r="BS110" t="s">
        <v>2362</v>
      </c>
      <c r="BT110" t="str">
        <f>HYPERLINK("https%3A%2F%2Fwww.webofscience.com%2Fwos%2Fwoscc%2Ffull-record%2FWOS:000305505502395","View Full Record in Web of Science")</f>
        <v>View Full Record in Web of Science</v>
      </c>
    </row>
    <row r="111" spans="1:72" x14ac:dyDescent="0.15">
      <c r="A111" t="s">
        <v>2363</v>
      </c>
      <c r="B111" t="s">
        <v>2364</v>
      </c>
      <c r="C111" t="s">
        <v>74</v>
      </c>
      <c r="D111" t="s">
        <v>2365</v>
      </c>
      <c r="E111" t="s">
        <v>74</v>
      </c>
      <c r="F111" t="s">
        <v>2366</v>
      </c>
      <c r="G111" t="s">
        <v>74</v>
      </c>
      <c r="H111" t="s">
        <v>74</v>
      </c>
      <c r="I111" t="s">
        <v>2367</v>
      </c>
      <c r="J111" t="s">
        <v>2368</v>
      </c>
      <c r="K111" t="s">
        <v>2369</v>
      </c>
      <c r="L111" t="s">
        <v>74</v>
      </c>
      <c r="M111" t="s">
        <v>78</v>
      </c>
      <c r="N111" t="s">
        <v>2370</v>
      </c>
      <c r="O111" t="s">
        <v>74</v>
      </c>
      <c r="P111" t="s">
        <v>74</v>
      </c>
      <c r="Q111" t="s">
        <v>74</v>
      </c>
      <c r="R111" t="s">
        <v>74</v>
      </c>
      <c r="S111" t="s">
        <v>74</v>
      </c>
      <c r="T111" t="s">
        <v>74</v>
      </c>
      <c r="U111" t="s">
        <v>2371</v>
      </c>
      <c r="V111" t="s">
        <v>2372</v>
      </c>
      <c r="W111" t="s">
        <v>2373</v>
      </c>
      <c r="X111" t="s">
        <v>2374</v>
      </c>
      <c r="Y111" t="s">
        <v>2375</v>
      </c>
      <c r="Z111" t="s">
        <v>2376</v>
      </c>
      <c r="AA111" t="s">
        <v>74</v>
      </c>
      <c r="AB111" t="s">
        <v>2377</v>
      </c>
      <c r="AC111" t="s">
        <v>74</v>
      </c>
      <c r="AD111" t="s">
        <v>74</v>
      </c>
      <c r="AE111" t="s">
        <v>74</v>
      </c>
      <c r="AF111" t="s">
        <v>74</v>
      </c>
      <c r="AG111">
        <v>78</v>
      </c>
      <c r="AH111">
        <v>3</v>
      </c>
      <c r="AI111">
        <v>4</v>
      </c>
      <c r="AJ111">
        <v>0</v>
      </c>
      <c r="AK111">
        <v>6</v>
      </c>
      <c r="AL111" t="s">
        <v>2378</v>
      </c>
      <c r="AM111" t="s">
        <v>389</v>
      </c>
      <c r="AN111" t="s">
        <v>2379</v>
      </c>
      <c r="AO111" t="s">
        <v>74</v>
      </c>
      <c r="AP111" t="s">
        <v>74</v>
      </c>
      <c r="AQ111" t="s">
        <v>2380</v>
      </c>
      <c r="AR111" t="s">
        <v>2381</v>
      </c>
      <c r="AS111" t="s">
        <v>74</v>
      </c>
      <c r="AT111" t="s">
        <v>74</v>
      </c>
      <c r="AU111">
        <v>2011</v>
      </c>
      <c r="AV111" t="s">
        <v>74</v>
      </c>
      <c r="AW111" t="s">
        <v>74</v>
      </c>
      <c r="AX111" t="s">
        <v>74</v>
      </c>
      <c r="AY111" t="s">
        <v>74</v>
      </c>
      <c r="AZ111" t="s">
        <v>74</v>
      </c>
      <c r="BA111" t="s">
        <v>74</v>
      </c>
      <c r="BB111">
        <v>865</v>
      </c>
      <c r="BC111">
        <v>886</v>
      </c>
      <c r="BD111" t="s">
        <v>74</v>
      </c>
      <c r="BE111" t="s">
        <v>2382</v>
      </c>
      <c r="BF111" t="str">
        <f>HYPERLINK("http://dx.doi.org/10.1007/978-3-642-10637-8_40","http://dx.doi.org/10.1007/978-3-642-10637-8_40")</f>
        <v>http://dx.doi.org/10.1007/978-3-642-10637-8_40</v>
      </c>
      <c r="BG111" t="s">
        <v>2383</v>
      </c>
      <c r="BH111" t="s">
        <v>74</v>
      </c>
      <c r="BI111">
        <v>22</v>
      </c>
      <c r="BJ111" t="s">
        <v>774</v>
      </c>
      <c r="BK111" t="s">
        <v>2384</v>
      </c>
      <c r="BL111" t="s">
        <v>774</v>
      </c>
      <c r="BM111" t="s">
        <v>2385</v>
      </c>
      <c r="BN111" t="s">
        <v>74</v>
      </c>
      <c r="BO111" t="s">
        <v>74</v>
      </c>
      <c r="BP111" t="s">
        <v>74</v>
      </c>
      <c r="BQ111" t="s">
        <v>74</v>
      </c>
      <c r="BR111" t="s">
        <v>103</v>
      </c>
      <c r="BS111" t="s">
        <v>2386</v>
      </c>
      <c r="BT111" t="str">
        <f>HYPERLINK("https%3A%2F%2Fwww.webofscience.com%2Fwos%2Fwoscc%2Ffull-record%2FWOS:000301099200040","View Full Record in Web of Science")</f>
        <v>View Full Record in Web of Science</v>
      </c>
    </row>
    <row r="112" spans="1:72" x14ac:dyDescent="0.15">
      <c r="A112" t="s">
        <v>2017</v>
      </c>
      <c r="B112" t="s">
        <v>2387</v>
      </c>
      <c r="C112" t="s">
        <v>2387</v>
      </c>
      <c r="D112" t="s">
        <v>74</v>
      </c>
      <c r="E112" t="s">
        <v>74</v>
      </c>
      <c r="F112" t="s">
        <v>2388</v>
      </c>
      <c r="G112" t="s">
        <v>2387</v>
      </c>
      <c r="H112" t="s">
        <v>74</v>
      </c>
      <c r="I112" t="s">
        <v>2389</v>
      </c>
      <c r="J112" t="s">
        <v>2390</v>
      </c>
      <c r="K112" t="s">
        <v>2391</v>
      </c>
      <c r="L112" t="s">
        <v>74</v>
      </c>
      <c r="M112" t="s">
        <v>78</v>
      </c>
      <c r="N112" t="s">
        <v>2370</v>
      </c>
      <c r="O112" t="s">
        <v>74</v>
      </c>
      <c r="P112" t="s">
        <v>74</v>
      </c>
      <c r="Q112" t="s">
        <v>74</v>
      </c>
      <c r="R112" t="s">
        <v>74</v>
      </c>
      <c r="S112" t="s">
        <v>74</v>
      </c>
      <c r="T112" t="s">
        <v>74</v>
      </c>
      <c r="U112" t="s">
        <v>2392</v>
      </c>
      <c r="V112" t="s">
        <v>74</v>
      </c>
      <c r="W112" t="s">
        <v>2393</v>
      </c>
      <c r="X112" t="s">
        <v>2394</v>
      </c>
      <c r="Y112" t="s">
        <v>2395</v>
      </c>
      <c r="Z112" t="s">
        <v>74</v>
      </c>
      <c r="AA112" t="s">
        <v>74</v>
      </c>
      <c r="AB112" t="s">
        <v>74</v>
      </c>
      <c r="AC112" t="s">
        <v>74</v>
      </c>
      <c r="AD112" t="s">
        <v>74</v>
      </c>
      <c r="AE112" t="s">
        <v>74</v>
      </c>
      <c r="AF112" t="s">
        <v>74</v>
      </c>
      <c r="AG112">
        <v>15</v>
      </c>
      <c r="AH112">
        <v>0</v>
      </c>
      <c r="AI112">
        <v>0</v>
      </c>
      <c r="AJ112">
        <v>0</v>
      </c>
      <c r="AK112">
        <v>0</v>
      </c>
      <c r="AL112" t="s">
        <v>2396</v>
      </c>
      <c r="AM112" t="s">
        <v>2397</v>
      </c>
      <c r="AN112" t="s">
        <v>2398</v>
      </c>
      <c r="AO112" t="s">
        <v>2399</v>
      </c>
      <c r="AP112" t="s">
        <v>74</v>
      </c>
      <c r="AQ112" t="s">
        <v>2400</v>
      </c>
      <c r="AR112" t="s">
        <v>2401</v>
      </c>
      <c r="AS112" t="s">
        <v>74</v>
      </c>
      <c r="AT112" t="s">
        <v>74</v>
      </c>
      <c r="AU112">
        <v>2011</v>
      </c>
      <c r="AV112">
        <v>34</v>
      </c>
      <c r="AW112" t="s">
        <v>74</v>
      </c>
      <c r="AX112" t="s">
        <v>74</v>
      </c>
      <c r="AY112" t="s">
        <v>74</v>
      </c>
      <c r="AZ112" t="s">
        <v>74</v>
      </c>
      <c r="BA112" t="s">
        <v>74</v>
      </c>
      <c r="BB112">
        <v>65</v>
      </c>
      <c r="BC112">
        <v>71</v>
      </c>
      <c r="BD112" t="s">
        <v>74</v>
      </c>
      <c r="BE112" t="s">
        <v>2402</v>
      </c>
      <c r="BF112" t="str">
        <f>HYPERLINK("http://dx.doi.org/10.1144/M34.11","http://dx.doi.org/10.1144/M34.11")</f>
        <v>http://dx.doi.org/10.1144/M34.11</v>
      </c>
      <c r="BG112" t="s">
        <v>74</v>
      </c>
      <c r="BH112" t="s">
        <v>74</v>
      </c>
      <c r="BI112">
        <v>7</v>
      </c>
      <c r="BJ112" t="s">
        <v>397</v>
      </c>
      <c r="BK112" t="s">
        <v>2384</v>
      </c>
      <c r="BL112" t="s">
        <v>397</v>
      </c>
      <c r="BM112" t="s">
        <v>2403</v>
      </c>
      <c r="BN112" t="s">
        <v>74</v>
      </c>
      <c r="BO112" t="s">
        <v>74</v>
      </c>
      <c r="BP112" t="s">
        <v>74</v>
      </c>
      <c r="BQ112" t="s">
        <v>74</v>
      </c>
      <c r="BR112" t="s">
        <v>103</v>
      </c>
      <c r="BS112" t="s">
        <v>2404</v>
      </c>
      <c r="BT112" t="str">
        <f>HYPERLINK("https%3A%2F%2Fwww.webofscience.com%2Fwos%2Fwoscc%2Ffull-record%2FWOS:000301736700012","View Full Record in Web of Science")</f>
        <v>View Full Record in Web of Science</v>
      </c>
    </row>
    <row r="113" spans="1:72" x14ac:dyDescent="0.15">
      <c r="A113" t="s">
        <v>2017</v>
      </c>
      <c r="B113" t="s">
        <v>2405</v>
      </c>
      <c r="C113" t="s">
        <v>2406</v>
      </c>
      <c r="D113" t="s">
        <v>74</v>
      </c>
      <c r="E113" t="s">
        <v>74</v>
      </c>
      <c r="F113" t="s">
        <v>2407</v>
      </c>
      <c r="G113" t="s">
        <v>2406</v>
      </c>
      <c r="H113" t="s">
        <v>74</v>
      </c>
      <c r="I113" t="s">
        <v>2408</v>
      </c>
      <c r="J113" t="s">
        <v>2409</v>
      </c>
      <c r="K113" t="s">
        <v>2410</v>
      </c>
      <c r="L113" t="s">
        <v>74</v>
      </c>
      <c r="M113" t="s">
        <v>78</v>
      </c>
      <c r="N113" t="s">
        <v>2370</v>
      </c>
      <c r="O113" t="s">
        <v>74</v>
      </c>
      <c r="P113" t="s">
        <v>74</v>
      </c>
      <c r="Q113" t="s">
        <v>74</v>
      </c>
      <c r="R113" t="s">
        <v>74</v>
      </c>
      <c r="S113" t="s">
        <v>74</v>
      </c>
      <c r="T113" t="s">
        <v>74</v>
      </c>
      <c r="U113" t="s">
        <v>2411</v>
      </c>
      <c r="V113" t="s">
        <v>2412</v>
      </c>
      <c r="W113" t="s">
        <v>2413</v>
      </c>
      <c r="X113" t="s">
        <v>2414</v>
      </c>
      <c r="Y113" t="s">
        <v>2415</v>
      </c>
      <c r="Z113" t="s">
        <v>2416</v>
      </c>
      <c r="AA113" t="s">
        <v>2417</v>
      </c>
      <c r="AB113" t="s">
        <v>2418</v>
      </c>
      <c r="AC113" t="s">
        <v>74</v>
      </c>
      <c r="AD113" t="s">
        <v>74</v>
      </c>
      <c r="AE113" t="s">
        <v>74</v>
      </c>
      <c r="AF113" t="s">
        <v>74</v>
      </c>
      <c r="AG113">
        <v>79</v>
      </c>
      <c r="AH113">
        <v>3</v>
      </c>
      <c r="AI113">
        <v>3</v>
      </c>
      <c r="AJ113">
        <v>2</v>
      </c>
      <c r="AK113">
        <v>12</v>
      </c>
      <c r="AL113" t="s">
        <v>270</v>
      </c>
      <c r="AM113" t="s">
        <v>271</v>
      </c>
      <c r="AN113" t="s">
        <v>2419</v>
      </c>
      <c r="AO113" t="s">
        <v>2420</v>
      </c>
      <c r="AP113" t="s">
        <v>74</v>
      </c>
      <c r="AQ113" t="s">
        <v>2421</v>
      </c>
      <c r="AR113" t="s">
        <v>2422</v>
      </c>
      <c r="AS113" t="s">
        <v>2423</v>
      </c>
      <c r="AT113" t="s">
        <v>74</v>
      </c>
      <c r="AU113">
        <v>2011</v>
      </c>
      <c r="AV113">
        <v>35</v>
      </c>
      <c r="AW113" t="s">
        <v>74</v>
      </c>
      <c r="AX113" t="s">
        <v>74</v>
      </c>
      <c r="AY113" t="s">
        <v>74</v>
      </c>
      <c r="AZ113" t="s">
        <v>74</v>
      </c>
      <c r="BA113" t="s">
        <v>74</v>
      </c>
      <c r="BB113">
        <v>669</v>
      </c>
      <c r="BC113">
        <v>721</v>
      </c>
      <c r="BD113" t="s">
        <v>74</v>
      </c>
      <c r="BE113" t="s">
        <v>2424</v>
      </c>
      <c r="BF113" t="str">
        <f>HYPERLINK("http://dx.doi.org/10.1007/978-94-007-0372-8_13","http://dx.doi.org/10.1007/978-94-007-0372-8_13")</f>
        <v>http://dx.doi.org/10.1007/978-94-007-0372-8_13</v>
      </c>
      <c r="BG113" t="s">
        <v>2425</v>
      </c>
      <c r="BH113" t="s">
        <v>74</v>
      </c>
      <c r="BI113">
        <v>53</v>
      </c>
      <c r="BJ113" t="s">
        <v>2426</v>
      </c>
      <c r="BK113" t="s">
        <v>2384</v>
      </c>
      <c r="BL113" t="s">
        <v>2427</v>
      </c>
      <c r="BM113" t="s">
        <v>2428</v>
      </c>
      <c r="BN113" t="s">
        <v>74</v>
      </c>
      <c r="BO113" t="s">
        <v>74</v>
      </c>
      <c r="BP113" t="s">
        <v>74</v>
      </c>
      <c r="BQ113" t="s">
        <v>74</v>
      </c>
      <c r="BR113" t="s">
        <v>103</v>
      </c>
      <c r="BS113" t="s">
        <v>2429</v>
      </c>
      <c r="BT113" t="str">
        <f>HYPERLINK("https%3A%2F%2Fwww.webofscience.com%2Fwos%2Fwoscc%2Ffull-record%2FWOS:000303686800013","View Full Record in Web of Science")</f>
        <v>View Full Record in Web of Science</v>
      </c>
    </row>
    <row r="114" spans="1:72" x14ac:dyDescent="0.15">
      <c r="A114" t="s">
        <v>2268</v>
      </c>
      <c r="B114" t="s">
        <v>2430</v>
      </c>
      <c r="C114" t="s">
        <v>74</v>
      </c>
      <c r="D114" t="s">
        <v>2431</v>
      </c>
      <c r="E114" t="s">
        <v>74</v>
      </c>
      <c r="F114" t="s">
        <v>2432</v>
      </c>
      <c r="G114" t="s">
        <v>74</v>
      </c>
      <c r="H114" t="s">
        <v>2433</v>
      </c>
      <c r="I114" t="s">
        <v>2434</v>
      </c>
      <c r="J114" t="s">
        <v>2435</v>
      </c>
      <c r="K114" t="s">
        <v>2436</v>
      </c>
      <c r="L114" t="s">
        <v>74</v>
      </c>
      <c r="M114" t="s">
        <v>78</v>
      </c>
      <c r="N114" t="s">
        <v>2275</v>
      </c>
      <c r="O114" t="s">
        <v>2437</v>
      </c>
      <c r="P114" t="s">
        <v>2438</v>
      </c>
      <c r="Q114" t="s">
        <v>2439</v>
      </c>
      <c r="R114" t="s">
        <v>74</v>
      </c>
      <c r="S114" t="s">
        <v>74</v>
      </c>
      <c r="T114" t="s">
        <v>74</v>
      </c>
      <c r="U114" t="s">
        <v>2440</v>
      </c>
      <c r="V114" t="s">
        <v>2441</v>
      </c>
      <c r="W114" t="s">
        <v>2442</v>
      </c>
      <c r="X114" t="s">
        <v>2443</v>
      </c>
      <c r="Y114" t="s">
        <v>2444</v>
      </c>
      <c r="Z114" t="s">
        <v>2445</v>
      </c>
      <c r="AA114" t="s">
        <v>2446</v>
      </c>
      <c r="AB114" t="s">
        <v>74</v>
      </c>
      <c r="AC114" t="s">
        <v>74</v>
      </c>
      <c r="AD114" t="s">
        <v>74</v>
      </c>
      <c r="AE114" t="s">
        <v>74</v>
      </c>
      <c r="AF114" t="s">
        <v>74</v>
      </c>
      <c r="AG114">
        <v>16</v>
      </c>
      <c r="AH114">
        <v>10</v>
      </c>
      <c r="AI114">
        <v>12</v>
      </c>
      <c r="AJ114">
        <v>0</v>
      </c>
      <c r="AK114">
        <v>1</v>
      </c>
      <c r="AL114" t="s">
        <v>2447</v>
      </c>
      <c r="AM114" t="s">
        <v>2448</v>
      </c>
      <c r="AN114" t="s">
        <v>2449</v>
      </c>
      <c r="AO114" t="s">
        <v>2450</v>
      </c>
      <c r="AP114" t="s">
        <v>74</v>
      </c>
      <c r="AQ114" t="s">
        <v>74</v>
      </c>
      <c r="AR114" t="s">
        <v>2451</v>
      </c>
      <c r="AS114" t="s">
        <v>74</v>
      </c>
      <c r="AT114" t="s">
        <v>74</v>
      </c>
      <c r="AU114">
        <v>2011</v>
      </c>
      <c r="AV114">
        <v>309</v>
      </c>
      <c r="AW114" t="s">
        <v>74</v>
      </c>
      <c r="AX114" t="s">
        <v>74</v>
      </c>
      <c r="AY114" t="s">
        <v>74</v>
      </c>
      <c r="AZ114" t="s">
        <v>74</v>
      </c>
      <c r="BA114" t="s">
        <v>74</v>
      </c>
      <c r="BB114" t="s">
        <v>74</v>
      </c>
      <c r="BC114" t="s">
        <v>74</v>
      </c>
      <c r="BD114">
        <v>12029</v>
      </c>
      <c r="BE114" t="s">
        <v>2452</v>
      </c>
      <c r="BF114" t="str">
        <f>HYPERLINK("http://dx.doi.org/10.1088/1742-6596/309/1/012029","http://dx.doi.org/10.1088/1742-6596/309/1/012029")</f>
        <v>http://dx.doi.org/10.1088/1742-6596/309/1/012029</v>
      </c>
      <c r="BG114" t="s">
        <v>74</v>
      </c>
      <c r="BH114" t="s">
        <v>74</v>
      </c>
      <c r="BI114">
        <v>8</v>
      </c>
      <c r="BJ114" t="s">
        <v>2453</v>
      </c>
      <c r="BK114" t="s">
        <v>2292</v>
      </c>
      <c r="BL114" t="s">
        <v>2454</v>
      </c>
      <c r="BM114" t="s">
        <v>2455</v>
      </c>
      <c r="BN114" t="s">
        <v>74</v>
      </c>
      <c r="BO114" t="s">
        <v>2456</v>
      </c>
      <c r="BP114" t="s">
        <v>74</v>
      </c>
      <c r="BQ114" t="s">
        <v>74</v>
      </c>
      <c r="BR114" t="s">
        <v>103</v>
      </c>
      <c r="BS114" t="s">
        <v>2457</v>
      </c>
      <c r="BT114" t="str">
        <f>HYPERLINK("https%3A%2F%2Fwww.webofscience.com%2Fwos%2Fwoscc%2Ffull-record%2FWOS:000303044900029","View Full Record in Web of Science")</f>
        <v>View Full Record in Web of Science</v>
      </c>
    </row>
    <row r="115" spans="1:72" x14ac:dyDescent="0.15">
      <c r="A115" t="s">
        <v>72</v>
      </c>
      <c r="B115" t="s">
        <v>2458</v>
      </c>
      <c r="C115" t="s">
        <v>74</v>
      </c>
      <c r="D115" t="s">
        <v>74</v>
      </c>
      <c r="E115" t="s">
        <v>74</v>
      </c>
      <c r="F115" t="s">
        <v>2459</v>
      </c>
      <c r="G115" t="s">
        <v>74</v>
      </c>
      <c r="H115" t="s">
        <v>74</v>
      </c>
      <c r="I115" t="s">
        <v>2460</v>
      </c>
      <c r="J115" t="s">
        <v>2461</v>
      </c>
      <c r="K115" t="s">
        <v>74</v>
      </c>
      <c r="L115" t="s">
        <v>74</v>
      </c>
      <c r="M115" t="s">
        <v>78</v>
      </c>
      <c r="N115" t="s">
        <v>79</v>
      </c>
      <c r="O115" t="s">
        <v>74</v>
      </c>
      <c r="P115" t="s">
        <v>74</v>
      </c>
      <c r="Q115" t="s">
        <v>74</v>
      </c>
      <c r="R115" t="s">
        <v>74</v>
      </c>
      <c r="S115" t="s">
        <v>74</v>
      </c>
      <c r="T115" t="s">
        <v>2462</v>
      </c>
      <c r="U115" t="s">
        <v>2463</v>
      </c>
      <c r="V115" t="s">
        <v>2464</v>
      </c>
      <c r="W115" t="s">
        <v>2465</v>
      </c>
      <c r="X115" t="s">
        <v>2466</v>
      </c>
      <c r="Y115" t="s">
        <v>2467</v>
      </c>
      <c r="Z115" t="s">
        <v>2468</v>
      </c>
      <c r="AA115" t="s">
        <v>2469</v>
      </c>
      <c r="AB115" t="s">
        <v>2470</v>
      </c>
      <c r="AC115" t="s">
        <v>2471</v>
      </c>
      <c r="AD115" t="s">
        <v>2472</v>
      </c>
      <c r="AE115" t="s">
        <v>2473</v>
      </c>
      <c r="AF115" t="s">
        <v>74</v>
      </c>
      <c r="AG115">
        <v>22</v>
      </c>
      <c r="AH115">
        <v>19</v>
      </c>
      <c r="AI115">
        <v>19</v>
      </c>
      <c r="AJ115">
        <v>0</v>
      </c>
      <c r="AK115">
        <v>2</v>
      </c>
      <c r="AL115" t="s">
        <v>2474</v>
      </c>
      <c r="AM115" t="s">
        <v>2286</v>
      </c>
      <c r="AN115" t="s">
        <v>2475</v>
      </c>
      <c r="AO115" t="s">
        <v>2476</v>
      </c>
      <c r="AP115" t="s">
        <v>2477</v>
      </c>
      <c r="AQ115" t="s">
        <v>74</v>
      </c>
      <c r="AR115" t="s">
        <v>2478</v>
      </c>
      <c r="AS115" t="s">
        <v>2479</v>
      </c>
      <c r="AT115" t="s">
        <v>74</v>
      </c>
      <c r="AU115">
        <v>2011</v>
      </c>
      <c r="AV115">
        <v>50</v>
      </c>
      <c r="AW115">
        <v>4</v>
      </c>
      <c r="AX115" t="s">
        <v>74</v>
      </c>
      <c r="AY115" t="s">
        <v>74</v>
      </c>
      <c r="AZ115" t="s">
        <v>74</v>
      </c>
      <c r="BA115" t="s">
        <v>74</v>
      </c>
      <c r="BB115">
        <v>289</v>
      </c>
      <c r="BC115">
        <v>300</v>
      </c>
      <c r="BD115" t="s">
        <v>74</v>
      </c>
      <c r="BE115" t="s">
        <v>2480</v>
      </c>
      <c r="BF115" t="str">
        <f>HYPERLINK("http://dx.doi.org/10.4467/16890027AP.11.026.0063","http://dx.doi.org/10.4467/16890027AP.11.026.0063")</f>
        <v>http://dx.doi.org/10.4467/16890027AP.11.026.0063</v>
      </c>
      <c r="BG115" t="s">
        <v>74</v>
      </c>
      <c r="BH115" t="s">
        <v>74</v>
      </c>
      <c r="BI115">
        <v>12</v>
      </c>
      <c r="BJ115" t="s">
        <v>325</v>
      </c>
      <c r="BK115" t="s">
        <v>100</v>
      </c>
      <c r="BL115" t="s">
        <v>325</v>
      </c>
      <c r="BM115" t="s">
        <v>2481</v>
      </c>
      <c r="BN115" t="s">
        <v>74</v>
      </c>
      <c r="BO115" t="s">
        <v>74</v>
      </c>
      <c r="BP115" t="s">
        <v>74</v>
      </c>
      <c r="BQ115" t="s">
        <v>74</v>
      </c>
      <c r="BR115" t="s">
        <v>103</v>
      </c>
      <c r="BS115" t="s">
        <v>2482</v>
      </c>
      <c r="BT115" t="str">
        <f>HYPERLINK("https%3A%2F%2Fwww.webofscience.com%2Fwos%2Fwoscc%2Ffull-record%2FWOS:000302962600002","View Full Record in Web of Science")</f>
        <v>View Full Record in Web of Science</v>
      </c>
    </row>
    <row r="116" spans="1:72" x14ac:dyDescent="0.15">
      <c r="A116" t="s">
        <v>2017</v>
      </c>
      <c r="B116" t="s">
        <v>2483</v>
      </c>
      <c r="C116" t="s">
        <v>74</v>
      </c>
      <c r="D116" t="s">
        <v>2484</v>
      </c>
      <c r="E116" t="s">
        <v>74</v>
      </c>
      <c r="F116" t="s">
        <v>2485</v>
      </c>
      <c r="G116" t="s">
        <v>74</v>
      </c>
      <c r="H116" t="s">
        <v>74</v>
      </c>
      <c r="I116" t="s">
        <v>2486</v>
      </c>
      <c r="J116" t="s">
        <v>2487</v>
      </c>
      <c r="K116" t="s">
        <v>2488</v>
      </c>
      <c r="L116" t="s">
        <v>74</v>
      </c>
      <c r="M116" t="s">
        <v>78</v>
      </c>
      <c r="N116" t="s">
        <v>2370</v>
      </c>
      <c r="O116" t="s">
        <v>74</v>
      </c>
      <c r="P116" t="s">
        <v>74</v>
      </c>
      <c r="Q116" t="s">
        <v>74</v>
      </c>
      <c r="R116" t="s">
        <v>74</v>
      </c>
      <c r="S116" t="s">
        <v>74</v>
      </c>
      <c r="T116" t="s">
        <v>74</v>
      </c>
      <c r="U116" t="s">
        <v>2489</v>
      </c>
      <c r="V116" t="s">
        <v>2490</v>
      </c>
      <c r="W116" t="s">
        <v>2491</v>
      </c>
      <c r="X116" t="s">
        <v>2492</v>
      </c>
      <c r="Y116" t="s">
        <v>2493</v>
      </c>
      <c r="Z116" t="s">
        <v>2494</v>
      </c>
      <c r="AA116" t="s">
        <v>2495</v>
      </c>
      <c r="AB116" t="s">
        <v>2496</v>
      </c>
      <c r="AC116" t="s">
        <v>74</v>
      </c>
      <c r="AD116" t="s">
        <v>74</v>
      </c>
      <c r="AE116" t="s">
        <v>74</v>
      </c>
      <c r="AF116" t="s">
        <v>74</v>
      </c>
      <c r="AG116">
        <v>92</v>
      </c>
      <c r="AH116">
        <v>2</v>
      </c>
      <c r="AI116">
        <v>4</v>
      </c>
      <c r="AJ116">
        <v>0</v>
      </c>
      <c r="AK116">
        <v>10</v>
      </c>
      <c r="AL116" t="s">
        <v>240</v>
      </c>
      <c r="AM116" t="s">
        <v>241</v>
      </c>
      <c r="AN116" t="s">
        <v>242</v>
      </c>
      <c r="AO116" t="s">
        <v>2497</v>
      </c>
      <c r="AP116" t="s">
        <v>74</v>
      </c>
      <c r="AQ116" t="s">
        <v>2498</v>
      </c>
      <c r="AR116" t="s">
        <v>2499</v>
      </c>
      <c r="AS116" t="s">
        <v>74</v>
      </c>
      <c r="AT116" t="s">
        <v>74</v>
      </c>
      <c r="AU116">
        <v>2011</v>
      </c>
      <c r="AV116">
        <v>193</v>
      </c>
      <c r="AW116" t="s">
        <v>74</v>
      </c>
      <c r="AX116" t="s">
        <v>74</v>
      </c>
      <c r="AY116" t="s">
        <v>74</v>
      </c>
      <c r="AZ116" t="s">
        <v>74</v>
      </c>
      <c r="BA116" t="s">
        <v>74</v>
      </c>
      <c r="BB116">
        <v>1</v>
      </c>
      <c r="BC116">
        <v>14</v>
      </c>
      <c r="BD116" t="s">
        <v>74</v>
      </c>
      <c r="BE116" t="s">
        <v>2500</v>
      </c>
      <c r="BF116" t="str">
        <f>HYPERLINK("http://dx.doi.org/10.1029/2011GM001139","http://dx.doi.org/10.1029/2011GM001139")</f>
        <v>http://dx.doi.org/10.1029/2011GM001139</v>
      </c>
      <c r="BG116" t="s">
        <v>2501</v>
      </c>
      <c r="BH116" t="s">
        <v>74</v>
      </c>
      <c r="BI116">
        <v>14</v>
      </c>
      <c r="BJ116" t="s">
        <v>969</v>
      </c>
      <c r="BK116" t="s">
        <v>2384</v>
      </c>
      <c r="BL116" t="s">
        <v>969</v>
      </c>
      <c r="BM116" t="s">
        <v>2502</v>
      </c>
      <c r="BN116" t="s">
        <v>74</v>
      </c>
      <c r="BO116" t="s">
        <v>74</v>
      </c>
      <c r="BP116" t="s">
        <v>74</v>
      </c>
      <c r="BQ116" t="s">
        <v>74</v>
      </c>
      <c r="BR116" t="s">
        <v>103</v>
      </c>
      <c r="BS116" t="s">
        <v>2503</v>
      </c>
      <c r="BT116" t="str">
        <f>HYPERLINK("https%3A%2F%2Fwww.webofscience.com%2Fwos%2Fwoscc%2Ffull-record%2FWOS:000300647000001","View Full Record in Web of Science")</f>
        <v>View Full Record in Web of Science</v>
      </c>
    </row>
    <row r="117" spans="1:72" x14ac:dyDescent="0.15">
      <c r="A117" t="s">
        <v>2017</v>
      </c>
      <c r="B117" t="s">
        <v>2504</v>
      </c>
      <c r="C117" t="s">
        <v>74</v>
      </c>
      <c r="D117" t="s">
        <v>2484</v>
      </c>
      <c r="E117" t="s">
        <v>74</v>
      </c>
      <c r="F117" t="s">
        <v>2505</v>
      </c>
      <c r="G117" t="s">
        <v>74</v>
      </c>
      <c r="H117" t="s">
        <v>74</v>
      </c>
      <c r="I117" t="s">
        <v>2506</v>
      </c>
      <c r="J117" t="s">
        <v>2487</v>
      </c>
      <c r="K117" t="s">
        <v>2488</v>
      </c>
      <c r="L117" t="s">
        <v>74</v>
      </c>
      <c r="M117" t="s">
        <v>78</v>
      </c>
      <c r="N117" t="s">
        <v>2370</v>
      </c>
      <c r="O117" t="s">
        <v>74</v>
      </c>
      <c r="P117" t="s">
        <v>74</v>
      </c>
      <c r="Q117" t="s">
        <v>74</v>
      </c>
      <c r="R117" t="s">
        <v>74</v>
      </c>
      <c r="S117" t="s">
        <v>74</v>
      </c>
      <c r="T117" t="s">
        <v>74</v>
      </c>
      <c r="U117" t="s">
        <v>2507</v>
      </c>
      <c r="V117" t="s">
        <v>2508</v>
      </c>
      <c r="W117" t="s">
        <v>2509</v>
      </c>
      <c r="X117" t="s">
        <v>2510</v>
      </c>
      <c r="Y117" t="s">
        <v>2511</v>
      </c>
      <c r="Z117" t="s">
        <v>2512</v>
      </c>
      <c r="AA117" t="s">
        <v>2513</v>
      </c>
      <c r="AB117" t="s">
        <v>74</v>
      </c>
      <c r="AC117" t="s">
        <v>74</v>
      </c>
      <c r="AD117" t="s">
        <v>74</v>
      </c>
      <c r="AE117" t="s">
        <v>74</v>
      </c>
      <c r="AF117" t="s">
        <v>74</v>
      </c>
      <c r="AG117">
        <v>146</v>
      </c>
      <c r="AH117">
        <v>13</v>
      </c>
      <c r="AI117">
        <v>15</v>
      </c>
      <c r="AJ117">
        <v>0</v>
      </c>
      <c r="AK117">
        <v>14</v>
      </c>
      <c r="AL117" t="s">
        <v>240</v>
      </c>
      <c r="AM117" t="s">
        <v>241</v>
      </c>
      <c r="AN117" t="s">
        <v>242</v>
      </c>
      <c r="AO117" t="s">
        <v>2497</v>
      </c>
      <c r="AP117" t="s">
        <v>74</v>
      </c>
      <c r="AQ117" t="s">
        <v>2498</v>
      </c>
      <c r="AR117" t="s">
        <v>2499</v>
      </c>
      <c r="AS117" t="s">
        <v>74</v>
      </c>
      <c r="AT117" t="s">
        <v>74</v>
      </c>
      <c r="AU117">
        <v>2011</v>
      </c>
      <c r="AV117">
        <v>193</v>
      </c>
      <c r="AW117" t="s">
        <v>74</v>
      </c>
      <c r="AX117" t="s">
        <v>74</v>
      </c>
      <c r="AY117" t="s">
        <v>74</v>
      </c>
      <c r="AZ117" t="s">
        <v>74</v>
      </c>
      <c r="BA117" t="s">
        <v>74</v>
      </c>
      <c r="BB117">
        <v>39</v>
      </c>
      <c r="BC117">
        <v>56</v>
      </c>
      <c r="BD117" t="s">
        <v>74</v>
      </c>
      <c r="BE117" t="s">
        <v>2514</v>
      </c>
      <c r="BF117" t="str">
        <f>HYPERLINK("http://dx.doi.org/10.1029/2010GM001016","http://dx.doi.org/10.1029/2010GM001016")</f>
        <v>http://dx.doi.org/10.1029/2010GM001016</v>
      </c>
      <c r="BG117" t="s">
        <v>2501</v>
      </c>
      <c r="BH117" t="s">
        <v>74</v>
      </c>
      <c r="BI117">
        <v>18</v>
      </c>
      <c r="BJ117" t="s">
        <v>969</v>
      </c>
      <c r="BK117" t="s">
        <v>2384</v>
      </c>
      <c r="BL117" t="s">
        <v>969</v>
      </c>
      <c r="BM117" t="s">
        <v>2502</v>
      </c>
      <c r="BN117" t="s">
        <v>74</v>
      </c>
      <c r="BO117" t="s">
        <v>74</v>
      </c>
      <c r="BP117" t="s">
        <v>74</v>
      </c>
      <c r="BQ117" t="s">
        <v>74</v>
      </c>
      <c r="BR117" t="s">
        <v>103</v>
      </c>
      <c r="BS117" t="s">
        <v>2515</v>
      </c>
      <c r="BT117" t="str">
        <f>HYPERLINK("https%3A%2F%2Fwww.webofscience.com%2Fwos%2Fwoscc%2Ffull-record%2FWOS:000300647000003","View Full Record in Web of Science")</f>
        <v>View Full Record in Web of Science</v>
      </c>
    </row>
    <row r="118" spans="1:72" x14ac:dyDescent="0.15">
      <c r="A118" t="s">
        <v>2017</v>
      </c>
      <c r="B118" t="s">
        <v>2516</v>
      </c>
      <c r="C118" t="s">
        <v>74</v>
      </c>
      <c r="D118" t="s">
        <v>2484</v>
      </c>
      <c r="E118" t="s">
        <v>74</v>
      </c>
      <c r="F118" t="s">
        <v>2517</v>
      </c>
      <c r="G118" t="s">
        <v>74</v>
      </c>
      <c r="H118" t="s">
        <v>74</v>
      </c>
      <c r="I118" t="s">
        <v>2518</v>
      </c>
      <c r="J118" t="s">
        <v>2487</v>
      </c>
      <c r="K118" t="s">
        <v>2488</v>
      </c>
      <c r="L118" t="s">
        <v>74</v>
      </c>
      <c r="M118" t="s">
        <v>78</v>
      </c>
      <c r="N118" t="s">
        <v>2370</v>
      </c>
      <c r="O118" t="s">
        <v>74</v>
      </c>
      <c r="P118" t="s">
        <v>74</v>
      </c>
      <c r="Q118" t="s">
        <v>74</v>
      </c>
      <c r="R118" t="s">
        <v>74</v>
      </c>
      <c r="S118" t="s">
        <v>74</v>
      </c>
      <c r="T118" t="s">
        <v>74</v>
      </c>
      <c r="U118" t="s">
        <v>2519</v>
      </c>
      <c r="V118" t="s">
        <v>2520</v>
      </c>
      <c r="W118" t="s">
        <v>2521</v>
      </c>
      <c r="X118" t="s">
        <v>2522</v>
      </c>
      <c r="Y118" t="s">
        <v>2523</v>
      </c>
      <c r="Z118" t="s">
        <v>2524</v>
      </c>
      <c r="AA118" t="s">
        <v>74</v>
      </c>
      <c r="AB118" t="s">
        <v>74</v>
      </c>
      <c r="AC118" t="s">
        <v>74</v>
      </c>
      <c r="AD118" t="s">
        <v>74</v>
      </c>
      <c r="AE118" t="s">
        <v>74</v>
      </c>
      <c r="AF118" t="s">
        <v>74</v>
      </c>
      <c r="AG118">
        <v>66</v>
      </c>
      <c r="AH118">
        <v>13</v>
      </c>
      <c r="AI118">
        <v>15</v>
      </c>
      <c r="AJ118">
        <v>0</v>
      </c>
      <c r="AK118">
        <v>5</v>
      </c>
      <c r="AL118" t="s">
        <v>240</v>
      </c>
      <c r="AM118" t="s">
        <v>241</v>
      </c>
      <c r="AN118" t="s">
        <v>242</v>
      </c>
      <c r="AO118" t="s">
        <v>2497</v>
      </c>
      <c r="AP118" t="s">
        <v>74</v>
      </c>
      <c r="AQ118" t="s">
        <v>2498</v>
      </c>
      <c r="AR118" t="s">
        <v>2499</v>
      </c>
      <c r="AS118" t="s">
        <v>74</v>
      </c>
      <c r="AT118" t="s">
        <v>74</v>
      </c>
      <c r="AU118">
        <v>2011</v>
      </c>
      <c r="AV118">
        <v>193</v>
      </c>
      <c r="AW118" t="s">
        <v>74</v>
      </c>
      <c r="AX118" t="s">
        <v>74</v>
      </c>
      <c r="AY118" t="s">
        <v>74</v>
      </c>
      <c r="AZ118" t="s">
        <v>74</v>
      </c>
      <c r="BA118" t="s">
        <v>74</v>
      </c>
      <c r="BB118">
        <v>57</v>
      </c>
      <c r="BC118">
        <v>74</v>
      </c>
      <c r="BD118" t="s">
        <v>74</v>
      </c>
      <c r="BE118" t="s">
        <v>2525</v>
      </c>
      <c r="BF118" t="str">
        <f>HYPERLINK("http://dx.doi.org/10.1029/2010GM001027","http://dx.doi.org/10.1029/2010GM001027")</f>
        <v>http://dx.doi.org/10.1029/2010GM001027</v>
      </c>
      <c r="BG118" t="s">
        <v>2501</v>
      </c>
      <c r="BH118" t="s">
        <v>74</v>
      </c>
      <c r="BI118">
        <v>18</v>
      </c>
      <c r="BJ118" t="s">
        <v>969</v>
      </c>
      <c r="BK118" t="s">
        <v>2384</v>
      </c>
      <c r="BL118" t="s">
        <v>969</v>
      </c>
      <c r="BM118" t="s">
        <v>2502</v>
      </c>
      <c r="BN118" t="s">
        <v>74</v>
      </c>
      <c r="BO118" t="s">
        <v>74</v>
      </c>
      <c r="BP118" t="s">
        <v>74</v>
      </c>
      <c r="BQ118" t="s">
        <v>74</v>
      </c>
      <c r="BR118" t="s">
        <v>103</v>
      </c>
      <c r="BS118" t="s">
        <v>2526</v>
      </c>
      <c r="BT118" t="str">
        <f>HYPERLINK("https%3A%2F%2Fwww.webofscience.com%2Fwos%2Fwoscc%2Ffull-record%2FWOS:000300647000004","View Full Record in Web of Science")</f>
        <v>View Full Record in Web of Science</v>
      </c>
    </row>
    <row r="119" spans="1:72" x14ac:dyDescent="0.15">
      <c r="A119" t="s">
        <v>2017</v>
      </c>
      <c r="B119" t="s">
        <v>2527</v>
      </c>
      <c r="C119" t="s">
        <v>74</v>
      </c>
      <c r="D119" t="s">
        <v>2528</v>
      </c>
      <c r="E119" t="s">
        <v>74</v>
      </c>
      <c r="F119" t="s">
        <v>2529</v>
      </c>
      <c r="G119" t="s">
        <v>74</v>
      </c>
      <c r="H119" t="s">
        <v>74</v>
      </c>
      <c r="I119" t="s">
        <v>2530</v>
      </c>
      <c r="J119" t="s">
        <v>2531</v>
      </c>
      <c r="K119" t="s">
        <v>2532</v>
      </c>
      <c r="L119" t="s">
        <v>74</v>
      </c>
      <c r="M119" t="s">
        <v>78</v>
      </c>
      <c r="N119" t="s">
        <v>2533</v>
      </c>
      <c r="O119" t="s">
        <v>74</v>
      </c>
      <c r="P119" t="s">
        <v>74</v>
      </c>
      <c r="Q119" t="s">
        <v>74</v>
      </c>
      <c r="R119" t="s">
        <v>74</v>
      </c>
      <c r="S119" t="s">
        <v>74</v>
      </c>
      <c r="T119" t="s">
        <v>2534</v>
      </c>
      <c r="U119" t="s">
        <v>2535</v>
      </c>
      <c r="V119" t="s">
        <v>2536</v>
      </c>
      <c r="W119" t="s">
        <v>2537</v>
      </c>
      <c r="X119" t="s">
        <v>2538</v>
      </c>
      <c r="Y119" t="s">
        <v>2539</v>
      </c>
      <c r="Z119" t="s">
        <v>2540</v>
      </c>
      <c r="AA119" t="s">
        <v>2541</v>
      </c>
      <c r="AB119" t="s">
        <v>2542</v>
      </c>
      <c r="AC119" t="s">
        <v>74</v>
      </c>
      <c r="AD119" t="s">
        <v>74</v>
      </c>
      <c r="AE119" t="s">
        <v>74</v>
      </c>
      <c r="AF119" t="s">
        <v>74</v>
      </c>
      <c r="AG119">
        <v>271</v>
      </c>
      <c r="AH119">
        <v>43</v>
      </c>
      <c r="AI119">
        <v>48</v>
      </c>
      <c r="AJ119">
        <v>1</v>
      </c>
      <c r="AK119">
        <v>64</v>
      </c>
      <c r="AL119" t="s">
        <v>2543</v>
      </c>
      <c r="AM119" t="s">
        <v>2544</v>
      </c>
      <c r="AN119" t="s">
        <v>2545</v>
      </c>
      <c r="AO119" t="s">
        <v>2546</v>
      </c>
      <c r="AP119" t="s">
        <v>74</v>
      </c>
      <c r="AQ119" t="s">
        <v>2547</v>
      </c>
      <c r="AR119" t="s">
        <v>2548</v>
      </c>
      <c r="AS119" t="s">
        <v>2549</v>
      </c>
      <c r="AT119" t="s">
        <v>74</v>
      </c>
      <c r="AU119">
        <v>2011</v>
      </c>
      <c r="AV119">
        <v>60</v>
      </c>
      <c r="AW119" t="s">
        <v>74</v>
      </c>
      <c r="AX119" t="s">
        <v>74</v>
      </c>
      <c r="AY119" t="s">
        <v>74</v>
      </c>
      <c r="AZ119" t="s">
        <v>74</v>
      </c>
      <c r="BA119" t="s">
        <v>74</v>
      </c>
      <c r="BB119">
        <v>161</v>
      </c>
      <c r="BC119">
        <v>227</v>
      </c>
      <c r="BD119" t="s">
        <v>74</v>
      </c>
      <c r="BE119" t="s">
        <v>2550</v>
      </c>
      <c r="BF119" t="str">
        <f>HYPERLINK("http://dx.doi.org/10.1016/B978-0-12-385529-9.00004-4","http://dx.doi.org/10.1016/B978-0-12-385529-9.00004-4")</f>
        <v>http://dx.doi.org/10.1016/B978-0-12-385529-9.00004-4</v>
      </c>
      <c r="BG119" t="s">
        <v>74</v>
      </c>
      <c r="BH119" t="s">
        <v>74</v>
      </c>
      <c r="BI119">
        <v>67</v>
      </c>
      <c r="BJ119" t="s">
        <v>893</v>
      </c>
      <c r="BK119" t="s">
        <v>2551</v>
      </c>
      <c r="BL119" t="s">
        <v>893</v>
      </c>
      <c r="BM119" t="s">
        <v>2552</v>
      </c>
      <c r="BN119">
        <v>21962752</v>
      </c>
      <c r="BO119" t="s">
        <v>74</v>
      </c>
      <c r="BP119" t="s">
        <v>74</v>
      </c>
      <c r="BQ119" t="s">
        <v>74</v>
      </c>
      <c r="BR119" t="s">
        <v>103</v>
      </c>
      <c r="BS119" t="s">
        <v>2553</v>
      </c>
      <c r="BT119" t="str">
        <f>HYPERLINK("https%3A%2F%2Fwww.webofscience.com%2Fwos%2Fwoscc%2Ffull-record%2FWOS:000301675300004","View Full Record in Web of Science")</f>
        <v>View Full Record in Web of Science</v>
      </c>
    </row>
    <row r="120" spans="1:72" x14ac:dyDescent="0.15">
      <c r="A120" t="s">
        <v>2363</v>
      </c>
      <c r="B120" t="s">
        <v>74</v>
      </c>
      <c r="C120" t="s">
        <v>74</v>
      </c>
      <c r="D120" t="s">
        <v>2554</v>
      </c>
      <c r="E120" t="s">
        <v>74</v>
      </c>
      <c r="F120" t="s">
        <v>74</v>
      </c>
      <c r="G120" t="s">
        <v>74</v>
      </c>
      <c r="H120" t="s">
        <v>74</v>
      </c>
      <c r="I120" t="s">
        <v>2555</v>
      </c>
      <c r="J120" t="s">
        <v>2556</v>
      </c>
      <c r="K120" t="s">
        <v>2557</v>
      </c>
      <c r="L120" t="s">
        <v>74</v>
      </c>
      <c r="M120" t="s">
        <v>78</v>
      </c>
      <c r="N120" t="s">
        <v>2558</v>
      </c>
      <c r="O120" t="s">
        <v>74</v>
      </c>
      <c r="P120" t="s">
        <v>74</v>
      </c>
      <c r="Q120" t="s">
        <v>74</v>
      </c>
      <c r="R120" t="s">
        <v>74</v>
      </c>
      <c r="S120" t="s">
        <v>74</v>
      </c>
      <c r="T120" t="s">
        <v>74</v>
      </c>
      <c r="U120" t="s">
        <v>74</v>
      </c>
      <c r="V120" t="s">
        <v>74</v>
      </c>
      <c r="W120" t="s">
        <v>74</v>
      </c>
      <c r="X120" t="s">
        <v>74</v>
      </c>
      <c r="Y120" t="s">
        <v>74</v>
      </c>
      <c r="Z120" t="s">
        <v>74</v>
      </c>
      <c r="AA120" t="s">
        <v>74</v>
      </c>
      <c r="AB120" t="s">
        <v>74</v>
      </c>
      <c r="AC120" t="s">
        <v>74</v>
      </c>
      <c r="AD120" t="s">
        <v>74</v>
      </c>
      <c r="AE120" t="s">
        <v>74</v>
      </c>
      <c r="AF120" t="s">
        <v>74</v>
      </c>
      <c r="AG120">
        <v>0</v>
      </c>
      <c r="AH120">
        <v>3</v>
      </c>
      <c r="AI120">
        <v>3</v>
      </c>
      <c r="AJ120">
        <v>0</v>
      </c>
      <c r="AK120">
        <v>1</v>
      </c>
      <c r="AL120" t="s">
        <v>240</v>
      </c>
      <c r="AM120" t="s">
        <v>241</v>
      </c>
      <c r="AN120" t="s">
        <v>242</v>
      </c>
      <c r="AO120" t="s">
        <v>74</v>
      </c>
      <c r="AP120" t="s">
        <v>74</v>
      </c>
      <c r="AQ120" t="s">
        <v>2559</v>
      </c>
      <c r="AR120" t="s">
        <v>2560</v>
      </c>
      <c r="AS120" t="s">
        <v>74</v>
      </c>
      <c r="AT120" t="s">
        <v>74</v>
      </c>
      <c r="AU120">
        <v>2011</v>
      </c>
      <c r="AV120">
        <v>63</v>
      </c>
      <c r="AW120" t="s">
        <v>74</v>
      </c>
      <c r="AX120" t="s">
        <v>74</v>
      </c>
      <c r="AY120" t="s">
        <v>74</v>
      </c>
      <c r="AZ120" t="s">
        <v>74</v>
      </c>
      <c r="BA120" t="s">
        <v>74</v>
      </c>
      <c r="BB120">
        <v>1</v>
      </c>
      <c r="BC120">
        <v>218</v>
      </c>
      <c r="BD120" t="s">
        <v>74</v>
      </c>
      <c r="BE120" t="s">
        <v>2561</v>
      </c>
      <c r="BF120" t="str">
        <f>HYPERLINK("http://dx.doi.org/10.1029/SP063","http://dx.doi.org/10.1029/SP063")</f>
        <v>http://dx.doi.org/10.1029/SP063</v>
      </c>
      <c r="BG120" t="s">
        <v>74</v>
      </c>
      <c r="BH120" t="s">
        <v>74</v>
      </c>
      <c r="BI120">
        <v>53</v>
      </c>
      <c r="BJ120" t="s">
        <v>397</v>
      </c>
      <c r="BK120" t="s">
        <v>2384</v>
      </c>
      <c r="BL120" t="s">
        <v>397</v>
      </c>
      <c r="BM120" t="s">
        <v>2562</v>
      </c>
      <c r="BN120" t="s">
        <v>74</v>
      </c>
      <c r="BO120" t="s">
        <v>74</v>
      </c>
      <c r="BP120" t="s">
        <v>74</v>
      </c>
      <c r="BQ120" t="s">
        <v>74</v>
      </c>
      <c r="BR120" t="s">
        <v>103</v>
      </c>
      <c r="BS120" t="s">
        <v>2563</v>
      </c>
      <c r="BT120" t="str">
        <f>HYPERLINK("https%3A%2F%2Fwww.webofscience.com%2Fwos%2Fwoscc%2Ffull-record%2FWOS:000300647100011","View Full Record in Web of Science")</f>
        <v>View Full Record in Web of Science</v>
      </c>
    </row>
    <row r="121" spans="1:72" x14ac:dyDescent="0.15">
      <c r="A121" t="s">
        <v>2363</v>
      </c>
      <c r="B121" t="s">
        <v>2564</v>
      </c>
      <c r="C121" t="s">
        <v>74</v>
      </c>
      <c r="D121" t="s">
        <v>2554</v>
      </c>
      <c r="E121" t="s">
        <v>74</v>
      </c>
      <c r="F121" t="s">
        <v>2565</v>
      </c>
      <c r="G121" t="s">
        <v>74</v>
      </c>
      <c r="H121" t="s">
        <v>74</v>
      </c>
      <c r="I121" t="s">
        <v>2566</v>
      </c>
      <c r="J121" t="s">
        <v>2556</v>
      </c>
      <c r="K121" t="s">
        <v>2557</v>
      </c>
      <c r="L121" t="s">
        <v>74</v>
      </c>
      <c r="M121" t="s">
        <v>78</v>
      </c>
      <c r="N121" t="s">
        <v>2370</v>
      </c>
      <c r="O121" t="s">
        <v>74</v>
      </c>
      <c r="P121" t="s">
        <v>74</v>
      </c>
      <c r="Q121" t="s">
        <v>74</v>
      </c>
      <c r="R121" t="s">
        <v>74</v>
      </c>
      <c r="S121" t="s">
        <v>74</v>
      </c>
      <c r="T121" t="s">
        <v>74</v>
      </c>
      <c r="U121" t="s">
        <v>2567</v>
      </c>
      <c r="V121" t="s">
        <v>2568</v>
      </c>
      <c r="W121" t="s">
        <v>2569</v>
      </c>
      <c r="X121" t="s">
        <v>2570</v>
      </c>
      <c r="Y121" t="s">
        <v>2571</v>
      </c>
      <c r="Z121" t="s">
        <v>2572</v>
      </c>
      <c r="AA121" t="s">
        <v>2573</v>
      </c>
      <c r="AB121" t="s">
        <v>74</v>
      </c>
      <c r="AC121" t="s">
        <v>74</v>
      </c>
      <c r="AD121" t="s">
        <v>74</v>
      </c>
      <c r="AE121" t="s">
        <v>74</v>
      </c>
      <c r="AF121" t="s">
        <v>74</v>
      </c>
      <c r="AG121">
        <v>101</v>
      </c>
      <c r="AH121">
        <v>46</v>
      </c>
      <c r="AI121">
        <v>51</v>
      </c>
      <c r="AJ121">
        <v>0</v>
      </c>
      <c r="AK121">
        <v>14</v>
      </c>
      <c r="AL121" t="s">
        <v>240</v>
      </c>
      <c r="AM121" t="s">
        <v>241</v>
      </c>
      <c r="AN121" t="s">
        <v>242</v>
      </c>
      <c r="AO121" t="s">
        <v>74</v>
      </c>
      <c r="AP121" t="s">
        <v>74</v>
      </c>
      <c r="AQ121" t="s">
        <v>2559</v>
      </c>
      <c r="AR121" t="s">
        <v>2560</v>
      </c>
      <c r="AS121" t="s">
        <v>74</v>
      </c>
      <c r="AT121" t="s">
        <v>74</v>
      </c>
      <c r="AU121">
        <v>2011</v>
      </c>
      <c r="AV121">
        <v>63</v>
      </c>
      <c r="AW121" t="s">
        <v>74</v>
      </c>
      <c r="AX121" t="s">
        <v>74</v>
      </c>
      <c r="AY121" t="s">
        <v>74</v>
      </c>
      <c r="AZ121" t="s">
        <v>74</v>
      </c>
      <c r="BA121" t="s">
        <v>74</v>
      </c>
      <c r="BB121">
        <v>5</v>
      </c>
      <c r="BC121">
        <v>33</v>
      </c>
      <c r="BD121" t="s">
        <v>74</v>
      </c>
      <c r="BE121" t="s">
        <v>2574</v>
      </c>
      <c r="BF121" t="str">
        <f>HYPERLINK("http://dx.doi.org/10.1029/2010SP001017","http://dx.doi.org/10.1029/2010SP001017")</f>
        <v>http://dx.doi.org/10.1029/2010SP001017</v>
      </c>
      <c r="BG121" t="s">
        <v>2561</v>
      </c>
      <c r="BH121" t="s">
        <v>74</v>
      </c>
      <c r="BI121">
        <v>29</v>
      </c>
      <c r="BJ121" t="s">
        <v>397</v>
      </c>
      <c r="BK121" t="s">
        <v>2384</v>
      </c>
      <c r="BL121" t="s">
        <v>397</v>
      </c>
      <c r="BM121" t="s">
        <v>2562</v>
      </c>
      <c r="BN121" t="s">
        <v>74</v>
      </c>
      <c r="BO121" t="s">
        <v>74</v>
      </c>
      <c r="BP121" t="s">
        <v>74</v>
      </c>
      <c r="BQ121" t="s">
        <v>74</v>
      </c>
      <c r="BR121" t="s">
        <v>103</v>
      </c>
      <c r="BS121" t="s">
        <v>2575</v>
      </c>
      <c r="BT121" t="str">
        <f>HYPERLINK("https%3A%2F%2Fwww.webofscience.com%2Fwos%2Fwoscc%2Ffull-record%2FWOS:000300647100002","View Full Record in Web of Science")</f>
        <v>View Full Record in Web of Science</v>
      </c>
    </row>
    <row r="122" spans="1:72" x14ac:dyDescent="0.15">
      <c r="A122" t="s">
        <v>2363</v>
      </c>
      <c r="B122" t="s">
        <v>2576</v>
      </c>
      <c r="C122" t="s">
        <v>74</v>
      </c>
      <c r="D122" t="s">
        <v>2554</v>
      </c>
      <c r="E122" t="s">
        <v>74</v>
      </c>
      <c r="F122" t="s">
        <v>2577</v>
      </c>
      <c r="G122" t="s">
        <v>74</v>
      </c>
      <c r="H122" t="s">
        <v>74</v>
      </c>
      <c r="I122" t="s">
        <v>2578</v>
      </c>
      <c r="J122" t="s">
        <v>2556</v>
      </c>
      <c r="K122" t="s">
        <v>2557</v>
      </c>
      <c r="L122" t="s">
        <v>74</v>
      </c>
      <c r="M122" t="s">
        <v>78</v>
      </c>
      <c r="N122" t="s">
        <v>2370</v>
      </c>
      <c r="O122" t="s">
        <v>74</v>
      </c>
      <c r="P122" t="s">
        <v>74</v>
      </c>
      <c r="Q122" t="s">
        <v>74</v>
      </c>
      <c r="R122" t="s">
        <v>74</v>
      </c>
      <c r="S122" t="s">
        <v>74</v>
      </c>
      <c r="T122" t="s">
        <v>74</v>
      </c>
      <c r="U122" t="s">
        <v>2579</v>
      </c>
      <c r="V122" t="s">
        <v>2580</v>
      </c>
      <c r="W122" t="s">
        <v>2581</v>
      </c>
      <c r="X122" t="s">
        <v>2582</v>
      </c>
      <c r="Y122" t="s">
        <v>2583</v>
      </c>
      <c r="Z122" t="s">
        <v>2584</v>
      </c>
      <c r="AA122" t="s">
        <v>74</v>
      </c>
      <c r="AB122" t="s">
        <v>74</v>
      </c>
      <c r="AC122" t="s">
        <v>74</v>
      </c>
      <c r="AD122" t="s">
        <v>74</v>
      </c>
      <c r="AE122" t="s">
        <v>74</v>
      </c>
      <c r="AF122" t="s">
        <v>74</v>
      </c>
      <c r="AG122">
        <v>57</v>
      </c>
      <c r="AH122">
        <v>2</v>
      </c>
      <c r="AI122">
        <v>2</v>
      </c>
      <c r="AJ122">
        <v>0</v>
      </c>
      <c r="AK122">
        <v>2</v>
      </c>
      <c r="AL122" t="s">
        <v>240</v>
      </c>
      <c r="AM122" t="s">
        <v>241</v>
      </c>
      <c r="AN122" t="s">
        <v>242</v>
      </c>
      <c r="AO122" t="s">
        <v>74</v>
      </c>
      <c r="AP122" t="s">
        <v>74</v>
      </c>
      <c r="AQ122" t="s">
        <v>2559</v>
      </c>
      <c r="AR122" t="s">
        <v>2560</v>
      </c>
      <c r="AS122" t="s">
        <v>74</v>
      </c>
      <c r="AT122" t="s">
        <v>74</v>
      </c>
      <c r="AU122">
        <v>2011</v>
      </c>
      <c r="AV122">
        <v>63</v>
      </c>
      <c r="AW122" t="s">
        <v>74</v>
      </c>
      <c r="AX122" t="s">
        <v>74</v>
      </c>
      <c r="AY122" t="s">
        <v>74</v>
      </c>
      <c r="AZ122" t="s">
        <v>74</v>
      </c>
      <c r="BA122" t="s">
        <v>74</v>
      </c>
      <c r="BB122">
        <v>35</v>
      </c>
      <c r="BC122">
        <v>49</v>
      </c>
      <c r="BD122" t="s">
        <v>74</v>
      </c>
      <c r="BE122" t="s">
        <v>2585</v>
      </c>
      <c r="BF122" t="str">
        <f>HYPERLINK("http://dx.doi.org/10.1029/2010SP000992","http://dx.doi.org/10.1029/2010SP000992")</f>
        <v>http://dx.doi.org/10.1029/2010SP000992</v>
      </c>
      <c r="BG122" t="s">
        <v>2561</v>
      </c>
      <c r="BH122" t="s">
        <v>74</v>
      </c>
      <c r="BI122">
        <v>15</v>
      </c>
      <c r="BJ122" t="s">
        <v>397</v>
      </c>
      <c r="BK122" t="s">
        <v>2384</v>
      </c>
      <c r="BL122" t="s">
        <v>397</v>
      </c>
      <c r="BM122" t="s">
        <v>2562</v>
      </c>
      <c r="BN122" t="s">
        <v>74</v>
      </c>
      <c r="BO122" t="s">
        <v>74</v>
      </c>
      <c r="BP122" t="s">
        <v>74</v>
      </c>
      <c r="BQ122" t="s">
        <v>74</v>
      </c>
      <c r="BR122" t="s">
        <v>103</v>
      </c>
      <c r="BS122" t="s">
        <v>2586</v>
      </c>
      <c r="BT122" t="str">
        <f>HYPERLINK("https%3A%2F%2Fwww.webofscience.com%2Fwos%2Fwoscc%2Ffull-record%2FWOS:000300647100003","View Full Record in Web of Science")</f>
        <v>View Full Record in Web of Science</v>
      </c>
    </row>
    <row r="123" spans="1:72" x14ac:dyDescent="0.15">
      <c r="A123" t="s">
        <v>2363</v>
      </c>
      <c r="B123" t="s">
        <v>2587</v>
      </c>
      <c r="C123" t="s">
        <v>74</v>
      </c>
      <c r="D123" t="s">
        <v>2554</v>
      </c>
      <c r="E123" t="s">
        <v>74</v>
      </c>
      <c r="F123" t="s">
        <v>2588</v>
      </c>
      <c r="G123" t="s">
        <v>74</v>
      </c>
      <c r="H123" t="s">
        <v>74</v>
      </c>
      <c r="I123" t="s">
        <v>2589</v>
      </c>
      <c r="J123" t="s">
        <v>2556</v>
      </c>
      <c r="K123" t="s">
        <v>2557</v>
      </c>
      <c r="L123" t="s">
        <v>74</v>
      </c>
      <c r="M123" t="s">
        <v>78</v>
      </c>
      <c r="N123" t="s">
        <v>2370</v>
      </c>
      <c r="O123" t="s">
        <v>74</v>
      </c>
      <c r="P123" t="s">
        <v>74</v>
      </c>
      <c r="Q123" t="s">
        <v>74</v>
      </c>
      <c r="R123" t="s">
        <v>74</v>
      </c>
      <c r="S123" t="s">
        <v>74</v>
      </c>
      <c r="T123" t="s">
        <v>74</v>
      </c>
      <c r="U123" t="s">
        <v>2590</v>
      </c>
      <c r="V123" t="s">
        <v>2591</v>
      </c>
      <c r="W123" t="s">
        <v>2592</v>
      </c>
      <c r="X123" t="s">
        <v>2593</v>
      </c>
      <c r="Y123" t="s">
        <v>2594</v>
      </c>
      <c r="Z123" t="s">
        <v>2595</v>
      </c>
      <c r="AA123" t="s">
        <v>74</v>
      </c>
      <c r="AB123" t="s">
        <v>74</v>
      </c>
      <c r="AC123" t="s">
        <v>74</v>
      </c>
      <c r="AD123" t="s">
        <v>74</v>
      </c>
      <c r="AE123" t="s">
        <v>74</v>
      </c>
      <c r="AF123" t="s">
        <v>74</v>
      </c>
      <c r="AG123">
        <v>30</v>
      </c>
      <c r="AH123">
        <v>12</v>
      </c>
      <c r="AI123">
        <v>12</v>
      </c>
      <c r="AJ123">
        <v>0</v>
      </c>
      <c r="AK123">
        <v>1</v>
      </c>
      <c r="AL123" t="s">
        <v>240</v>
      </c>
      <c r="AM123" t="s">
        <v>241</v>
      </c>
      <c r="AN123" t="s">
        <v>242</v>
      </c>
      <c r="AO123" t="s">
        <v>74</v>
      </c>
      <c r="AP123" t="s">
        <v>74</v>
      </c>
      <c r="AQ123" t="s">
        <v>2559</v>
      </c>
      <c r="AR123" t="s">
        <v>2560</v>
      </c>
      <c r="AS123" t="s">
        <v>74</v>
      </c>
      <c r="AT123" t="s">
        <v>74</v>
      </c>
      <c r="AU123">
        <v>2011</v>
      </c>
      <c r="AV123">
        <v>63</v>
      </c>
      <c r="AW123" t="s">
        <v>74</v>
      </c>
      <c r="AX123" t="s">
        <v>74</v>
      </c>
      <c r="AY123" t="s">
        <v>74</v>
      </c>
      <c r="AZ123" t="s">
        <v>74</v>
      </c>
      <c r="BA123" t="s">
        <v>74</v>
      </c>
      <c r="BB123">
        <v>51</v>
      </c>
      <c r="BC123">
        <v>61</v>
      </c>
      <c r="BD123" t="s">
        <v>74</v>
      </c>
      <c r="BE123" t="s">
        <v>2596</v>
      </c>
      <c r="BF123" t="str">
        <f>HYPERLINK("http://dx.doi.org/10.1029/2010SP000980","http://dx.doi.org/10.1029/2010SP000980")</f>
        <v>http://dx.doi.org/10.1029/2010SP000980</v>
      </c>
      <c r="BG123" t="s">
        <v>2561</v>
      </c>
      <c r="BH123" t="s">
        <v>74</v>
      </c>
      <c r="BI123">
        <v>11</v>
      </c>
      <c r="BJ123" t="s">
        <v>397</v>
      </c>
      <c r="BK123" t="s">
        <v>2384</v>
      </c>
      <c r="BL123" t="s">
        <v>397</v>
      </c>
      <c r="BM123" t="s">
        <v>2562</v>
      </c>
      <c r="BN123" t="s">
        <v>74</v>
      </c>
      <c r="BO123" t="s">
        <v>74</v>
      </c>
      <c r="BP123" t="s">
        <v>74</v>
      </c>
      <c r="BQ123" t="s">
        <v>74</v>
      </c>
      <c r="BR123" t="s">
        <v>103</v>
      </c>
      <c r="BS123" t="s">
        <v>2597</v>
      </c>
      <c r="BT123" t="str">
        <f>HYPERLINK("https%3A%2F%2Fwww.webofscience.com%2Fwos%2Fwoscc%2Ffull-record%2FWOS:000300647100004","View Full Record in Web of Science")</f>
        <v>View Full Record in Web of Science</v>
      </c>
    </row>
    <row r="124" spans="1:72" x14ac:dyDescent="0.15">
      <c r="A124" t="s">
        <v>2363</v>
      </c>
      <c r="B124" t="s">
        <v>2598</v>
      </c>
      <c r="C124" t="s">
        <v>74</v>
      </c>
      <c r="D124" t="s">
        <v>2554</v>
      </c>
      <c r="E124" t="s">
        <v>74</v>
      </c>
      <c r="F124" t="s">
        <v>2599</v>
      </c>
      <c r="G124" t="s">
        <v>74</v>
      </c>
      <c r="H124" t="s">
        <v>74</v>
      </c>
      <c r="I124" t="s">
        <v>2600</v>
      </c>
      <c r="J124" t="s">
        <v>2556</v>
      </c>
      <c r="K124" t="s">
        <v>2557</v>
      </c>
      <c r="L124" t="s">
        <v>74</v>
      </c>
      <c r="M124" t="s">
        <v>78</v>
      </c>
      <c r="N124" t="s">
        <v>2370</v>
      </c>
      <c r="O124" t="s">
        <v>74</v>
      </c>
      <c r="P124" t="s">
        <v>74</v>
      </c>
      <c r="Q124" t="s">
        <v>74</v>
      </c>
      <c r="R124" t="s">
        <v>74</v>
      </c>
      <c r="S124" t="s">
        <v>74</v>
      </c>
      <c r="T124" t="s">
        <v>74</v>
      </c>
      <c r="U124" t="s">
        <v>2601</v>
      </c>
      <c r="V124" t="s">
        <v>2602</v>
      </c>
      <c r="W124" t="s">
        <v>2603</v>
      </c>
      <c r="X124" t="s">
        <v>2604</v>
      </c>
      <c r="Y124" t="s">
        <v>2605</v>
      </c>
      <c r="Z124" t="s">
        <v>2606</v>
      </c>
      <c r="AA124" t="s">
        <v>2607</v>
      </c>
      <c r="AB124" t="s">
        <v>2608</v>
      </c>
      <c r="AC124" t="s">
        <v>2609</v>
      </c>
      <c r="AD124" t="s">
        <v>2610</v>
      </c>
      <c r="AE124" t="s">
        <v>74</v>
      </c>
      <c r="AF124" t="s">
        <v>74</v>
      </c>
      <c r="AG124">
        <v>115</v>
      </c>
      <c r="AH124">
        <v>17</v>
      </c>
      <c r="AI124">
        <v>18</v>
      </c>
      <c r="AJ124">
        <v>0</v>
      </c>
      <c r="AK124">
        <v>1</v>
      </c>
      <c r="AL124" t="s">
        <v>240</v>
      </c>
      <c r="AM124" t="s">
        <v>241</v>
      </c>
      <c r="AN124" t="s">
        <v>242</v>
      </c>
      <c r="AO124" t="s">
        <v>74</v>
      </c>
      <c r="AP124" t="s">
        <v>74</v>
      </c>
      <c r="AQ124" t="s">
        <v>2559</v>
      </c>
      <c r="AR124" t="s">
        <v>2560</v>
      </c>
      <c r="AS124" t="s">
        <v>74</v>
      </c>
      <c r="AT124" t="s">
        <v>74</v>
      </c>
      <c r="AU124">
        <v>2011</v>
      </c>
      <c r="AV124">
        <v>63</v>
      </c>
      <c r="AW124" t="s">
        <v>74</v>
      </c>
      <c r="AX124" t="s">
        <v>74</v>
      </c>
      <c r="AY124" t="s">
        <v>74</v>
      </c>
      <c r="AZ124" t="s">
        <v>74</v>
      </c>
      <c r="BA124" t="s">
        <v>74</v>
      </c>
      <c r="BB124">
        <v>63</v>
      </c>
      <c r="BC124">
        <v>113</v>
      </c>
      <c r="BD124" t="s">
        <v>74</v>
      </c>
      <c r="BE124" t="s">
        <v>2611</v>
      </c>
      <c r="BF124" t="str">
        <f>HYPERLINK("http://dx.doi.org/10.1029/2010SP001049","http://dx.doi.org/10.1029/2010SP001049")</f>
        <v>http://dx.doi.org/10.1029/2010SP001049</v>
      </c>
      <c r="BG124" t="s">
        <v>2561</v>
      </c>
      <c r="BH124" t="s">
        <v>74</v>
      </c>
      <c r="BI124">
        <v>51</v>
      </c>
      <c r="BJ124" t="s">
        <v>397</v>
      </c>
      <c r="BK124" t="s">
        <v>2384</v>
      </c>
      <c r="BL124" t="s">
        <v>397</v>
      </c>
      <c r="BM124" t="s">
        <v>2562</v>
      </c>
      <c r="BN124" t="s">
        <v>74</v>
      </c>
      <c r="BO124" t="s">
        <v>74</v>
      </c>
      <c r="BP124" t="s">
        <v>74</v>
      </c>
      <c r="BQ124" t="s">
        <v>74</v>
      </c>
      <c r="BR124" t="s">
        <v>103</v>
      </c>
      <c r="BS124" t="s">
        <v>2612</v>
      </c>
      <c r="BT124" t="str">
        <f>HYPERLINK("https%3A%2F%2Fwww.webofscience.com%2Fwos%2Fwoscc%2Ffull-record%2FWOS:000300647100005","View Full Record in Web of Science")</f>
        <v>View Full Record in Web of Science</v>
      </c>
    </row>
    <row r="125" spans="1:72" x14ac:dyDescent="0.15">
      <c r="A125" t="s">
        <v>2363</v>
      </c>
      <c r="B125" t="s">
        <v>2613</v>
      </c>
      <c r="C125" t="s">
        <v>74</v>
      </c>
      <c r="D125" t="s">
        <v>2554</v>
      </c>
      <c r="E125" t="s">
        <v>74</v>
      </c>
      <c r="F125" t="s">
        <v>2614</v>
      </c>
      <c r="G125" t="s">
        <v>74</v>
      </c>
      <c r="H125" t="s">
        <v>74</v>
      </c>
      <c r="I125" t="s">
        <v>2615</v>
      </c>
      <c r="J125" t="s">
        <v>2556</v>
      </c>
      <c r="K125" t="s">
        <v>2557</v>
      </c>
      <c r="L125" t="s">
        <v>74</v>
      </c>
      <c r="M125" t="s">
        <v>78</v>
      </c>
      <c r="N125" t="s">
        <v>2370</v>
      </c>
      <c r="O125" t="s">
        <v>74</v>
      </c>
      <c r="P125" t="s">
        <v>74</v>
      </c>
      <c r="Q125" t="s">
        <v>74</v>
      </c>
      <c r="R125" t="s">
        <v>74</v>
      </c>
      <c r="S125" t="s">
        <v>74</v>
      </c>
      <c r="T125" t="s">
        <v>74</v>
      </c>
      <c r="U125" t="s">
        <v>2616</v>
      </c>
      <c r="V125" t="s">
        <v>2617</v>
      </c>
      <c r="W125" t="s">
        <v>2618</v>
      </c>
      <c r="X125" t="s">
        <v>2619</v>
      </c>
      <c r="Y125" t="s">
        <v>2620</v>
      </c>
      <c r="Z125" t="s">
        <v>2621</v>
      </c>
      <c r="AA125" t="s">
        <v>2622</v>
      </c>
      <c r="AB125" t="s">
        <v>2623</v>
      </c>
      <c r="AC125" t="s">
        <v>74</v>
      </c>
      <c r="AD125" t="s">
        <v>74</v>
      </c>
      <c r="AE125" t="s">
        <v>74</v>
      </c>
      <c r="AF125" t="s">
        <v>74</v>
      </c>
      <c r="AG125">
        <v>39</v>
      </c>
      <c r="AH125">
        <v>3</v>
      </c>
      <c r="AI125">
        <v>3</v>
      </c>
      <c r="AJ125">
        <v>0</v>
      </c>
      <c r="AK125">
        <v>1</v>
      </c>
      <c r="AL125" t="s">
        <v>240</v>
      </c>
      <c r="AM125" t="s">
        <v>241</v>
      </c>
      <c r="AN125" t="s">
        <v>242</v>
      </c>
      <c r="AO125" t="s">
        <v>74</v>
      </c>
      <c r="AP125" t="s">
        <v>74</v>
      </c>
      <c r="AQ125" t="s">
        <v>2559</v>
      </c>
      <c r="AR125" t="s">
        <v>2560</v>
      </c>
      <c r="AS125" t="s">
        <v>74</v>
      </c>
      <c r="AT125" t="s">
        <v>74</v>
      </c>
      <c r="AU125">
        <v>2011</v>
      </c>
      <c r="AV125">
        <v>63</v>
      </c>
      <c r="AW125" t="s">
        <v>74</v>
      </c>
      <c r="AX125" t="s">
        <v>74</v>
      </c>
      <c r="AY125" t="s">
        <v>74</v>
      </c>
      <c r="AZ125" t="s">
        <v>74</v>
      </c>
      <c r="BA125" t="s">
        <v>74</v>
      </c>
      <c r="BB125">
        <v>115</v>
      </c>
      <c r="BC125">
        <v>130</v>
      </c>
      <c r="BD125" t="s">
        <v>74</v>
      </c>
      <c r="BE125" t="s">
        <v>2624</v>
      </c>
      <c r="BF125" t="str">
        <f>HYPERLINK("http://dx.doi.org/10.1029/2011SP001100","http://dx.doi.org/10.1029/2011SP001100")</f>
        <v>http://dx.doi.org/10.1029/2011SP001100</v>
      </c>
      <c r="BG125" t="s">
        <v>2561</v>
      </c>
      <c r="BH125" t="s">
        <v>74</v>
      </c>
      <c r="BI125">
        <v>16</v>
      </c>
      <c r="BJ125" t="s">
        <v>397</v>
      </c>
      <c r="BK125" t="s">
        <v>2384</v>
      </c>
      <c r="BL125" t="s">
        <v>397</v>
      </c>
      <c r="BM125" t="s">
        <v>2562</v>
      </c>
      <c r="BN125" t="s">
        <v>74</v>
      </c>
      <c r="BO125" t="s">
        <v>74</v>
      </c>
      <c r="BP125" t="s">
        <v>74</v>
      </c>
      <c r="BQ125" t="s">
        <v>74</v>
      </c>
      <c r="BR125" t="s">
        <v>103</v>
      </c>
      <c r="BS125" t="s">
        <v>2625</v>
      </c>
      <c r="BT125" t="str">
        <f>HYPERLINK("https%3A%2F%2Fwww.webofscience.com%2Fwos%2Fwoscc%2Ffull-record%2FWOS:000300647100006","View Full Record in Web of Science")</f>
        <v>View Full Record in Web of Science</v>
      </c>
    </row>
    <row r="126" spans="1:72" x14ac:dyDescent="0.15">
      <c r="A126" t="s">
        <v>2363</v>
      </c>
      <c r="B126" t="s">
        <v>2626</v>
      </c>
      <c r="C126" t="s">
        <v>74</v>
      </c>
      <c r="D126" t="s">
        <v>2554</v>
      </c>
      <c r="E126" t="s">
        <v>74</v>
      </c>
      <c r="F126" t="s">
        <v>2627</v>
      </c>
      <c r="G126" t="s">
        <v>74</v>
      </c>
      <c r="H126" t="s">
        <v>74</v>
      </c>
      <c r="I126" t="s">
        <v>2628</v>
      </c>
      <c r="J126" t="s">
        <v>2556</v>
      </c>
      <c r="K126" t="s">
        <v>2557</v>
      </c>
      <c r="L126" t="s">
        <v>74</v>
      </c>
      <c r="M126" t="s">
        <v>78</v>
      </c>
      <c r="N126" t="s">
        <v>2370</v>
      </c>
      <c r="O126" t="s">
        <v>74</v>
      </c>
      <c r="P126" t="s">
        <v>74</v>
      </c>
      <c r="Q126" t="s">
        <v>74</v>
      </c>
      <c r="R126" t="s">
        <v>74</v>
      </c>
      <c r="S126" t="s">
        <v>74</v>
      </c>
      <c r="T126" t="s">
        <v>74</v>
      </c>
      <c r="U126" t="s">
        <v>2629</v>
      </c>
      <c r="V126" t="s">
        <v>2630</v>
      </c>
      <c r="W126" t="s">
        <v>2631</v>
      </c>
      <c r="X126" t="s">
        <v>2632</v>
      </c>
      <c r="Y126" t="s">
        <v>2633</v>
      </c>
      <c r="Z126" t="s">
        <v>2634</v>
      </c>
      <c r="AA126" t="s">
        <v>2635</v>
      </c>
      <c r="AB126" t="s">
        <v>2636</v>
      </c>
      <c r="AC126" t="s">
        <v>74</v>
      </c>
      <c r="AD126" t="s">
        <v>74</v>
      </c>
      <c r="AE126" t="s">
        <v>74</v>
      </c>
      <c r="AF126" t="s">
        <v>74</v>
      </c>
      <c r="AG126">
        <v>57</v>
      </c>
      <c r="AH126">
        <v>11</v>
      </c>
      <c r="AI126">
        <v>13</v>
      </c>
      <c r="AJ126">
        <v>1</v>
      </c>
      <c r="AK126">
        <v>3</v>
      </c>
      <c r="AL126" t="s">
        <v>240</v>
      </c>
      <c r="AM126" t="s">
        <v>241</v>
      </c>
      <c r="AN126" t="s">
        <v>242</v>
      </c>
      <c r="AO126" t="s">
        <v>74</v>
      </c>
      <c r="AP126" t="s">
        <v>74</v>
      </c>
      <c r="AQ126" t="s">
        <v>2559</v>
      </c>
      <c r="AR126" t="s">
        <v>2560</v>
      </c>
      <c r="AS126" t="s">
        <v>74</v>
      </c>
      <c r="AT126" t="s">
        <v>74</v>
      </c>
      <c r="AU126">
        <v>2011</v>
      </c>
      <c r="AV126">
        <v>63</v>
      </c>
      <c r="AW126" t="s">
        <v>74</v>
      </c>
      <c r="AX126" t="s">
        <v>74</v>
      </c>
      <c r="AY126" t="s">
        <v>74</v>
      </c>
      <c r="AZ126" t="s">
        <v>74</v>
      </c>
      <c r="BA126" t="s">
        <v>74</v>
      </c>
      <c r="BB126">
        <v>131</v>
      </c>
      <c r="BC126">
        <v>151</v>
      </c>
      <c r="BD126" t="s">
        <v>74</v>
      </c>
      <c r="BE126" t="s">
        <v>2637</v>
      </c>
      <c r="BF126" t="str">
        <f>HYPERLINK("http://dx.doi.org/10.1029/2010SP001047","http://dx.doi.org/10.1029/2010SP001047")</f>
        <v>http://dx.doi.org/10.1029/2010SP001047</v>
      </c>
      <c r="BG126" t="s">
        <v>2561</v>
      </c>
      <c r="BH126" t="s">
        <v>74</v>
      </c>
      <c r="BI126">
        <v>21</v>
      </c>
      <c r="BJ126" t="s">
        <v>397</v>
      </c>
      <c r="BK126" t="s">
        <v>2384</v>
      </c>
      <c r="BL126" t="s">
        <v>397</v>
      </c>
      <c r="BM126" t="s">
        <v>2562</v>
      </c>
      <c r="BN126" t="s">
        <v>74</v>
      </c>
      <c r="BO126" t="s">
        <v>74</v>
      </c>
      <c r="BP126" t="s">
        <v>74</v>
      </c>
      <c r="BQ126" t="s">
        <v>74</v>
      </c>
      <c r="BR126" t="s">
        <v>103</v>
      </c>
      <c r="BS126" t="s">
        <v>2638</v>
      </c>
      <c r="BT126" t="str">
        <f>HYPERLINK("https%3A%2F%2Fwww.webofscience.com%2Fwos%2Fwoscc%2Ffull-record%2FWOS:000300647100007","View Full Record in Web of Science")</f>
        <v>View Full Record in Web of Science</v>
      </c>
    </row>
    <row r="127" spans="1:72" x14ac:dyDescent="0.15">
      <c r="A127" t="s">
        <v>2363</v>
      </c>
      <c r="B127" t="s">
        <v>2639</v>
      </c>
      <c r="C127" t="s">
        <v>74</v>
      </c>
      <c r="D127" t="s">
        <v>2554</v>
      </c>
      <c r="E127" t="s">
        <v>74</v>
      </c>
      <c r="F127" t="s">
        <v>2640</v>
      </c>
      <c r="G127" t="s">
        <v>74</v>
      </c>
      <c r="H127" t="s">
        <v>74</v>
      </c>
      <c r="I127" t="s">
        <v>2641</v>
      </c>
      <c r="J127" t="s">
        <v>2556</v>
      </c>
      <c r="K127" t="s">
        <v>2557</v>
      </c>
      <c r="L127" t="s">
        <v>74</v>
      </c>
      <c r="M127" t="s">
        <v>78</v>
      </c>
      <c r="N127" t="s">
        <v>2370</v>
      </c>
      <c r="O127" t="s">
        <v>74</v>
      </c>
      <c r="P127" t="s">
        <v>74</v>
      </c>
      <c r="Q127" t="s">
        <v>74</v>
      </c>
      <c r="R127" t="s">
        <v>74</v>
      </c>
      <c r="S127" t="s">
        <v>74</v>
      </c>
      <c r="T127" t="s">
        <v>74</v>
      </c>
      <c r="U127" t="s">
        <v>2642</v>
      </c>
      <c r="V127" t="s">
        <v>2643</v>
      </c>
      <c r="W127" t="s">
        <v>2644</v>
      </c>
      <c r="X127" t="s">
        <v>2593</v>
      </c>
      <c r="Y127" t="s">
        <v>2645</v>
      </c>
      <c r="Z127" t="s">
        <v>2646</v>
      </c>
      <c r="AA127" t="s">
        <v>2647</v>
      </c>
      <c r="AB127" t="s">
        <v>74</v>
      </c>
      <c r="AC127" t="s">
        <v>74</v>
      </c>
      <c r="AD127" t="s">
        <v>74</v>
      </c>
      <c r="AE127" t="s">
        <v>74</v>
      </c>
      <c r="AF127" t="s">
        <v>74</v>
      </c>
      <c r="AG127">
        <v>23</v>
      </c>
      <c r="AH127">
        <v>19</v>
      </c>
      <c r="AI127">
        <v>20</v>
      </c>
      <c r="AJ127">
        <v>0</v>
      </c>
      <c r="AK127">
        <v>1</v>
      </c>
      <c r="AL127" t="s">
        <v>240</v>
      </c>
      <c r="AM127" t="s">
        <v>241</v>
      </c>
      <c r="AN127" t="s">
        <v>242</v>
      </c>
      <c r="AO127" t="s">
        <v>74</v>
      </c>
      <c r="AP127" t="s">
        <v>74</v>
      </c>
      <c r="AQ127" t="s">
        <v>2559</v>
      </c>
      <c r="AR127" t="s">
        <v>2560</v>
      </c>
      <c r="AS127" t="s">
        <v>74</v>
      </c>
      <c r="AT127" t="s">
        <v>74</v>
      </c>
      <c r="AU127">
        <v>2011</v>
      </c>
      <c r="AV127">
        <v>63</v>
      </c>
      <c r="AW127" t="s">
        <v>74</v>
      </c>
      <c r="AX127" t="s">
        <v>74</v>
      </c>
      <c r="AY127" t="s">
        <v>74</v>
      </c>
      <c r="AZ127" t="s">
        <v>74</v>
      </c>
      <c r="BA127" t="s">
        <v>74</v>
      </c>
      <c r="BB127">
        <v>153</v>
      </c>
      <c r="BC127">
        <v>165</v>
      </c>
      <c r="BD127" t="s">
        <v>74</v>
      </c>
      <c r="BE127" t="s">
        <v>2648</v>
      </c>
      <c r="BF127" t="str">
        <f>HYPERLINK("http://dx.doi.org/10.1029/2010SP001046","http://dx.doi.org/10.1029/2010SP001046")</f>
        <v>http://dx.doi.org/10.1029/2010SP001046</v>
      </c>
      <c r="BG127" t="s">
        <v>2561</v>
      </c>
      <c r="BH127" t="s">
        <v>74</v>
      </c>
      <c r="BI127">
        <v>13</v>
      </c>
      <c r="BJ127" t="s">
        <v>397</v>
      </c>
      <c r="BK127" t="s">
        <v>2384</v>
      </c>
      <c r="BL127" t="s">
        <v>397</v>
      </c>
      <c r="BM127" t="s">
        <v>2562</v>
      </c>
      <c r="BN127" t="s">
        <v>74</v>
      </c>
      <c r="BO127" t="s">
        <v>74</v>
      </c>
      <c r="BP127" t="s">
        <v>74</v>
      </c>
      <c r="BQ127" t="s">
        <v>74</v>
      </c>
      <c r="BR127" t="s">
        <v>103</v>
      </c>
      <c r="BS127" t="s">
        <v>2649</v>
      </c>
      <c r="BT127" t="str">
        <f>HYPERLINK("https%3A%2F%2Fwww.webofscience.com%2Fwos%2Fwoscc%2Ffull-record%2FWOS:000300647100008","View Full Record in Web of Science")</f>
        <v>View Full Record in Web of Science</v>
      </c>
    </row>
    <row r="128" spans="1:72" x14ac:dyDescent="0.15">
      <c r="A128" t="s">
        <v>2363</v>
      </c>
      <c r="B128" t="s">
        <v>2650</v>
      </c>
      <c r="C128" t="s">
        <v>74</v>
      </c>
      <c r="D128" t="s">
        <v>2554</v>
      </c>
      <c r="E128" t="s">
        <v>74</v>
      </c>
      <c r="F128" t="s">
        <v>2651</v>
      </c>
      <c r="G128" t="s">
        <v>74</v>
      </c>
      <c r="H128" t="s">
        <v>74</v>
      </c>
      <c r="I128" t="s">
        <v>2652</v>
      </c>
      <c r="J128" t="s">
        <v>2556</v>
      </c>
      <c r="K128" t="s">
        <v>2557</v>
      </c>
      <c r="L128" t="s">
        <v>74</v>
      </c>
      <c r="M128" t="s">
        <v>78</v>
      </c>
      <c r="N128" t="s">
        <v>2370</v>
      </c>
      <c r="O128" t="s">
        <v>74</v>
      </c>
      <c r="P128" t="s">
        <v>74</v>
      </c>
      <c r="Q128" t="s">
        <v>74</v>
      </c>
      <c r="R128" t="s">
        <v>74</v>
      </c>
      <c r="S128" t="s">
        <v>74</v>
      </c>
      <c r="T128" t="s">
        <v>74</v>
      </c>
      <c r="U128" t="s">
        <v>2653</v>
      </c>
      <c r="V128" t="s">
        <v>2654</v>
      </c>
      <c r="W128" t="s">
        <v>2655</v>
      </c>
      <c r="X128" t="s">
        <v>2656</v>
      </c>
      <c r="Y128" t="s">
        <v>2657</v>
      </c>
      <c r="Z128" t="s">
        <v>2658</v>
      </c>
      <c r="AA128" t="s">
        <v>2607</v>
      </c>
      <c r="AB128" t="s">
        <v>2659</v>
      </c>
      <c r="AC128" t="s">
        <v>2609</v>
      </c>
      <c r="AD128" t="s">
        <v>2610</v>
      </c>
      <c r="AE128" t="s">
        <v>74</v>
      </c>
      <c r="AF128" t="s">
        <v>74</v>
      </c>
      <c r="AG128">
        <v>34</v>
      </c>
      <c r="AH128">
        <v>17</v>
      </c>
      <c r="AI128">
        <v>22</v>
      </c>
      <c r="AJ128">
        <v>0</v>
      </c>
      <c r="AK128">
        <v>3</v>
      </c>
      <c r="AL128" t="s">
        <v>240</v>
      </c>
      <c r="AM128" t="s">
        <v>241</v>
      </c>
      <c r="AN128" t="s">
        <v>242</v>
      </c>
      <c r="AO128" t="s">
        <v>74</v>
      </c>
      <c r="AP128" t="s">
        <v>74</v>
      </c>
      <c r="AQ128" t="s">
        <v>2559</v>
      </c>
      <c r="AR128" t="s">
        <v>2560</v>
      </c>
      <c r="AS128" t="s">
        <v>74</v>
      </c>
      <c r="AT128" t="s">
        <v>74</v>
      </c>
      <c r="AU128">
        <v>2011</v>
      </c>
      <c r="AV128">
        <v>63</v>
      </c>
      <c r="AW128" t="s">
        <v>74</v>
      </c>
      <c r="AX128" t="s">
        <v>74</v>
      </c>
      <c r="AY128" t="s">
        <v>74</v>
      </c>
      <c r="AZ128" t="s">
        <v>74</v>
      </c>
      <c r="BA128" t="s">
        <v>74</v>
      </c>
      <c r="BB128">
        <v>167</v>
      </c>
      <c r="BC128">
        <v>192</v>
      </c>
      <c r="BD128" t="s">
        <v>74</v>
      </c>
      <c r="BE128" t="s">
        <v>2660</v>
      </c>
      <c r="BF128" t="str">
        <f>HYPERLINK("http://dx.doi.org/10.1029/2010SP000996","http://dx.doi.org/10.1029/2010SP000996")</f>
        <v>http://dx.doi.org/10.1029/2010SP000996</v>
      </c>
      <c r="BG128" t="s">
        <v>2561</v>
      </c>
      <c r="BH128" t="s">
        <v>74</v>
      </c>
      <c r="BI128">
        <v>26</v>
      </c>
      <c r="BJ128" t="s">
        <v>397</v>
      </c>
      <c r="BK128" t="s">
        <v>2384</v>
      </c>
      <c r="BL128" t="s">
        <v>397</v>
      </c>
      <c r="BM128" t="s">
        <v>2562</v>
      </c>
      <c r="BN128" t="s">
        <v>74</v>
      </c>
      <c r="BO128" t="s">
        <v>74</v>
      </c>
      <c r="BP128" t="s">
        <v>74</v>
      </c>
      <c r="BQ128" t="s">
        <v>74</v>
      </c>
      <c r="BR128" t="s">
        <v>103</v>
      </c>
      <c r="BS128" t="s">
        <v>2661</v>
      </c>
      <c r="BT128" t="str">
        <f>HYPERLINK("https%3A%2F%2Fwww.webofscience.com%2Fwos%2Fwoscc%2Ffull-record%2FWOS:000300647100009","View Full Record in Web of Science")</f>
        <v>View Full Record in Web of Science</v>
      </c>
    </row>
    <row r="129" spans="1:72" x14ac:dyDescent="0.15">
      <c r="A129" t="s">
        <v>2363</v>
      </c>
      <c r="B129" t="s">
        <v>2650</v>
      </c>
      <c r="C129" t="s">
        <v>74</v>
      </c>
      <c r="D129" t="s">
        <v>2554</v>
      </c>
      <c r="E129" t="s">
        <v>74</v>
      </c>
      <c r="F129" t="s">
        <v>2651</v>
      </c>
      <c r="G129" t="s">
        <v>74</v>
      </c>
      <c r="H129" t="s">
        <v>74</v>
      </c>
      <c r="I129" t="s">
        <v>2662</v>
      </c>
      <c r="J129" t="s">
        <v>2556</v>
      </c>
      <c r="K129" t="s">
        <v>2557</v>
      </c>
      <c r="L129" t="s">
        <v>74</v>
      </c>
      <c r="M129" t="s">
        <v>78</v>
      </c>
      <c r="N129" t="s">
        <v>2370</v>
      </c>
      <c r="O129" t="s">
        <v>74</v>
      </c>
      <c r="P129" t="s">
        <v>74</v>
      </c>
      <c r="Q129" t="s">
        <v>74</v>
      </c>
      <c r="R129" t="s">
        <v>74</v>
      </c>
      <c r="S129" t="s">
        <v>74</v>
      </c>
      <c r="T129" t="s">
        <v>74</v>
      </c>
      <c r="U129" t="s">
        <v>2663</v>
      </c>
      <c r="V129" t="s">
        <v>2664</v>
      </c>
      <c r="W129" t="s">
        <v>2655</v>
      </c>
      <c r="X129" t="s">
        <v>2656</v>
      </c>
      <c r="Y129" t="s">
        <v>2657</v>
      </c>
      <c r="Z129" t="s">
        <v>2658</v>
      </c>
      <c r="AA129" t="s">
        <v>2607</v>
      </c>
      <c r="AB129" t="s">
        <v>2659</v>
      </c>
      <c r="AC129" t="s">
        <v>2665</v>
      </c>
      <c r="AD129" t="s">
        <v>2666</v>
      </c>
      <c r="AE129" t="s">
        <v>74</v>
      </c>
      <c r="AF129" t="s">
        <v>74</v>
      </c>
      <c r="AG129">
        <v>38</v>
      </c>
      <c r="AH129">
        <v>21</v>
      </c>
      <c r="AI129">
        <v>30</v>
      </c>
      <c r="AJ129">
        <v>0</v>
      </c>
      <c r="AK129">
        <v>3</v>
      </c>
      <c r="AL129" t="s">
        <v>240</v>
      </c>
      <c r="AM129" t="s">
        <v>241</v>
      </c>
      <c r="AN129" t="s">
        <v>242</v>
      </c>
      <c r="AO129" t="s">
        <v>74</v>
      </c>
      <c r="AP129" t="s">
        <v>74</v>
      </c>
      <c r="AQ129" t="s">
        <v>2559</v>
      </c>
      <c r="AR129" t="s">
        <v>2560</v>
      </c>
      <c r="AS129" t="s">
        <v>74</v>
      </c>
      <c r="AT129" t="s">
        <v>74</v>
      </c>
      <c r="AU129">
        <v>2011</v>
      </c>
      <c r="AV129">
        <v>63</v>
      </c>
      <c r="AW129" t="s">
        <v>74</v>
      </c>
      <c r="AX129" t="s">
        <v>74</v>
      </c>
      <c r="AY129" t="s">
        <v>74</v>
      </c>
      <c r="AZ129" t="s">
        <v>74</v>
      </c>
      <c r="BA129" t="s">
        <v>74</v>
      </c>
      <c r="BB129">
        <v>193</v>
      </c>
      <c r="BC129">
        <v>210</v>
      </c>
      <c r="BD129" t="s">
        <v>74</v>
      </c>
      <c r="BE129" t="s">
        <v>2667</v>
      </c>
      <c r="BF129" t="str">
        <f>HYPERLINK("http://dx.doi.org/10.1029/2010SP000965","http://dx.doi.org/10.1029/2010SP000965")</f>
        <v>http://dx.doi.org/10.1029/2010SP000965</v>
      </c>
      <c r="BG129" t="s">
        <v>2561</v>
      </c>
      <c r="BH129" t="s">
        <v>74</v>
      </c>
      <c r="BI129">
        <v>18</v>
      </c>
      <c r="BJ129" t="s">
        <v>397</v>
      </c>
      <c r="BK129" t="s">
        <v>2384</v>
      </c>
      <c r="BL129" t="s">
        <v>397</v>
      </c>
      <c r="BM129" t="s">
        <v>2562</v>
      </c>
      <c r="BN129" t="s">
        <v>74</v>
      </c>
      <c r="BO129" t="s">
        <v>74</v>
      </c>
      <c r="BP129" t="s">
        <v>74</v>
      </c>
      <c r="BQ129" t="s">
        <v>74</v>
      </c>
      <c r="BR129" t="s">
        <v>103</v>
      </c>
      <c r="BS129" t="s">
        <v>2668</v>
      </c>
      <c r="BT129" t="str">
        <f>HYPERLINK("https%3A%2F%2Fwww.webofscience.com%2Fwos%2Fwoscc%2Ffull-record%2FWOS:000300647100010","View Full Record in Web of Science")</f>
        <v>View Full Record in Web of Science</v>
      </c>
    </row>
    <row r="130" spans="1:72" x14ac:dyDescent="0.15">
      <c r="A130" t="s">
        <v>2268</v>
      </c>
      <c r="B130" t="s">
        <v>2669</v>
      </c>
      <c r="C130" t="s">
        <v>74</v>
      </c>
      <c r="D130" t="s">
        <v>2670</v>
      </c>
      <c r="E130" t="s">
        <v>74</v>
      </c>
      <c r="F130" t="s">
        <v>2671</v>
      </c>
      <c r="G130" t="s">
        <v>74</v>
      </c>
      <c r="H130" t="s">
        <v>74</v>
      </c>
      <c r="I130" t="s">
        <v>2672</v>
      </c>
      <c r="J130" t="s">
        <v>2673</v>
      </c>
      <c r="K130" t="s">
        <v>74</v>
      </c>
      <c r="L130" t="s">
        <v>74</v>
      </c>
      <c r="M130" t="s">
        <v>78</v>
      </c>
      <c r="N130" t="s">
        <v>2275</v>
      </c>
      <c r="O130" t="s">
        <v>2674</v>
      </c>
      <c r="P130" t="s">
        <v>2675</v>
      </c>
      <c r="Q130" t="s">
        <v>2676</v>
      </c>
      <c r="R130" t="s">
        <v>74</v>
      </c>
      <c r="S130" t="s">
        <v>2677</v>
      </c>
      <c r="T130" t="s">
        <v>74</v>
      </c>
      <c r="U130" t="s">
        <v>74</v>
      </c>
      <c r="V130" t="s">
        <v>2678</v>
      </c>
      <c r="W130" t="s">
        <v>2679</v>
      </c>
      <c r="X130" t="s">
        <v>2680</v>
      </c>
      <c r="Y130" t="s">
        <v>74</v>
      </c>
      <c r="Z130" t="s">
        <v>2681</v>
      </c>
      <c r="AA130" t="s">
        <v>74</v>
      </c>
      <c r="AB130" t="s">
        <v>74</v>
      </c>
      <c r="AC130" t="s">
        <v>74</v>
      </c>
      <c r="AD130" t="s">
        <v>74</v>
      </c>
      <c r="AE130" t="s">
        <v>74</v>
      </c>
      <c r="AF130" t="s">
        <v>74</v>
      </c>
      <c r="AG130">
        <v>67</v>
      </c>
      <c r="AH130">
        <v>8</v>
      </c>
      <c r="AI130">
        <v>9</v>
      </c>
      <c r="AJ130">
        <v>0</v>
      </c>
      <c r="AK130">
        <v>14</v>
      </c>
      <c r="AL130" t="s">
        <v>2682</v>
      </c>
      <c r="AM130" t="s">
        <v>241</v>
      </c>
      <c r="AN130" t="s">
        <v>2683</v>
      </c>
      <c r="AO130" t="s">
        <v>74</v>
      </c>
      <c r="AP130" t="s">
        <v>74</v>
      </c>
      <c r="AQ130" t="s">
        <v>2684</v>
      </c>
      <c r="AR130" t="s">
        <v>74</v>
      </c>
      <c r="AS130" t="s">
        <v>74</v>
      </c>
      <c r="AT130" t="s">
        <v>74</v>
      </c>
      <c r="AU130">
        <v>2011</v>
      </c>
      <c r="AV130" t="s">
        <v>74</v>
      </c>
      <c r="AW130" t="s">
        <v>74</v>
      </c>
      <c r="AX130" t="s">
        <v>74</v>
      </c>
      <c r="AY130" t="s">
        <v>74</v>
      </c>
      <c r="AZ130" t="s">
        <v>74</v>
      </c>
      <c r="BA130" t="s">
        <v>74</v>
      </c>
      <c r="BB130">
        <v>17</v>
      </c>
      <c r="BC130">
        <v>27</v>
      </c>
      <c r="BD130" t="s">
        <v>74</v>
      </c>
      <c r="BE130" t="s">
        <v>74</v>
      </c>
      <c r="BF130" t="s">
        <v>74</v>
      </c>
      <c r="BG130" t="s">
        <v>74</v>
      </c>
      <c r="BH130" t="s">
        <v>74</v>
      </c>
      <c r="BI130">
        <v>11</v>
      </c>
      <c r="BJ130" t="s">
        <v>2685</v>
      </c>
      <c r="BK130" t="s">
        <v>2686</v>
      </c>
      <c r="BL130" t="s">
        <v>2687</v>
      </c>
      <c r="BM130" t="s">
        <v>2688</v>
      </c>
      <c r="BN130" t="s">
        <v>74</v>
      </c>
      <c r="BO130" t="s">
        <v>74</v>
      </c>
      <c r="BP130" t="s">
        <v>74</v>
      </c>
      <c r="BQ130" t="s">
        <v>74</v>
      </c>
      <c r="BR130" t="s">
        <v>103</v>
      </c>
      <c r="BS130" t="s">
        <v>2689</v>
      </c>
      <c r="BT130" t="str">
        <f>HYPERLINK("https%3A%2F%2Fwww.webofscience.com%2Fwos%2Fwoscc%2Ffull-record%2FWOS:000301091500002","View Full Record in Web of Science")</f>
        <v>View Full Record in Web of Science</v>
      </c>
    </row>
    <row r="131" spans="1:72" x14ac:dyDescent="0.15">
      <c r="A131" t="s">
        <v>2268</v>
      </c>
      <c r="B131" t="s">
        <v>2690</v>
      </c>
      <c r="C131" t="s">
        <v>74</v>
      </c>
      <c r="D131" t="s">
        <v>2670</v>
      </c>
      <c r="E131" t="s">
        <v>74</v>
      </c>
      <c r="F131" t="s">
        <v>2691</v>
      </c>
      <c r="G131" t="s">
        <v>74</v>
      </c>
      <c r="H131" t="s">
        <v>74</v>
      </c>
      <c r="I131" t="s">
        <v>2692</v>
      </c>
      <c r="J131" t="s">
        <v>2673</v>
      </c>
      <c r="K131" t="s">
        <v>74</v>
      </c>
      <c r="L131" t="s">
        <v>74</v>
      </c>
      <c r="M131" t="s">
        <v>78</v>
      </c>
      <c r="N131" t="s">
        <v>2275</v>
      </c>
      <c r="O131" t="s">
        <v>2674</v>
      </c>
      <c r="P131" t="s">
        <v>2675</v>
      </c>
      <c r="Q131" t="s">
        <v>2676</v>
      </c>
      <c r="R131" t="s">
        <v>74</v>
      </c>
      <c r="S131" t="s">
        <v>2677</v>
      </c>
      <c r="T131" t="s">
        <v>74</v>
      </c>
      <c r="U131" t="s">
        <v>74</v>
      </c>
      <c r="V131" t="s">
        <v>2693</v>
      </c>
      <c r="W131" t="s">
        <v>2694</v>
      </c>
      <c r="X131" t="s">
        <v>571</v>
      </c>
      <c r="Y131" t="s">
        <v>74</v>
      </c>
      <c r="Z131" t="s">
        <v>2695</v>
      </c>
      <c r="AA131" t="s">
        <v>74</v>
      </c>
      <c r="AB131" t="s">
        <v>74</v>
      </c>
      <c r="AC131" t="s">
        <v>74</v>
      </c>
      <c r="AD131" t="s">
        <v>74</v>
      </c>
      <c r="AE131" t="s">
        <v>74</v>
      </c>
      <c r="AF131" t="s">
        <v>74</v>
      </c>
      <c r="AG131">
        <v>12</v>
      </c>
      <c r="AH131">
        <v>23</v>
      </c>
      <c r="AI131">
        <v>27</v>
      </c>
      <c r="AJ131">
        <v>1</v>
      </c>
      <c r="AK131">
        <v>50</v>
      </c>
      <c r="AL131" t="s">
        <v>2682</v>
      </c>
      <c r="AM131" t="s">
        <v>241</v>
      </c>
      <c r="AN131" t="s">
        <v>2683</v>
      </c>
      <c r="AO131" t="s">
        <v>74</v>
      </c>
      <c r="AP131" t="s">
        <v>74</v>
      </c>
      <c r="AQ131" t="s">
        <v>2684</v>
      </c>
      <c r="AR131" t="s">
        <v>74</v>
      </c>
      <c r="AS131" t="s">
        <v>74</v>
      </c>
      <c r="AT131" t="s">
        <v>74</v>
      </c>
      <c r="AU131">
        <v>2011</v>
      </c>
      <c r="AV131" t="s">
        <v>74</v>
      </c>
      <c r="AW131" t="s">
        <v>74</v>
      </c>
      <c r="AX131" t="s">
        <v>74</v>
      </c>
      <c r="AY131" t="s">
        <v>74</v>
      </c>
      <c r="AZ131" t="s">
        <v>74</v>
      </c>
      <c r="BA131" t="s">
        <v>74</v>
      </c>
      <c r="BB131">
        <v>39</v>
      </c>
      <c r="BC131">
        <v>49</v>
      </c>
      <c r="BD131" t="s">
        <v>74</v>
      </c>
      <c r="BE131" t="s">
        <v>74</v>
      </c>
      <c r="BF131" t="s">
        <v>74</v>
      </c>
      <c r="BG131" t="s">
        <v>74</v>
      </c>
      <c r="BH131" t="s">
        <v>74</v>
      </c>
      <c r="BI131">
        <v>11</v>
      </c>
      <c r="BJ131" t="s">
        <v>2685</v>
      </c>
      <c r="BK131" t="s">
        <v>2686</v>
      </c>
      <c r="BL131" t="s">
        <v>2687</v>
      </c>
      <c r="BM131" t="s">
        <v>2688</v>
      </c>
      <c r="BN131" t="s">
        <v>74</v>
      </c>
      <c r="BO131" t="s">
        <v>74</v>
      </c>
      <c r="BP131" t="s">
        <v>74</v>
      </c>
      <c r="BQ131" t="s">
        <v>74</v>
      </c>
      <c r="BR131" t="s">
        <v>103</v>
      </c>
      <c r="BS131" t="s">
        <v>2696</v>
      </c>
      <c r="BT131" t="str">
        <f>HYPERLINK("https%3A%2F%2Fwww.webofscience.com%2Fwos%2Fwoscc%2Ffull-record%2FWOS:000301091500004","View Full Record in Web of Science")</f>
        <v>View Full Record in Web of Science</v>
      </c>
    </row>
    <row r="132" spans="1:72" x14ac:dyDescent="0.15">
      <c r="A132" t="s">
        <v>2268</v>
      </c>
      <c r="B132" t="s">
        <v>2697</v>
      </c>
      <c r="C132" t="s">
        <v>74</v>
      </c>
      <c r="D132" t="s">
        <v>2670</v>
      </c>
      <c r="E132" t="s">
        <v>74</v>
      </c>
      <c r="F132" t="s">
        <v>2698</v>
      </c>
      <c r="G132" t="s">
        <v>74</v>
      </c>
      <c r="H132" t="s">
        <v>74</v>
      </c>
      <c r="I132" t="s">
        <v>2699</v>
      </c>
      <c r="J132" t="s">
        <v>2673</v>
      </c>
      <c r="K132" t="s">
        <v>74</v>
      </c>
      <c r="L132" t="s">
        <v>74</v>
      </c>
      <c r="M132" t="s">
        <v>78</v>
      </c>
      <c r="N132" t="s">
        <v>2275</v>
      </c>
      <c r="O132" t="s">
        <v>2674</v>
      </c>
      <c r="P132" t="s">
        <v>2675</v>
      </c>
      <c r="Q132" t="s">
        <v>2676</v>
      </c>
      <c r="R132" t="s">
        <v>74</v>
      </c>
      <c r="S132" t="s">
        <v>2677</v>
      </c>
      <c r="T132" t="s">
        <v>74</v>
      </c>
      <c r="U132" t="s">
        <v>74</v>
      </c>
      <c r="V132" t="s">
        <v>74</v>
      </c>
      <c r="W132" t="s">
        <v>2700</v>
      </c>
      <c r="X132" t="s">
        <v>2701</v>
      </c>
      <c r="Y132" t="s">
        <v>74</v>
      </c>
      <c r="Z132" t="s">
        <v>2702</v>
      </c>
      <c r="AA132" t="s">
        <v>74</v>
      </c>
      <c r="AB132" t="s">
        <v>74</v>
      </c>
      <c r="AC132" t="s">
        <v>74</v>
      </c>
      <c r="AD132" t="s">
        <v>74</v>
      </c>
      <c r="AE132" t="s">
        <v>74</v>
      </c>
      <c r="AF132" t="s">
        <v>74</v>
      </c>
      <c r="AG132">
        <v>13</v>
      </c>
      <c r="AH132">
        <v>13</v>
      </c>
      <c r="AI132">
        <v>13</v>
      </c>
      <c r="AJ132">
        <v>2</v>
      </c>
      <c r="AK132">
        <v>12</v>
      </c>
      <c r="AL132" t="s">
        <v>2682</v>
      </c>
      <c r="AM132" t="s">
        <v>241</v>
      </c>
      <c r="AN132" t="s">
        <v>2683</v>
      </c>
      <c r="AO132" t="s">
        <v>74</v>
      </c>
      <c r="AP132" t="s">
        <v>74</v>
      </c>
      <c r="AQ132" t="s">
        <v>2684</v>
      </c>
      <c r="AR132" t="s">
        <v>74</v>
      </c>
      <c r="AS132" t="s">
        <v>74</v>
      </c>
      <c r="AT132" t="s">
        <v>74</v>
      </c>
      <c r="AU132">
        <v>2011</v>
      </c>
      <c r="AV132" t="s">
        <v>74</v>
      </c>
      <c r="AW132" t="s">
        <v>74</v>
      </c>
      <c r="AX132" t="s">
        <v>74</v>
      </c>
      <c r="AY132" t="s">
        <v>74</v>
      </c>
      <c r="AZ132" t="s">
        <v>74</v>
      </c>
      <c r="BA132" t="s">
        <v>74</v>
      </c>
      <c r="BB132">
        <v>59</v>
      </c>
      <c r="BC132">
        <v>67</v>
      </c>
      <c r="BD132" t="s">
        <v>74</v>
      </c>
      <c r="BE132" t="s">
        <v>74</v>
      </c>
      <c r="BF132" t="s">
        <v>74</v>
      </c>
      <c r="BG132" t="s">
        <v>74</v>
      </c>
      <c r="BH132" t="s">
        <v>74</v>
      </c>
      <c r="BI132">
        <v>9</v>
      </c>
      <c r="BJ132" t="s">
        <v>2685</v>
      </c>
      <c r="BK132" t="s">
        <v>2686</v>
      </c>
      <c r="BL132" t="s">
        <v>2687</v>
      </c>
      <c r="BM132" t="s">
        <v>2688</v>
      </c>
      <c r="BN132" t="s">
        <v>74</v>
      </c>
      <c r="BO132" t="s">
        <v>74</v>
      </c>
      <c r="BP132" t="s">
        <v>74</v>
      </c>
      <c r="BQ132" t="s">
        <v>74</v>
      </c>
      <c r="BR132" t="s">
        <v>103</v>
      </c>
      <c r="BS132" t="s">
        <v>2703</v>
      </c>
      <c r="BT132" t="str">
        <f>HYPERLINK("https%3A%2F%2Fwww.webofscience.com%2Fwos%2Fwoscc%2Ffull-record%2FWOS:000301091500006","View Full Record in Web of Science")</f>
        <v>View Full Record in Web of Science</v>
      </c>
    </row>
    <row r="133" spans="1:72" x14ac:dyDescent="0.15">
      <c r="A133" t="s">
        <v>2268</v>
      </c>
      <c r="B133" t="s">
        <v>2704</v>
      </c>
      <c r="C133" t="s">
        <v>74</v>
      </c>
      <c r="D133" t="s">
        <v>2670</v>
      </c>
      <c r="E133" t="s">
        <v>74</v>
      </c>
      <c r="F133" t="s">
        <v>2705</v>
      </c>
      <c r="G133" t="s">
        <v>74</v>
      </c>
      <c r="H133" t="s">
        <v>74</v>
      </c>
      <c r="I133" t="s">
        <v>2706</v>
      </c>
      <c r="J133" t="s">
        <v>2673</v>
      </c>
      <c r="K133" t="s">
        <v>74</v>
      </c>
      <c r="L133" t="s">
        <v>74</v>
      </c>
      <c r="M133" t="s">
        <v>78</v>
      </c>
      <c r="N133" t="s">
        <v>2275</v>
      </c>
      <c r="O133" t="s">
        <v>2674</v>
      </c>
      <c r="P133" t="s">
        <v>2675</v>
      </c>
      <c r="Q133" t="s">
        <v>2676</v>
      </c>
      <c r="R133" t="s">
        <v>74</v>
      </c>
      <c r="S133" t="s">
        <v>2677</v>
      </c>
      <c r="T133" t="s">
        <v>74</v>
      </c>
      <c r="U133" t="s">
        <v>74</v>
      </c>
      <c r="V133" t="s">
        <v>74</v>
      </c>
      <c r="W133" t="s">
        <v>2707</v>
      </c>
      <c r="X133" t="s">
        <v>2708</v>
      </c>
      <c r="Y133" t="s">
        <v>74</v>
      </c>
      <c r="Z133" t="s">
        <v>2709</v>
      </c>
      <c r="AA133" t="s">
        <v>74</v>
      </c>
      <c r="AB133" t="s">
        <v>74</v>
      </c>
      <c r="AC133" t="s">
        <v>74</v>
      </c>
      <c r="AD133" t="s">
        <v>74</v>
      </c>
      <c r="AE133" t="s">
        <v>74</v>
      </c>
      <c r="AF133" t="s">
        <v>74</v>
      </c>
      <c r="AG133">
        <v>3</v>
      </c>
      <c r="AH133">
        <v>2</v>
      </c>
      <c r="AI133">
        <v>2</v>
      </c>
      <c r="AJ133">
        <v>0</v>
      </c>
      <c r="AK133">
        <v>2</v>
      </c>
      <c r="AL133" t="s">
        <v>2682</v>
      </c>
      <c r="AM133" t="s">
        <v>241</v>
      </c>
      <c r="AN133" t="s">
        <v>2683</v>
      </c>
      <c r="AO133" t="s">
        <v>74</v>
      </c>
      <c r="AP133" t="s">
        <v>74</v>
      </c>
      <c r="AQ133" t="s">
        <v>2684</v>
      </c>
      <c r="AR133" t="s">
        <v>74</v>
      </c>
      <c r="AS133" t="s">
        <v>74</v>
      </c>
      <c r="AT133" t="s">
        <v>74</v>
      </c>
      <c r="AU133">
        <v>2011</v>
      </c>
      <c r="AV133" t="s">
        <v>74</v>
      </c>
      <c r="AW133" t="s">
        <v>74</v>
      </c>
      <c r="AX133" t="s">
        <v>74</v>
      </c>
      <c r="AY133" t="s">
        <v>74</v>
      </c>
      <c r="AZ133" t="s">
        <v>74</v>
      </c>
      <c r="BA133" t="s">
        <v>74</v>
      </c>
      <c r="BB133">
        <v>69</v>
      </c>
      <c r="BC133">
        <v>72</v>
      </c>
      <c r="BD133" t="s">
        <v>74</v>
      </c>
      <c r="BE133" t="s">
        <v>74</v>
      </c>
      <c r="BF133" t="s">
        <v>74</v>
      </c>
      <c r="BG133" t="s">
        <v>74</v>
      </c>
      <c r="BH133" t="s">
        <v>74</v>
      </c>
      <c r="BI133">
        <v>4</v>
      </c>
      <c r="BJ133" t="s">
        <v>2685</v>
      </c>
      <c r="BK133" t="s">
        <v>2686</v>
      </c>
      <c r="BL133" t="s">
        <v>2687</v>
      </c>
      <c r="BM133" t="s">
        <v>2688</v>
      </c>
      <c r="BN133" t="s">
        <v>74</v>
      </c>
      <c r="BO133" t="s">
        <v>74</v>
      </c>
      <c r="BP133" t="s">
        <v>74</v>
      </c>
      <c r="BQ133" t="s">
        <v>74</v>
      </c>
      <c r="BR133" t="s">
        <v>103</v>
      </c>
      <c r="BS133" t="s">
        <v>2710</v>
      </c>
      <c r="BT133" t="str">
        <f>HYPERLINK("https%3A%2F%2Fwww.webofscience.com%2Fwos%2Fwoscc%2Ffull-record%2FWOS:000301091500007","View Full Record in Web of Science")</f>
        <v>View Full Record in Web of Science</v>
      </c>
    </row>
    <row r="134" spans="1:72" x14ac:dyDescent="0.15">
      <c r="A134" t="s">
        <v>2268</v>
      </c>
      <c r="B134" t="s">
        <v>2711</v>
      </c>
      <c r="C134" t="s">
        <v>74</v>
      </c>
      <c r="D134" t="s">
        <v>2670</v>
      </c>
      <c r="E134" t="s">
        <v>74</v>
      </c>
      <c r="F134" t="s">
        <v>2712</v>
      </c>
      <c r="G134" t="s">
        <v>74</v>
      </c>
      <c r="H134" t="s">
        <v>74</v>
      </c>
      <c r="I134" t="s">
        <v>2713</v>
      </c>
      <c r="J134" t="s">
        <v>2673</v>
      </c>
      <c r="K134" t="s">
        <v>74</v>
      </c>
      <c r="L134" t="s">
        <v>74</v>
      </c>
      <c r="M134" t="s">
        <v>78</v>
      </c>
      <c r="N134" t="s">
        <v>2275</v>
      </c>
      <c r="O134" t="s">
        <v>2714</v>
      </c>
      <c r="P134" t="s">
        <v>2675</v>
      </c>
      <c r="Q134" t="s">
        <v>2676</v>
      </c>
      <c r="R134" t="s">
        <v>74</v>
      </c>
      <c r="S134" t="s">
        <v>2677</v>
      </c>
      <c r="T134" t="s">
        <v>74</v>
      </c>
      <c r="U134" t="s">
        <v>74</v>
      </c>
      <c r="V134" t="s">
        <v>2715</v>
      </c>
      <c r="W134" t="s">
        <v>2716</v>
      </c>
      <c r="X134" t="s">
        <v>1386</v>
      </c>
      <c r="Y134" t="s">
        <v>74</v>
      </c>
      <c r="Z134" t="s">
        <v>2717</v>
      </c>
      <c r="AA134" t="s">
        <v>74</v>
      </c>
      <c r="AB134" t="s">
        <v>74</v>
      </c>
      <c r="AC134" t="s">
        <v>74</v>
      </c>
      <c r="AD134" t="s">
        <v>74</v>
      </c>
      <c r="AE134" t="s">
        <v>74</v>
      </c>
      <c r="AF134" t="s">
        <v>74</v>
      </c>
      <c r="AG134">
        <v>41</v>
      </c>
      <c r="AH134">
        <v>8</v>
      </c>
      <c r="AI134">
        <v>8</v>
      </c>
      <c r="AJ134">
        <v>0</v>
      </c>
      <c r="AK134">
        <v>18</v>
      </c>
      <c r="AL134" t="s">
        <v>2682</v>
      </c>
      <c r="AM134" t="s">
        <v>241</v>
      </c>
      <c r="AN134" t="s">
        <v>2683</v>
      </c>
      <c r="AO134" t="s">
        <v>74</v>
      </c>
      <c r="AP134" t="s">
        <v>74</v>
      </c>
      <c r="AQ134" t="s">
        <v>2684</v>
      </c>
      <c r="AR134" t="s">
        <v>74</v>
      </c>
      <c r="AS134" t="s">
        <v>74</v>
      </c>
      <c r="AT134" t="s">
        <v>74</v>
      </c>
      <c r="AU134">
        <v>2011</v>
      </c>
      <c r="AV134" t="s">
        <v>74</v>
      </c>
      <c r="AW134" t="s">
        <v>74</v>
      </c>
      <c r="AX134" t="s">
        <v>74</v>
      </c>
      <c r="AY134" t="s">
        <v>74</v>
      </c>
      <c r="AZ134" t="s">
        <v>74</v>
      </c>
      <c r="BA134" t="s">
        <v>74</v>
      </c>
      <c r="BB134">
        <v>75</v>
      </c>
      <c r="BC134">
        <v>88</v>
      </c>
      <c r="BD134" t="s">
        <v>74</v>
      </c>
      <c r="BE134" t="s">
        <v>74</v>
      </c>
      <c r="BF134" t="s">
        <v>74</v>
      </c>
      <c r="BG134" t="s">
        <v>74</v>
      </c>
      <c r="BH134" t="s">
        <v>74</v>
      </c>
      <c r="BI134">
        <v>14</v>
      </c>
      <c r="BJ134" t="s">
        <v>2685</v>
      </c>
      <c r="BK134" t="s">
        <v>2686</v>
      </c>
      <c r="BL134" t="s">
        <v>2687</v>
      </c>
      <c r="BM134" t="s">
        <v>2688</v>
      </c>
      <c r="BN134" t="s">
        <v>74</v>
      </c>
      <c r="BO134" t="s">
        <v>74</v>
      </c>
      <c r="BP134" t="s">
        <v>74</v>
      </c>
      <c r="BQ134" t="s">
        <v>74</v>
      </c>
      <c r="BR134" t="s">
        <v>103</v>
      </c>
      <c r="BS134" t="s">
        <v>2718</v>
      </c>
      <c r="BT134" t="str">
        <f>HYPERLINK("https%3A%2F%2Fwww.webofscience.com%2Fwos%2Fwoscc%2Ffull-record%2FWOS:000301091500009","View Full Record in Web of Science")</f>
        <v>View Full Record in Web of Science</v>
      </c>
    </row>
    <row r="135" spans="1:72" x14ac:dyDescent="0.15">
      <c r="A135" t="s">
        <v>2268</v>
      </c>
      <c r="B135" t="s">
        <v>2719</v>
      </c>
      <c r="C135" t="s">
        <v>74</v>
      </c>
      <c r="D135" t="s">
        <v>2670</v>
      </c>
      <c r="E135" t="s">
        <v>74</v>
      </c>
      <c r="F135" t="s">
        <v>2720</v>
      </c>
      <c r="G135" t="s">
        <v>74</v>
      </c>
      <c r="H135" t="s">
        <v>74</v>
      </c>
      <c r="I135" t="s">
        <v>2721</v>
      </c>
      <c r="J135" t="s">
        <v>2673</v>
      </c>
      <c r="K135" t="s">
        <v>74</v>
      </c>
      <c r="L135" t="s">
        <v>74</v>
      </c>
      <c r="M135" t="s">
        <v>78</v>
      </c>
      <c r="N135" t="s">
        <v>2275</v>
      </c>
      <c r="O135" t="s">
        <v>2674</v>
      </c>
      <c r="P135" t="s">
        <v>2675</v>
      </c>
      <c r="Q135" t="s">
        <v>2676</v>
      </c>
      <c r="R135" t="s">
        <v>74</v>
      </c>
      <c r="S135" t="s">
        <v>2677</v>
      </c>
      <c r="T135" t="s">
        <v>74</v>
      </c>
      <c r="U135" t="s">
        <v>74</v>
      </c>
      <c r="V135" t="s">
        <v>74</v>
      </c>
      <c r="W135" t="s">
        <v>2722</v>
      </c>
      <c r="X135" t="s">
        <v>2723</v>
      </c>
      <c r="Y135" t="s">
        <v>74</v>
      </c>
      <c r="Z135" t="s">
        <v>2724</v>
      </c>
      <c r="AA135" t="s">
        <v>74</v>
      </c>
      <c r="AB135" t="s">
        <v>74</v>
      </c>
      <c r="AC135" t="s">
        <v>74</v>
      </c>
      <c r="AD135" t="s">
        <v>74</v>
      </c>
      <c r="AE135" t="s">
        <v>74</v>
      </c>
      <c r="AF135" t="s">
        <v>74</v>
      </c>
      <c r="AG135">
        <v>2</v>
      </c>
      <c r="AH135">
        <v>6</v>
      </c>
      <c r="AI135">
        <v>6</v>
      </c>
      <c r="AJ135">
        <v>0</v>
      </c>
      <c r="AK135">
        <v>4</v>
      </c>
      <c r="AL135" t="s">
        <v>2682</v>
      </c>
      <c r="AM135" t="s">
        <v>241</v>
      </c>
      <c r="AN135" t="s">
        <v>2683</v>
      </c>
      <c r="AO135" t="s">
        <v>74</v>
      </c>
      <c r="AP135" t="s">
        <v>74</v>
      </c>
      <c r="AQ135" t="s">
        <v>2684</v>
      </c>
      <c r="AR135" t="s">
        <v>74</v>
      </c>
      <c r="AS135" t="s">
        <v>74</v>
      </c>
      <c r="AT135" t="s">
        <v>74</v>
      </c>
      <c r="AU135">
        <v>2011</v>
      </c>
      <c r="AV135" t="s">
        <v>74</v>
      </c>
      <c r="AW135" t="s">
        <v>74</v>
      </c>
      <c r="AX135" t="s">
        <v>74</v>
      </c>
      <c r="AY135" t="s">
        <v>74</v>
      </c>
      <c r="AZ135" t="s">
        <v>74</v>
      </c>
      <c r="BA135" t="s">
        <v>74</v>
      </c>
      <c r="BB135">
        <v>97</v>
      </c>
      <c r="BC135">
        <v>102</v>
      </c>
      <c r="BD135" t="s">
        <v>74</v>
      </c>
      <c r="BE135" t="s">
        <v>74</v>
      </c>
      <c r="BF135" t="s">
        <v>74</v>
      </c>
      <c r="BG135" t="s">
        <v>74</v>
      </c>
      <c r="BH135" t="s">
        <v>74</v>
      </c>
      <c r="BI135">
        <v>6</v>
      </c>
      <c r="BJ135" t="s">
        <v>2685</v>
      </c>
      <c r="BK135" t="s">
        <v>2686</v>
      </c>
      <c r="BL135" t="s">
        <v>2687</v>
      </c>
      <c r="BM135" t="s">
        <v>2688</v>
      </c>
      <c r="BN135" t="s">
        <v>74</v>
      </c>
      <c r="BO135" t="s">
        <v>74</v>
      </c>
      <c r="BP135" t="s">
        <v>74</v>
      </c>
      <c r="BQ135" t="s">
        <v>74</v>
      </c>
      <c r="BR135" t="s">
        <v>103</v>
      </c>
      <c r="BS135" t="s">
        <v>2725</v>
      </c>
      <c r="BT135" t="str">
        <f>HYPERLINK("https%3A%2F%2Fwww.webofscience.com%2Fwos%2Fwoscc%2Ffull-record%2FWOS:000301091500011","View Full Record in Web of Science")</f>
        <v>View Full Record in Web of Science</v>
      </c>
    </row>
    <row r="136" spans="1:72" x14ac:dyDescent="0.15">
      <c r="A136" t="s">
        <v>2268</v>
      </c>
      <c r="B136" t="s">
        <v>2726</v>
      </c>
      <c r="C136" t="s">
        <v>74</v>
      </c>
      <c r="D136" t="s">
        <v>2670</v>
      </c>
      <c r="E136" t="s">
        <v>74</v>
      </c>
      <c r="F136" t="s">
        <v>2727</v>
      </c>
      <c r="G136" t="s">
        <v>74</v>
      </c>
      <c r="H136" t="s">
        <v>74</v>
      </c>
      <c r="I136" t="s">
        <v>2728</v>
      </c>
      <c r="J136" t="s">
        <v>2673</v>
      </c>
      <c r="K136" t="s">
        <v>74</v>
      </c>
      <c r="L136" t="s">
        <v>74</v>
      </c>
      <c r="M136" t="s">
        <v>78</v>
      </c>
      <c r="N136" t="s">
        <v>2275</v>
      </c>
      <c r="O136" t="s">
        <v>2714</v>
      </c>
      <c r="P136" t="s">
        <v>2675</v>
      </c>
      <c r="Q136" t="s">
        <v>2676</v>
      </c>
      <c r="R136" t="s">
        <v>74</v>
      </c>
      <c r="S136" t="s">
        <v>2677</v>
      </c>
      <c r="T136" t="s">
        <v>74</v>
      </c>
      <c r="U136" t="s">
        <v>2729</v>
      </c>
      <c r="V136" t="s">
        <v>2730</v>
      </c>
      <c r="W136" t="s">
        <v>2731</v>
      </c>
      <c r="X136" t="s">
        <v>405</v>
      </c>
      <c r="Y136" t="s">
        <v>74</v>
      </c>
      <c r="Z136" t="s">
        <v>2732</v>
      </c>
      <c r="AA136" t="s">
        <v>74</v>
      </c>
      <c r="AB136" t="s">
        <v>74</v>
      </c>
      <c r="AC136" t="s">
        <v>74</v>
      </c>
      <c r="AD136" t="s">
        <v>74</v>
      </c>
      <c r="AE136" t="s">
        <v>74</v>
      </c>
      <c r="AF136" t="s">
        <v>74</v>
      </c>
      <c r="AG136">
        <v>75</v>
      </c>
      <c r="AH136">
        <v>13</v>
      </c>
      <c r="AI136">
        <v>13</v>
      </c>
      <c r="AJ136">
        <v>0</v>
      </c>
      <c r="AK136">
        <v>17</v>
      </c>
      <c r="AL136" t="s">
        <v>2682</v>
      </c>
      <c r="AM136" t="s">
        <v>241</v>
      </c>
      <c r="AN136" t="s">
        <v>2683</v>
      </c>
      <c r="AO136" t="s">
        <v>74</v>
      </c>
      <c r="AP136" t="s">
        <v>74</v>
      </c>
      <c r="AQ136" t="s">
        <v>2684</v>
      </c>
      <c r="AR136" t="s">
        <v>74</v>
      </c>
      <c r="AS136" t="s">
        <v>74</v>
      </c>
      <c r="AT136" t="s">
        <v>74</v>
      </c>
      <c r="AU136">
        <v>2011</v>
      </c>
      <c r="AV136" t="s">
        <v>74</v>
      </c>
      <c r="AW136" t="s">
        <v>74</v>
      </c>
      <c r="AX136" t="s">
        <v>74</v>
      </c>
      <c r="AY136" t="s">
        <v>74</v>
      </c>
      <c r="AZ136" t="s">
        <v>74</v>
      </c>
      <c r="BA136" t="s">
        <v>74</v>
      </c>
      <c r="BB136">
        <v>103</v>
      </c>
      <c r="BC136">
        <v>121</v>
      </c>
      <c r="BD136" t="s">
        <v>74</v>
      </c>
      <c r="BE136" t="s">
        <v>74</v>
      </c>
      <c r="BF136" t="s">
        <v>74</v>
      </c>
      <c r="BG136" t="s">
        <v>74</v>
      </c>
      <c r="BH136" t="s">
        <v>74</v>
      </c>
      <c r="BI136">
        <v>19</v>
      </c>
      <c r="BJ136" t="s">
        <v>2685</v>
      </c>
      <c r="BK136" t="s">
        <v>2686</v>
      </c>
      <c r="BL136" t="s">
        <v>2687</v>
      </c>
      <c r="BM136" t="s">
        <v>2688</v>
      </c>
      <c r="BN136" t="s">
        <v>74</v>
      </c>
      <c r="BO136" t="s">
        <v>74</v>
      </c>
      <c r="BP136" t="s">
        <v>74</v>
      </c>
      <c r="BQ136" t="s">
        <v>74</v>
      </c>
      <c r="BR136" t="s">
        <v>103</v>
      </c>
      <c r="BS136" t="s">
        <v>2733</v>
      </c>
      <c r="BT136" t="str">
        <f>HYPERLINK("https%3A%2F%2Fwww.webofscience.com%2Fwos%2Fwoscc%2Ffull-record%2FWOS:000301091500012","View Full Record in Web of Science")</f>
        <v>View Full Record in Web of Science</v>
      </c>
    </row>
    <row r="137" spans="1:72" x14ac:dyDescent="0.15">
      <c r="A137" t="s">
        <v>2268</v>
      </c>
      <c r="B137" t="s">
        <v>2734</v>
      </c>
      <c r="C137" t="s">
        <v>74</v>
      </c>
      <c r="D137" t="s">
        <v>2670</v>
      </c>
      <c r="E137" t="s">
        <v>74</v>
      </c>
      <c r="F137" t="s">
        <v>2735</v>
      </c>
      <c r="G137" t="s">
        <v>74</v>
      </c>
      <c r="H137" t="s">
        <v>74</v>
      </c>
      <c r="I137" t="s">
        <v>2736</v>
      </c>
      <c r="J137" t="s">
        <v>2673</v>
      </c>
      <c r="K137" t="s">
        <v>74</v>
      </c>
      <c r="L137" t="s">
        <v>74</v>
      </c>
      <c r="M137" t="s">
        <v>78</v>
      </c>
      <c r="N137" t="s">
        <v>2275</v>
      </c>
      <c r="O137" t="s">
        <v>2714</v>
      </c>
      <c r="P137" t="s">
        <v>2675</v>
      </c>
      <c r="Q137" t="s">
        <v>2676</v>
      </c>
      <c r="R137" t="s">
        <v>74</v>
      </c>
      <c r="S137" t="s">
        <v>2677</v>
      </c>
      <c r="T137" t="s">
        <v>74</v>
      </c>
      <c r="U137" t="s">
        <v>2737</v>
      </c>
      <c r="V137" t="s">
        <v>2738</v>
      </c>
      <c r="W137" t="s">
        <v>2739</v>
      </c>
      <c r="X137" t="s">
        <v>74</v>
      </c>
      <c r="Y137" t="s">
        <v>2740</v>
      </c>
      <c r="Z137" t="s">
        <v>2741</v>
      </c>
      <c r="AA137" t="s">
        <v>74</v>
      </c>
      <c r="AB137" t="s">
        <v>74</v>
      </c>
      <c r="AC137" t="s">
        <v>74</v>
      </c>
      <c r="AD137" t="s">
        <v>74</v>
      </c>
      <c r="AE137" t="s">
        <v>74</v>
      </c>
      <c r="AF137" t="s">
        <v>74</v>
      </c>
      <c r="AG137">
        <v>16</v>
      </c>
      <c r="AH137">
        <v>3</v>
      </c>
      <c r="AI137">
        <v>3</v>
      </c>
      <c r="AJ137">
        <v>0</v>
      </c>
      <c r="AK137">
        <v>42</v>
      </c>
      <c r="AL137" t="s">
        <v>2682</v>
      </c>
      <c r="AM137" t="s">
        <v>241</v>
      </c>
      <c r="AN137" t="s">
        <v>2683</v>
      </c>
      <c r="AO137" t="s">
        <v>74</v>
      </c>
      <c r="AP137" t="s">
        <v>74</v>
      </c>
      <c r="AQ137" t="s">
        <v>2684</v>
      </c>
      <c r="AR137" t="s">
        <v>74</v>
      </c>
      <c r="AS137" t="s">
        <v>74</v>
      </c>
      <c r="AT137" t="s">
        <v>74</v>
      </c>
      <c r="AU137">
        <v>2011</v>
      </c>
      <c r="AV137" t="s">
        <v>74</v>
      </c>
      <c r="AW137" t="s">
        <v>74</v>
      </c>
      <c r="AX137" t="s">
        <v>74</v>
      </c>
      <c r="AY137" t="s">
        <v>74</v>
      </c>
      <c r="AZ137" t="s">
        <v>74</v>
      </c>
      <c r="BA137" t="s">
        <v>74</v>
      </c>
      <c r="BB137">
        <v>123</v>
      </c>
      <c r="BC137" t="s">
        <v>1316</v>
      </c>
      <c r="BD137" t="s">
        <v>74</v>
      </c>
      <c r="BE137" t="s">
        <v>74</v>
      </c>
      <c r="BF137" t="s">
        <v>74</v>
      </c>
      <c r="BG137" t="s">
        <v>74</v>
      </c>
      <c r="BH137" t="s">
        <v>74</v>
      </c>
      <c r="BI137">
        <v>2</v>
      </c>
      <c r="BJ137" t="s">
        <v>2685</v>
      </c>
      <c r="BK137" t="s">
        <v>2686</v>
      </c>
      <c r="BL137" t="s">
        <v>2687</v>
      </c>
      <c r="BM137" t="s">
        <v>2688</v>
      </c>
      <c r="BN137" t="s">
        <v>74</v>
      </c>
      <c r="BO137" t="s">
        <v>74</v>
      </c>
      <c r="BP137" t="s">
        <v>74</v>
      </c>
      <c r="BQ137" t="s">
        <v>74</v>
      </c>
      <c r="BR137" t="s">
        <v>103</v>
      </c>
      <c r="BS137" t="s">
        <v>2742</v>
      </c>
      <c r="BT137" t="str">
        <f>HYPERLINK("https%3A%2F%2Fwww.webofscience.com%2Fwos%2Fwoscc%2Ffull-record%2FWOS:000301091500013","View Full Record in Web of Science")</f>
        <v>View Full Record in Web of Science</v>
      </c>
    </row>
    <row r="138" spans="1:72" x14ac:dyDescent="0.15">
      <c r="A138" t="s">
        <v>2268</v>
      </c>
      <c r="B138" t="s">
        <v>2743</v>
      </c>
      <c r="C138" t="s">
        <v>74</v>
      </c>
      <c r="D138" t="s">
        <v>2670</v>
      </c>
      <c r="E138" t="s">
        <v>74</v>
      </c>
      <c r="F138" t="s">
        <v>2744</v>
      </c>
      <c r="G138" t="s">
        <v>74</v>
      </c>
      <c r="H138" t="s">
        <v>74</v>
      </c>
      <c r="I138" t="s">
        <v>2745</v>
      </c>
      <c r="J138" t="s">
        <v>2673</v>
      </c>
      <c r="K138" t="s">
        <v>74</v>
      </c>
      <c r="L138" t="s">
        <v>74</v>
      </c>
      <c r="M138" t="s">
        <v>78</v>
      </c>
      <c r="N138" t="s">
        <v>2275</v>
      </c>
      <c r="O138" t="s">
        <v>2674</v>
      </c>
      <c r="P138" t="s">
        <v>2675</v>
      </c>
      <c r="Q138" t="s">
        <v>2676</v>
      </c>
      <c r="R138" t="s">
        <v>74</v>
      </c>
      <c r="S138" t="s">
        <v>2677</v>
      </c>
      <c r="T138" t="s">
        <v>74</v>
      </c>
      <c r="U138" t="s">
        <v>74</v>
      </c>
      <c r="V138" t="s">
        <v>74</v>
      </c>
      <c r="W138" t="s">
        <v>2746</v>
      </c>
      <c r="X138" t="s">
        <v>2747</v>
      </c>
      <c r="Y138" t="s">
        <v>74</v>
      </c>
      <c r="Z138" t="s">
        <v>2748</v>
      </c>
      <c r="AA138" t="s">
        <v>74</v>
      </c>
      <c r="AB138" t="s">
        <v>74</v>
      </c>
      <c r="AC138" t="s">
        <v>74</v>
      </c>
      <c r="AD138" t="s">
        <v>74</v>
      </c>
      <c r="AE138" t="s">
        <v>74</v>
      </c>
      <c r="AF138" t="s">
        <v>74</v>
      </c>
      <c r="AG138">
        <v>9</v>
      </c>
      <c r="AH138">
        <v>10</v>
      </c>
      <c r="AI138">
        <v>10</v>
      </c>
      <c r="AJ138">
        <v>0</v>
      </c>
      <c r="AK138">
        <v>4</v>
      </c>
      <c r="AL138" t="s">
        <v>2682</v>
      </c>
      <c r="AM138" t="s">
        <v>241</v>
      </c>
      <c r="AN138" t="s">
        <v>2683</v>
      </c>
      <c r="AO138" t="s">
        <v>74</v>
      </c>
      <c r="AP138" t="s">
        <v>74</v>
      </c>
      <c r="AQ138" t="s">
        <v>2684</v>
      </c>
      <c r="AR138" t="s">
        <v>74</v>
      </c>
      <c r="AS138" t="s">
        <v>74</v>
      </c>
      <c r="AT138" t="s">
        <v>74</v>
      </c>
      <c r="AU138">
        <v>2011</v>
      </c>
      <c r="AV138" t="s">
        <v>74</v>
      </c>
      <c r="AW138" t="s">
        <v>74</v>
      </c>
      <c r="AX138" t="s">
        <v>74</v>
      </c>
      <c r="AY138" t="s">
        <v>74</v>
      </c>
      <c r="AZ138" t="s">
        <v>74</v>
      </c>
      <c r="BA138" t="s">
        <v>74</v>
      </c>
      <c r="BB138">
        <v>133</v>
      </c>
      <c r="BC138">
        <v>142</v>
      </c>
      <c r="BD138" t="s">
        <v>74</v>
      </c>
      <c r="BE138" t="s">
        <v>74</v>
      </c>
      <c r="BF138" t="s">
        <v>74</v>
      </c>
      <c r="BG138" t="s">
        <v>74</v>
      </c>
      <c r="BH138" t="s">
        <v>74</v>
      </c>
      <c r="BI138">
        <v>10</v>
      </c>
      <c r="BJ138" t="s">
        <v>2685</v>
      </c>
      <c r="BK138" t="s">
        <v>2686</v>
      </c>
      <c r="BL138" t="s">
        <v>2687</v>
      </c>
      <c r="BM138" t="s">
        <v>2688</v>
      </c>
      <c r="BN138" t="s">
        <v>74</v>
      </c>
      <c r="BO138" t="s">
        <v>74</v>
      </c>
      <c r="BP138" t="s">
        <v>74</v>
      </c>
      <c r="BQ138" t="s">
        <v>74</v>
      </c>
      <c r="BR138" t="s">
        <v>103</v>
      </c>
      <c r="BS138" t="s">
        <v>2749</v>
      </c>
      <c r="BT138" t="str">
        <f>HYPERLINK("https%3A%2F%2Fwww.webofscience.com%2Fwos%2Fwoscc%2Ffull-record%2FWOS:000301091500014","View Full Record in Web of Science")</f>
        <v>View Full Record in Web of Science</v>
      </c>
    </row>
    <row r="139" spans="1:72" x14ac:dyDescent="0.15">
      <c r="A139" t="s">
        <v>2268</v>
      </c>
      <c r="B139" t="s">
        <v>2750</v>
      </c>
      <c r="C139" t="s">
        <v>74</v>
      </c>
      <c r="D139" t="s">
        <v>2670</v>
      </c>
      <c r="E139" t="s">
        <v>74</v>
      </c>
      <c r="F139" t="s">
        <v>2751</v>
      </c>
      <c r="G139" t="s">
        <v>74</v>
      </c>
      <c r="H139" t="s">
        <v>74</v>
      </c>
      <c r="I139" t="s">
        <v>2752</v>
      </c>
      <c r="J139" t="s">
        <v>2673</v>
      </c>
      <c r="K139" t="s">
        <v>74</v>
      </c>
      <c r="L139" t="s">
        <v>74</v>
      </c>
      <c r="M139" t="s">
        <v>78</v>
      </c>
      <c r="N139" t="s">
        <v>2275</v>
      </c>
      <c r="O139" t="s">
        <v>2674</v>
      </c>
      <c r="P139" t="s">
        <v>2675</v>
      </c>
      <c r="Q139" t="s">
        <v>2676</v>
      </c>
      <c r="R139" t="s">
        <v>74</v>
      </c>
      <c r="S139" t="s">
        <v>2677</v>
      </c>
      <c r="T139" t="s">
        <v>74</v>
      </c>
      <c r="U139" t="s">
        <v>74</v>
      </c>
      <c r="V139" t="s">
        <v>2753</v>
      </c>
      <c r="W139" t="s">
        <v>2754</v>
      </c>
      <c r="X139" t="s">
        <v>2755</v>
      </c>
      <c r="Y139" t="s">
        <v>74</v>
      </c>
      <c r="Z139" t="s">
        <v>2756</v>
      </c>
      <c r="AA139" t="s">
        <v>74</v>
      </c>
      <c r="AB139" t="s">
        <v>74</v>
      </c>
      <c r="AC139" t="s">
        <v>74</v>
      </c>
      <c r="AD139" t="s">
        <v>74</v>
      </c>
      <c r="AE139" t="s">
        <v>74</v>
      </c>
      <c r="AF139" t="s">
        <v>74</v>
      </c>
      <c r="AG139">
        <v>10</v>
      </c>
      <c r="AH139">
        <v>2</v>
      </c>
      <c r="AI139">
        <v>2</v>
      </c>
      <c r="AJ139">
        <v>0</v>
      </c>
      <c r="AK139">
        <v>9</v>
      </c>
      <c r="AL139" t="s">
        <v>2682</v>
      </c>
      <c r="AM139" t="s">
        <v>241</v>
      </c>
      <c r="AN139" t="s">
        <v>2683</v>
      </c>
      <c r="AO139" t="s">
        <v>74</v>
      </c>
      <c r="AP139" t="s">
        <v>74</v>
      </c>
      <c r="AQ139" t="s">
        <v>2684</v>
      </c>
      <c r="AR139" t="s">
        <v>74</v>
      </c>
      <c r="AS139" t="s">
        <v>74</v>
      </c>
      <c r="AT139" t="s">
        <v>74</v>
      </c>
      <c r="AU139">
        <v>2011</v>
      </c>
      <c r="AV139" t="s">
        <v>74</v>
      </c>
      <c r="AW139" t="s">
        <v>74</v>
      </c>
      <c r="AX139" t="s">
        <v>74</v>
      </c>
      <c r="AY139" t="s">
        <v>74</v>
      </c>
      <c r="AZ139" t="s">
        <v>74</v>
      </c>
      <c r="BA139" t="s">
        <v>74</v>
      </c>
      <c r="BB139">
        <v>153</v>
      </c>
      <c r="BC139">
        <v>160</v>
      </c>
      <c r="BD139" t="s">
        <v>74</v>
      </c>
      <c r="BE139" t="s">
        <v>74</v>
      </c>
      <c r="BF139" t="s">
        <v>74</v>
      </c>
      <c r="BG139" t="s">
        <v>74</v>
      </c>
      <c r="BH139" t="s">
        <v>74</v>
      </c>
      <c r="BI139">
        <v>8</v>
      </c>
      <c r="BJ139" t="s">
        <v>2685</v>
      </c>
      <c r="BK139" t="s">
        <v>2686</v>
      </c>
      <c r="BL139" t="s">
        <v>2687</v>
      </c>
      <c r="BM139" t="s">
        <v>2688</v>
      </c>
      <c r="BN139" t="s">
        <v>74</v>
      </c>
      <c r="BO139" t="s">
        <v>74</v>
      </c>
      <c r="BP139" t="s">
        <v>74</v>
      </c>
      <c r="BQ139" t="s">
        <v>74</v>
      </c>
      <c r="BR139" t="s">
        <v>103</v>
      </c>
      <c r="BS139" t="s">
        <v>2757</v>
      </c>
      <c r="BT139" t="str">
        <f>HYPERLINK("https%3A%2F%2Fwww.webofscience.com%2Fwos%2Fwoscc%2Ffull-record%2FWOS:000301091500016","View Full Record in Web of Science")</f>
        <v>View Full Record in Web of Science</v>
      </c>
    </row>
    <row r="140" spans="1:72" x14ac:dyDescent="0.15">
      <c r="A140" t="s">
        <v>2268</v>
      </c>
      <c r="B140" t="s">
        <v>2758</v>
      </c>
      <c r="C140" t="s">
        <v>74</v>
      </c>
      <c r="D140" t="s">
        <v>2670</v>
      </c>
      <c r="E140" t="s">
        <v>74</v>
      </c>
      <c r="F140" t="s">
        <v>2759</v>
      </c>
      <c r="G140" t="s">
        <v>74</v>
      </c>
      <c r="H140" t="s">
        <v>74</v>
      </c>
      <c r="I140" t="s">
        <v>2760</v>
      </c>
      <c r="J140" t="s">
        <v>2673</v>
      </c>
      <c r="K140" t="s">
        <v>74</v>
      </c>
      <c r="L140" t="s">
        <v>74</v>
      </c>
      <c r="M140" t="s">
        <v>78</v>
      </c>
      <c r="N140" t="s">
        <v>2275</v>
      </c>
      <c r="O140" t="s">
        <v>2714</v>
      </c>
      <c r="P140" t="s">
        <v>2675</v>
      </c>
      <c r="Q140" t="s">
        <v>2676</v>
      </c>
      <c r="R140" t="s">
        <v>74</v>
      </c>
      <c r="S140" t="s">
        <v>2677</v>
      </c>
      <c r="T140" t="s">
        <v>74</v>
      </c>
      <c r="U140" t="s">
        <v>2761</v>
      </c>
      <c r="V140" t="s">
        <v>74</v>
      </c>
      <c r="W140" t="s">
        <v>2762</v>
      </c>
      <c r="X140" t="s">
        <v>2763</v>
      </c>
      <c r="Y140" t="s">
        <v>74</v>
      </c>
      <c r="Z140" t="s">
        <v>2764</v>
      </c>
      <c r="AA140" t="s">
        <v>74</v>
      </c>
      <c r="AB140" t="s">
        <v>74</v>
      </c>
      <c r="AC140" t="s">
        <v>74</v>
      </c>
      <c r="AD140" t="s">
        <v>74</v>
      </c>
      <c r="AE140" t="s">
        <v>74</v>
      </c>
      <c r="AF140" t="s">
        <v>74</v>
      </c>
      <c r="AG140">
        <v>33</v>
      </c>
      <c r="AH140">
        <v>1</v>
      </c>
      <c r="AI140">
        <v>1</v>
      </c>
      <c r="AJ140">
        <v>0</v>
      </c>
      <c r="AK140">
        <v>5</v>
      </c>
      <c r="AL140" t="s">
        <v>2682</v>
      </c>
      <c r="AM140" t="s">
        <v>241</v>
      </c>
      <c r="AN140" t="s">
        <v>2683</v>
      </c>
      <c r="AO140" t="s">
        <v>74</v>
      </c>
      <c r="AP140" t="s">
        <v>74</v>
      </c>
      <c r="AQ140" t="s">
        <v>2684</v>
      </c>
      <c r="AR140" t="s">
        <v>74</v>
      </c>
      <c r="AS140" t="s">
        <v>74</v>
      </c>
      <c r="AT140" t="s">
        <v>74</v>
      </c>
      <c r="AU140">
        <v>2011</v>
      </c>
      <c r="AV140" t="s">
        <v>74</v>
      </c>
      <c r="AW140" t="s">
        <v>74</v>
      </c>
      <c r="AX140" t="s">
        <v>74</v>
      </c>
      <c r="AY140" t="s">
        <v>74</v>
      </c>
      <c r="AZ140" t="s">
        <v>74</v>
      </c>
      <c r="BA140" t="s">
        <v>74</v>
      </c>
      <c r="BB140">
        <v>165</v>
      </c>
      <c r="BC140">
        <v>173</v>
      </c>
      <c r="BD140" t="s">
        <v>74</v>
      </c>
      <c r="BE140" t="s">
        <v>74</v>
      </c>
      <c r="BF140" t="s">
        <v>74</v>
      </c>
      <c r="BG140" t="s">
        <v>74</v>
      </c>
      <c r="BH140" t="s">
        <v>74</v>
      </c>
      <c r="BI140">
        <v>9</v>
      </c>
      <c r="BJ140" t="s">
        <v>2685</v>
      </c>
      <c r="BK140" t="s">
        <v>2686</v>
      </c>
      <c r="BL140" t="s">
        <v>2687</v>
      </c>
      <c r="BM140" t="s">
        <v>2688</v>
      </c>
      <c r="BN140" t="s">
        <v>74</v>
      </c>
      <c r="BO140" t="s">
        <v>74</v>
      </c>
      <c r="BP140" t="s">
        <v>74</v>
      </c>
      <c r="BQ140" t="s">
        <v>74</v>
      </c>
      <c r="BR140" t="s">
        <v>103</v>
      </c>
      <c r="BS140" t="s">
        <v>2765</v>
      </c>
      <c r="BT140" t="str">
        <f>HYPERLINK("https%3A%2F%2Fwww.webofscience.com%2Fwos%2Fwoscc%2Ffull-record%2FWOS:000301091500018","View Full Record in Web of Science")</f>
        <v>View Full Record in Web of Science</v>
      </c>
    </row>
    <row r="141" spans="1:72" x14ac:dyDescent="0.15">
      <c r="A141" t="s">
        <v>2268</v>
      </c>
      <c r="B141" t="s">
        <v>2766</v>
      </c>
      <c r="C141" t="s">
        <v>74</v>
      </c>
      <c r="D141" t="s">
        <v>2670</v>
      </c>
      <c r="E141" t="s">
        <v>74</v>
      </c>
      <c r="F141" t="s">
        <v>2767</v>
      </c>
      <c r="G141" t="s">
        <v>74</v>
      </c>
      <c r="H141" t="s">
        <v>74</v>
      </c>
      <c r="I141" t="s">
        <v>2768</v>
      </c>
      <c r="J141" t="s">
        <v>2673</v>
      </c>
      <c r="K141" t="s">
        <v>74</v>
      </c>
      <c r="L141" t="s">
        <v>74</v>
      </c>
      <c r="M141" t="s">
        <v>78</v>
      </c>
      <c r="N141" t="s">
        <v>2275</v>
      </c>
      <c r="O141" t="s">
        <v>2714</v>
      </c>
      <c r="P141" t="s">
        <v>2675</v>
      </c>
      <c r="Q141" t="s">
        <v>2676</v>
      </c>
      <c r="R141" t="s">
        <v>74</v>
      </c>
      <c r="S141" t="s">
        <v>2677</v>
      </c>
      <c r="T141" t="s">
        <v>74</v>
      </c>
      <c r="U141" t="s">
        <v>2769</v>
      </c>
      <c r="V141" t="s">
        <v>2770</v>
      </c>
      <c r="W141" t="s">
        <v>2771</v>
      </c>
      <c r="X141" t="s">
        <v>2772</v>
      </c>
      <c r="Y141" t="s">
        <v>74</v>
      </c>
      <c r="Z141" t="s">
        <v>2773</v>
      </c>
      <c r="AA141" t="s">
        <v>2774</v>
      </c>
      <c r="AB141" t="s">
        <v>2775</v>
      </c>
      <c r="AC141" t="s">
        <v>74</v>
      </c>
      <c r="AD141" t="s">
        <v>74</v>
      </c>
      <c r="AE141" t="s">
        <v>74</v>
      </c>
      <c r="AF141" t="s">
        <v>74</v>
      </c>
      <c r="AG141">
        <v>54</v>
      </c>
      <c r="AH141">
        <v>12</v>
      </c>
      <c r="AI141">
        <v>13</v>
      </c>
      <c r="AJ141">
        <v>1</v>
      </c>
      <c r="AK141">
        <v>33</v>
      </c>
      <c r="AL141" t="s">
        <v>2682</v>
      </c>
      <c r="AM141" t="s">
        <v>241</v>
      </c>
      <c r="AN141" t="s">
        <v>2683</v>
      </c>
      <c r="AO141" t="s">
        <v>74</v>
      </c>
      <c r="AP141" t="s">
        <v>74</v>
      </c>
      <c r="AQ141" t="s">
        <v>2684</v>
      </c>
      <c r="AR141" t="s">
        <v>74</v>
      </c>
      <c r="AS141" t="s">
        <v>74</v>
      </c>
      <c r="AT141" t="s">
        <v>74</v>
      </c>
      <c r="AU141">
        <v>2011</v>
      </c>
      <c r="AV141" t="s">
        <v>74</v>
      </c>
      <c r="AW141" t="s">
        <v>74</v>
      </c>
      <c r="AX141" t="s">
        <v>74</v>
      </c>
      <c r="AY141" t="s">
        <v>74</v>
      </c>
      <c r="AZ141" t="s">
        <v>74</v>
      </c>
      <c r="BA141" t="s">
        <v>74</v>
      </c>
      <c r="BB141">
        <v>175</v>
      </c>
      <c r="BC141">
        <v>187</v>
      </c>
      <c r="BD141" t="s">
        <v>74</v>
      </c>
      <c r="BE141" t="s">
        <v>74</v>
      </c>
      <c r="BF141" t="s">
        <v>74</v>
      </c>
      <c r="BG141" t="s">
        <v>74</v>
      </c>
      <c r="BH141" t="s">
        <v>74</v>
      </c>
      <c r="BI141">
        <v>13</v>
      </c>
      <c r="BJ141" t="s">
        <v>2685</v>
      </c>
      <c r="BK141" t="s">
        <v>2686</v>
      </c>
      <c r="BL141" t="s">
        <v>2687</v>
      </c>
      <c r="BM141" t="s">
        <v>2688</v>
      </c>
      <c r="BN141" t="s">
        <v>74</v>
      </c>
      <c r="BO141" t="s">
        <v>74</v>
      </c>
      <c r="BP141" t="s">
        <v>74</v>
      </c>
      <c r="BQ141" t="s">
        <v>74</v>
      </c>
      <c r="BR141" t="s">
        <v>103</v>
      </c>
      <c r="BS141" t="s">
        <v>2776</v>
      </c>
      <c r="BT141" t="str">
        <f>HYPERLINK("https%3A%2F%2Fwww.webofscience.com%2Fwos%2Fwoscc%2Ffull-record%2FWOS:000301091500019","View Full Record in Web of Science")</f>
        <v>View Full Record in Web of Science</v>
      </c>
    </row>
    <row r="142" spans="1:72" x14ac:dyDescent="0.15">
      <c r="A142" t="s">
        <v>2268</v>
      </c>
      <c r="B142" t="s">
        <v>2777</v>
      </c>
      <c r="C142" t="s">
        <v>74</v>
      </c>
      <c r="D142" t="s">
        <v>2670</v>
      </c>
      <c r="E142" t="s">
        <v>74</v>
      </c>
      <c r="F142" t="s">
        <v>2778</v>
      </c>
      <c r="G142" t="s">
        <v>74</v>
      </c>
      <c r="H142" t="s">
        <v>74</v>
      </c>
      <c r="I142" t="s">
        <v>2779</v>
      </c>
      <c r="J142" t="s">
        <v>2673</v>
      </c>
      <c r="K142" t="s">
        <v>74</v>
      </c>
      <c r="L142" t="s">
        <v>74</v>
      </c>
      <c r="M142" t="s">
        <v>78</v>
      </c>
      <c r="N142" t="s">
        <v>2275</v>
      </c>
      <c r="O142" t="s">
        <v>2714</v>
      </c>
      <c r="P142" t="s">
        <v>2675</v>
      </c>
      <c r="Q142" t="s">
        <v>2676</v>
      </c>
      <c r="R142" t="s">
        <v>74</v>
      </c>
      <c r="S142" t="s">
        <v>2677</v>
      </c>
      <c r="T142" t="s">
        <v>74</v>
      </c>
      <c r="U142" t="s">
        <v>2780</v>
      </c>
      <c r="V142" t="s">
        <v>2781</v>
      </c>
      <c r="W142" t="s">
        <v>2782</v>
      </c>
      <c r="X142" t="s">
        <v>2783</v>
      </c>
      <c r="Y142" t="s">
        <v>2784</v>
      </c>
      <c r="Z142" t="s">
        <v>2785</v>
      </c>
      <c r="AA142" t="s">
        <v>74</v>
      </c>
      <c r="AB142" t="s">
        <v>74</v>
      </c>
      <c r="AC142" t="s">
        <v>74</v>
      </c>
      <c r="AD142" t="s">
        <v>74</v>
      </c>
      <c r="AE142" t="s">
        <v>74</v>
      </c>
      <c r="AF142" t="s">
        <v>74</v>
      </c>
      <c r="AG142">
        <v>17</v>
      </c>
      <c r="AH142">
        <v>3</v>
      </c>
      <c r="AI142">
        <v>5</v>
      </c>
      <c r="AJ142">
        <v>0</v>
      </c>
      <c r="AK142">
        <v>21</v>
      </c>
      <c r="AL142" t="s">
        <v>2682</v>
      </c>
      <c r="AM142" t="s">
        <v>241</v>
      </c>
      <c r="AN142" t="s">
        <v>2683</v>
      </c>
      <c r="AO142" t="s">
        <v>74</v>
      </c>
      <c r="AP142" t="s">
        <v>74</v>
      </c>
      <c r="AQ142" t="s">
        <v>2684</v>
      </c>
      <c r="AR142" t="s">
        <v>74</v>
      </c>
      <c r="AS142" t="s">
        <v>74</v>
      </c>
      <c r="AT142" t="s">
        <v>74</v>
      </c>
      <c r="AU142">
        <v>2011</v>
      </c>
      <c r="AV142" t="s">
        <v>74</v>
      </c>
      <c r="AW142" t="s">
        <v>74</v>
      </c>
      <c r="AX142" t="s">
        <v>74</v>
      </c>
      <c r="AY142" t="s">
        <v>74</v>
      </c>
      <c r="AZ142" t="s">
        <v>74</v>
      </c>
      <c r="BA142" t="s">
        <v>74</v>
      </c>
      <c r="BB142">
        <v>189</v>
      </c>
      <c r="BC142" t="s">
        <v>1316</v>
      </c>
      <c r="BD142" t="s">
        <v>74</v>
      </c>
      <c r="BE142" t="s">
        <v>74</v>
      </c>
      <c r="BF142" t="s">
        <v>74</v>
      </c>
      <c r="BG142" t="s">
        <v>74</v>
      </c>
      <c r="BH142" t="s">
        <v>74</v>
      </c>
      <c r="BI142">
        <v>3</v>
      </c>
      <c r="BJ142" t="s">
        <v>2685</v>
      </c>
      <c r="BK142" t="s">
        <v>2686</v>
      </c>
      <c r="BL142" t="s">
        <v>2687</v>
      </c>
      <c r="BM142" t="s">
        <v>2688</v>
      </c>
      <c r="BN142" t="s">
        <v>74</v>
      </c>
      <c r="BO142" t="s">
        <v>74</v>
      </c>
      <c r="BP142" t="s">
        <v>74</v>
      </c>
      <c r="BQ142" t="s">
        <v>74</v>
      </c>
      <c r="BR142" t="s">
        <v>103</v>
      </c>
      <c r="BS142" t="s">
        <v>2786</v>
      </c>
      <c r="BT142" t="str">
        <f>HYPERLINK("https%3A%2F%2Fwww.webofscience.com%2Fwos%2Fwoscc%2Ffull-record%2FWOS:000301091500020","View Full Record in Web of Science")</f>
        <v>View Full Record in Web of Science</v>
      </c>
    </row>
    <row r="143" spans="1:72" x14ac:dyDescent="0.15">
      <c r="A143" t="s">
        <v>2268</v>
      </c>
      <c r="B143" t="s">
        <v>2787</v>
      </c>
      <c r="C143" t="s">
        <v>74</v>
      </c>
      <c r="D143" t="s">
        <v>2670</v>
      </c>
      <c r="E143" t="s">
        <v>74</v>
      </c>
      <c r="F143" t="s">
        <v>2788</v>
      </c>
      <c r="G143" t="s">
        <v>74</v>
      </c>
      <c r="H143" t="s">
        <v>74</v>
      </c>
      <c r="I143" t="s">
        <v>2789</v>
      </c>
      <c r="J143" t="s">
        <v>2673</v>
      </c>
      <c r="K143" t="s">
        <v>74</v>
      </c>
      <c r="L143" t="s">
        <v>74</v>
      </c>
      <c r="M143" t="s">
        <v>78</v>
      </c>
      <c r="N143" t="s">
        <v>2275</v>
      </c>
      <c r="O143" t="s">
        <v>2714</v>
      </c>
      <c r="P143" t="s">
        <v>2675</v>
      </c>
      <c r="Q143" t="s">
        <v>2676</v>
      </c>
      <c r="R143" t="s">
        <v>74</v>
      </c>
      <c r="S143" t="s">
        <v>2677</v>
      </c>
      <c r="T143" t="s">
        <v>74</v>
      </c>
      <c r="U143" t="s">
        <v>2790</v>
      </c>
      <c r="V143" t="s">
        <v>2791</v>
      </c>
      <c r="W143" t="s">
        <v>2792</v>
      </c>
      <c r="X143" t="s">
        <v>2793</v>
      </c>
      <c r="Y143" t="s">
        <v>74</v>
      </c>
      <c r="Z143" t="s">
        <v>2794</v>
      </c>
      <c r="AA143" t="s">
        <v>74</v>
      </c>
      <c r="AB143" t="s">
        <v>74</v>
      </c>
      <c r="AC143" t="s">
        <v>74</v>
      </c>
      <c r="AD143" t="s">
        <v>74</v>
      </c>
      <c r="AE143" t="s">
        <v>74</v>
      </c>
      <c r="AF143" t="s">
        <v>74</v>
      </c>
      <c r="AG143">
        <v>32</v>
      </c>
      <c r="AH143">
        <v>5</v>
      </c>
      <c r="AI143">
        <v>5</v>
      </c>
      <c r="AJ143">
        <v>1</v>
      </c>
      <c r="AK143">
        <v>15</v>
      </c>
      <c r="AL143" t="s">
        <v>2682</v>
      </c>
      <c r="AM143" t="s">
        <v>241</v>
      </c>
      <c r="AN143" t="s">
        <v>2683</v>
      </c>
      <c r="AO143" t="s">
        <v>74</v>
      </c>
      <c r="AP143" t="s">
        <v>74</v>
      </c>
      <c r="AQ143" t="s">
        <v>2684</v>
      </c>
      <c r="AR143" t="s">
        <v>74</v>
      </c>
      <c r="AS143" t="s">
        <v>74</v>
      </c>
      <c r="AT143" t="s">
        <v>74</v>
      </c>
      <c r="AU143">
        <v>2011</v>
      </c>
      <c r="AV143" t="s">
        <v>74</v>
      </c>
      <c r="AW143" t="s">
        <v>74</v>
      </c>
      <c r="AX143" t="s">
        <v>74</v>
      </c>
      <c r="AY143" t="s">
        <v>74</v>
      </c>
      <c r="AZ143" t="s">
        <v>74</v>
      </c>
      <c r="BA143" t="s">
        <v>74</v>
      </c>
      <c r="BB143">
        <v>245</v>
      </c>
      <c r="BC143">
        <v>252</v>
      </c>
      <c r="BD143" t="s">
        <v>74</v>
      </c>
      <c r="BE143" t="s">
        <v>74</v>
      </c>
      <c r="BF143" t="s">
        <v>74</v>
      </c>
      <c r="BG143" t="s">
        <v>74</v>
      </c>
      <c r="BH143" t="s">
        <v>74</v>
      </c>
      <c r="BI143">
        <v>8</v>
      </c>
      <c r="BJ143" t="s">
        <v>2685</v>
      </c>
      <c r="BK143" t="s">
        <v>2686</v>
      </c>
      <c r="BL143" t="s">
        <v>2687</v>
      </c>
      <c r="BM143" t="s">
        <v>2688</v>
      </c>
      <c r="BN143" t="s">
        <v>74</v>
      </c>
      <c r="BO143" t="s">
        <v>74</v>
      </c>
      <c r="BP143" t="s">
        <v>74</v>
      </c>
      <c r="BQ143" t="s">
        <v>74</v>
      </c>
      <c r="BR143" t="s">
        <v>103</v>
      </c>
      <c r="BS143" t="s">
        <v>2795</v>
      </c>
      <c r="BT143" t="str">
        <f>HYPERLINK("https%3A%2F%2Fwww.webofscience.com%2Fwos%2Fwoscc%2Ffull-record%2FWOS:000301091500026","View Full Record in Web of Science")</f>
        <v>View Full Record in Web of Science</v>
      </c>
    </row>
    <row r="144" spans="1:72" x14ac:dyDescent="0.15">
      <c r="A144" t="s">
        <v>2268</v>
      </c>
      <c r="B144" t="s">
        <v>2796</v>
      </c>
      <c r="C144" t="s">
        <v>74</v>
      </c>
      <c r="D144" t="s">
        <v>2670</v>
      </c>
      <c r="E144" t="s">
        <v>74</v>
      </c>
      <c r="F144" t="s">
        <v>2797</v>
      </c>
      <c r="G144" t="s">
        <v>74</v>
      </c>
      <c r="H144" t="s">
        <v>74</v>
      </c>
      <c r="I144" t="s">
        <v>2798</v>
      </c>
      <c r="J144" t="s">
        <v>2673</v>
      </c>
      <c r="K144" t="s">
        <v>74</v>
      </c>
      <c r="L144" t="s">
        <v>74</v>
      </c>
      <c r="M144" t="s">
        <v>78</v>
      </c>
      <c r="N144" t="s">
        <v>2275</v>
      </c>
      <c r="O144" t="s">
        <v>2674</v>
      </c>
      <c r="P144" t="s">
        <v>2675</v>
      </c>
      <c r="Q144" t="s">
        <v>2676</v>
      </c>
      <c r="R144" t="s">
        <v>74</v>
      </c>
      <c r="S144" t="s">
        <v>2677</v>
      </c>
      <c r="T144" t="s">
        <v>74</v>
      </c>
      <c r="U144" t="s">
        <v>74</v>
      </c>
      <c r="V144" t="s">
        <v>74</v>
      </c>
      <c r="W144" t="s">
        <v>2799</v>
      </c>
      <c r="X144" t="s">
        <v>2800</v>
      </c>
      <c r="Y144" t="s">
        <v>74</v>
      </c>
      <c r="Z144" t="s">
        <v>2801</v>
      </c>
      <c r="AA144" t="s">
        <v>74</v>
      </c>
      <c r="AB144" t="s">
        <v>74</v>
      </c>
      <c r="AC144" t="s">
        <v>74</v>
      </c>
      <c r="AD144" t="s">
        <v>74</v>
      </c>
      <c r="AE144" t="s">
        <v>74</v>
      </c>
      <c r="AF144" t="s">
        <v>74</v>
      </c>
      <c r="AG144">
        <v>0</v>
      </c>
      <c r="AH144">
        <v>4</v>
      </c>
      <c r="AI144">
        <v>5</v>
      </c>
      <c r="AJ144">
        <v>0</v>
      </c>
      <c r="AK144">
        <v>1</v>
      </c>
      <c r="AL144" t="s">
        <v>2682</v>
      </c>
      <c r="AM144" t="s">
        <v>241</v>
      </c>
      <c r="AN144" t="s">
        <v>2683</v>
      </c>
      <c r="AO144" t="s">
        <v>74</v>
      </c>
      <c r="AP144" t="s">
        <v>74</v>
      </c>
      <c r="AQ144" t="s">
        <v>2684</v>
      </c>
      <c r="AR144" t="s">
        <v>74</v>
      </c>
      <c r="AS144" t="s">
        <v>74</v>
      </c>
      <c r="AT144" t="s">
        <v>74</v>
      </c>
      <c r="AU144">
        <v>2011</v>
      </c>
      <c r="AV144" t="s">
        <v>74</v>
      </c>
      <c r="AW144" t="s">
        <v>74</v>
      </c>
      <c r="AX144" t="s">
        <v>74</v>
      </c>
      <c r="AY144" t="s">
        <v>74</v>
      </c>
      <c r="AZ144" t="s">
        <v>74</v>
      </c>
      <c r="BA144" t="s">
        <v>74</v>
      </c>
      <c r="BB144">
        <v>281</v>
      </c>
      <c r="BC144">
        <v>285</v>
      </c>
      <c r="BD144" t="s">
        <v>74</v>
      </c>
      <c r="BE144" t="s">
        <v>74</v>
      </c>
      <c r="BF144" t="s">
        <v>74</v>
      </c>
      <c r="BG144" t="s">
        <v>74</v>
      </c>
      <c r="BH144" t="s">
        <v>74</v>
      </c>
      <c r="BI144">
        <v>5</v>
      </c>
      <c r="BJ144" t="s">
        <v>2685</v>
      </c>
      <c r="BK144" t="s">
        <v>2686</v>
      </c>
      <c r="BL144" t="s">
        <v>2687</v>
      </c>
      <c r="BM144" t="s">
        <v>2688</v>
      </c>
      <c r="BN144" t="s">
        <v>74</v>
      </c>
      <c r="BO144" t="s">
        <v>74</v>
      </c>
      <c r="BP144" t="s">
        <v>74</v>
      </c>
      <c r="BQ144" t="s">
        <v>74</v>
      </c>
      <c r="BR144" t="s">
        <v>103</v>
      </c>
      <c r="BS144" t="s">
        <v>2802</v>
      </c>
      <c r="BT144" t="str">
        <f>HYPERLINK("https%3A%2F%2Fwww.webofscience.com%2Fwos%2Fwoscc%2Ffull-record%2FWOS:000301091500031","View Full Record in Web of Science")</f>
        <v>View Full Record in Web of Science</v>
      </c>
    </row>
    <row r="145" spans="1:72" x14ac:dyDescent="0.15">
      <c r="A145" t="s">
        <v>2268</v>
      </c>
      <c r="B145" t="s">
        <v>2803</v>
      </c>
      <c r="C145" t="s">
        <v>74</v>
      </c>
      <c r="D145" t="s">
        <v>2670</v>
      </c>
      <c r="E145" t="s">
        <v>74</v>
      </c>
      <c r="F145" t="s">
        <v>2804</v>
      </c>
      <c r="G145" t="s">
        <v>74</v>
      </c>
      <c r="H145" t="s">
        <v>74</v>
      </c>
      <c r="I145" t="s">
        <v>2805</v>
      </c>
      <c r="J145" t="s">
        <v>2673</v>
      </c>
      <c r="K145" t="s">
        <v>74</v>
      </c>
      <c r="L145" t="s">
        <v>74</v>
      </c>
      <c r="M145" t="s">
        <v>78</v>
      </c>
      <c r="N145" t="s">
        <v>2275</v>
      </c>
      <c r="O145" t="s">
        <v>2714</v>
      </c>
      <c r="P145" t="s">
        <v>2675</v>
      </c>
      <c r="Q145" t="s">
        <v>2676</v>
      </c>
      <c r="R145" t="s">
        <v>74</v>
      </c>
      <c r="S145" t="s">
        <v>2677</v>
      </c>
      <c r="T145" t="s">
        <v>74</v>
      </c>
      <c r="U145" t="s">
        <v>74</v>
      </c>
      <c r="V145" t="s">
        <v>74</v>
      </c>
      <c r="W145" t="s">
        <v>2806</v>
      </c>
      <c r="X145" t="s">
        <v>2807</v>
      </c>
      <c r="Y145" t="s">
        <v>74</v>
      </c>
      <c r="Z145" t="s">
        <v>2808</v>
      </c>
      <c r="AA145" t="s">
        <v>74</v>
      </c>
      <c r="AB145" t="s">
        <v>74</v>
      </c>
      <c r="AC145" t="s">
        <v>74</v>
      </c>
      <c r="AD145" t="s">
        <v>74</v>
      </c>
      <c r="AE145" t="s">
        <v>74</v>
      </c>
      <c r="AF145" t="s">
        <v>74</v>
      </c>
      <c r="AG145">
        <v>13</v>
      </c>
      <c r="AH145">
        <v>7</v>
      </c>
      <c r="AI145">
        <v>7</v>
      </c>
      <c r="AJ145">
        <v>0</v>
      </c>
      <c r="AK145">
        <v>2</v>
      </c>
      <c r="AL145" t="s">
        <v>2682</v>
      </c>
      <c r="AM145" t="s">
        <v>241</v>
      </c>
      <c r="AN145" t="s">
        <v>2683</v>
      </c>
      <c r="AO145" t="s">
        <v>74</v>
      </c>
      <c r="AP145" t="s">
        <v>74</v>
      </c>
      <c r="AQ145" t="s">
        <v>2684</v>
      </c>
      <c r="AR145" t="s">
        <v>74</v>
      </c>
      <c r="AS145" t="s">
        <v>74</v>
      </c>
      <c r="AT145" t="s">
        <v>74</v>
      </c>
      <c r="AU145">
        <v>2011</v>
      </c>
      <c r="AV145" t="s">
        <v>74</v>
      </c>
      <c r="AW145" t="s">
        <v>74</v>
      </c>
      <c r="AX145" t="s">
        <v>74</v>
      </c>
      <c r="AY145" t="s">
        <v>74</v>
      </c>
      <c r="AZ145" t="s">
        <v>74</v>
      </c>
      <c r="BA145" t="s">
        <v>74</v>
      </c>
      <c r="BB145">
        <v>287</v>
      </c>
      <c r="BC145">
        <v>294</v>
      </c>
      <c r="BD145" t="s">
        <v>74</v>
      </c>
      <c r="BE145" t="s">
        <v>74</v>
      </c>
      <c r="BF145" t="s">
        <v>74</v>
      </c>
      <c r="BG145" t="s">
        <v>74</v>
      </c>
      <c r="BH145" t="s">
        <v>74</v>
      </c>
      <c r="BI145">
        <v>8</v>
      </c>
      <c r="BJ145" t="s">
        <v>2685</v>
      </c>
      <c r="BK145" t="s">
        <v>2686</v>
      </c>
      <c r="BL145" t="s">
        <v>2687</v>
      </c>
      <c r="BM145" t="s">
        <v>2688</v>
      </c>
      <c r="BN145" t="s">
        <v>74</v>
      </c>
      <c r="BO145" t="s">
        <v>74</v>
      </c>
      <c r="BP145" t="s">
        <v>74</v>
      </c>
      <c r="BQ145" t="s">
        <v>74</v>
      </c>
      <c r="BR145" t="s">
        <v>103</v>
      </c>
      <c r="BS145" t="s">
        <v>2809</v>
      </c>
      <c r="BT145" t="str">
        <f>HYPERLINK("https%3A%2F%2Fwww.webofscience.com%2Fwos%2Fwoscc%2Ffull-record%2FWOS:000301091500032","View Full Record in Web of Science")</f>
        <v>View Full Record in Web of Science</v>
      </c>
    </row>
    <row r="146" spans="1:72" x14ac:dyDescent="0.15">
      <c r="A146" t="s">
        <v>2268</v>
      </c>
      <c r="B146" t="s">
        <v>2810</v>
      </c>
      <c r="C146" t="s">
        <v>74</v>
      </c>
      <c r="D146" t="s">
        <v>2670</v>
      </c>
      <c r="E146" t="s">
        <v>74</v>
      </c>
      <c r="F146" t="s">
        <v>2811</v>
      </c>
      <c r="G146" t="s">
        <v>74</v>
      </c>
      <c r="H146" t="s">
        <v>74</v>
      </c>
      <c r="I146" t="s">
        <v>2812</v>
      </c>
      <c r="J146" t="s">
        <v>2673</v>
      </c>
      <c r="K146" t="s">
        <v>74</v>
      </c>
      <c r="L146" t="s">
        <v>74</v>
      </c>
      <c r="M146" t="s">
        <v>78</v>
      </c>
      <c r="N146" t="s">
        <v>2275</v>
      </c>
      <c r="O146" t="s">
        <v>2714</v>
      </c>
      <c r="P146" t="s">
        <v>2675</v>
      </c>
      <c r="Q146" t="s">
        <v>2676</v>
      </c>
      <c r="R146" t="s">
        <v>74</v>
      </c>
      <c r="S146" t="s">
        <v>2677</v>
      </c>
      <c r="T146" t="s">
        <v>74</v>
      </c>
      <c r="U146" t="s">
        <v>2813</v>
      </c>
      <c r="V146" t="s">
        <v>74</v>
      </c>
      <c r="W146" t="s">
        <v>2814</v>
      </c>
      <c r="X146" t="s">
        <v>2680</v>
      </c>
      <c r="Y146" t="s">
        <v>2815</v>
      </c>
      <c r="Z146" t="s">
        <v>2816</v>
      </c>
      <c r="AA146" t="s">
        <v>74</v>
      </c>
      <c r="AB146" t="s">
        <v>74</v>
      </c>
      <c r="AC146" t="s">
        <v>74</v>
      </c>
      <c r="AD146" t="s">
        <v>74</v>
      </c>
      <c r="AE146" t="s">
        <v>74</v>
      </c>
      <c r="AF146" t="s">
        <v>74</v>
      </c>
      <c r="AG146">
        <v>58</v>
      </c>
      <c r="AH146">
        <v>2</v>
      </c>
      <c r="AI146">
        <v>2</v>
      </c>
      <c r="AJ146">
        <v>0</v>
      </c>
      <c r="AK146">
        <v>3</v>
      </c>
      <c r="AL146" t="s">
        <v>2682</v>
      </c>
      <c r="AM146" t="s">
        <v>241</v>
      </c>
      <c r="AN146" t="s">
        <v>2683</v>
      </c>
      <c r="AO146" t="s">
        <v>74</v>
      </c>
      <c r="AP146" t="s">
        <v>74</v>
      </c>
      <c r="AQ146" t="s">
        <v>2684</v>
      </c>
      <c r="AR146" t="s">
        <v>74</v>
      </c>
      <c r="AS146" t="s">
        <v>74</v>
      </c>
      <c r="AT146" t="s">
        <v>74</v>
      </c>
      <c r="AU146">
        <v>2011</v>
      </c>
      <c r="AV146" t="s">
        <v>74</v>
      </c>
      <c r="AW146" t="s">
        <v>74</v>
      </c>
      <c r="AX146" t="s">
        <v>74</v>
      </c>
      <c r="AY146" t="s">
        <v>74</v>
      </c>
      <c r="AZ146" t="s">
        <v>74</v>
      </c>
      <c r="BA146" t="s">
        <v>74</v>
      </c>
      <c r="BB146">
        <v>299</v>
      </c>
      <c r="BC146" t="s">
        <v>1316</v>
      </c>
      <c r="BD146" t="s">
        <v>74</v>
      </c>
      <c r="BE146" t="s">
        <v>74</v>
      </c>
      <c r="BF146" t="s">
        <v>74</v>
      </c>
      <c r="BG146" t="s">
        <v>74</v>
      </c>
      <c r="BH146" t="s">
        <v>74</v>
      </c>
      <c r="BI146">
        <v>4</v>
      </c>
      <c r="BJ146" t="s">
        <v>2685</v>
      </c>
      <c r="BK146" t="s">
        <v>2686</v>
      </c>
      <c r="BL146" t="s">
        <v>2687</v>
      </c>
      <c r="BM146" t="s">
        <v>2688</v>
      </c>
      <c r="BN146" t="s">
        <v>74</v>
      </c>
      <c r="BO146" t="s">
        <v>74</v>
      </c>
      <c r="BP146" t="s">
        <v>74</v>
      </c>
      <c r="BQ146" t="s">
        <v>74</v>
      </c>
      <c r="BR146" t="s">
        <v>103</v>
      </c>
      <c r="BS146" t="s">
        <v>2817</v>
      </c>
      <c r="BT146" t="str">
        <f>HYPERLINK("https%3A%2F%2Fwww.webofscience.com%2Fwos%2Fwoscc%2Ffull-record%2FWOS:000301091500034","View Full Record in Web of Science")</f>
        <v>View Full Record in Web of Science</v>
      </c>
    </row>
    <row r="147" spans="1:72" x14ac:dyDescent="0.15">
      <c r="A147" t="s">
        <v>2268</v>
      </c>
      <c r="B147" t="s">
        <v>2818</v>
      </c>
      <c r="C147" t="s">
        <v>74</v>
      </c>
      <c r="D147" t="s">
        <v>74</v>
      </c>
      <c r="E147" t="s">
        <v>2819</v>
      </c>
      <c r="F147" t="s">
        <v>2820</v>
      </c>
      <c r="G147" t="s">
        <v>74</v>
      </c>
      <c r="H147" t="s">
        <v>74</v>
      </c>
      <c r="I147" t="s">
        <v>2821</v>
      </c>
      <c r="J147" t="s">
        <v>2822</v>
      </c>
      <c r="K147" t="s">
        <v>2823</v>
      </c>
      <c r="L147" t="s">
        <v>74</v>
      </c>
      <c r="M147" t="s">
        <v>78</v>
      </c>
      <c r="N147" t="s">
        <v>2275</v>
      </c>
      <c r="O147" t="s">
        <v>2824</v>
      </c>
      <c r="P147" t="s">
        <v>2825</v>
      </c>
      <c r="Q147" t="s">
        <v>2826</v>
      </c>
      <c r="R147" t="s">
        <v>74</v>
      </c>
      <c r="S147" t="s">
        <v>74</v>
      </c>
      <c r="T147" t="s">
        <v>2827</v>
      </c>
      <c r="U147" t="s">
        <v>74</v>
      </c>
      <c r="V147" t="s">
        <v>2828</v>
      </c>
      <c r="W147" t="s">
        <v>2829</v>
      </c>
      <c r="X147" t="s">
        <v>2830</v>
      </c>
      <c r="Y147" t="s">
        <v>2831</v>
      </c>
      <c r="Z147" t="s">
        <v>2832</v>
      </c>
      <c r="AA147" t="s">
        <v>74</v>
      </c>
      <c r="AB147" t="s">
        <v>74</v>
      </c>
      <c r="AC147" t="s">
        <v>74</v>
      </c>
      <c r="AD147" t="s">
        <v>74</v>
      </c>
      <c r="AE147" t="s">
        <v>74</v>
      </c>
      <c r="AF147" t="s">
        <v>74</v>
      </c>
      <c r="AG147">
        <v>9</v>
      </c>
      <c r="AH147">
        <v>0</v>
      </c>
      <c r="AI147">
        <v>0</v>
      </c>
      <c r="AJ147">
        <v>1</v>
      </c>
      <c r="AK147">
        <v>2</v>
      </c>
      <c r="AL147" t="s">
        <v>2819</v>
      </c>
      <c r="AM147" t="s">
        <v>91</v>
      </c>
      <c r="AN147" t="s">
        <v>2833</v>
      </c>
      <c r="AO147" t="s">
        <v>2834</v>
      </c>
      <c r="AP147" t="s">
        <v>74</v>
      </c>
      <c r="AQ147" t="s">
        <v>2835</v>
      </c>
      <c r="AR147" t="s">
        <v>2836</v>
      </c>
      <c r="AS147" t="s">
        <v>74</v>
      </c>
      <c r="AT147" t="s">
        <v>74</v>
      </c>
      <c r="AU147">
        <v>2011</v>
      </c>
      <c r="AV147" t="s">
        <v>74</v>
      </c>
      <c r="AW147" t="s">
        <v>74</v>
      </c>
      <c r="AX147" t="s">
        <v>74</v>
      </c>
      <c r="AY147" t="s">
        <v>74</v>
      </c>
      <c r="AZ147" t="s">
        <v>74</v>
      </c>
      <c r="BA147" t="s">
        <v>74</v>
      </c>
      <c r="BB147">
        <v>186</v>
      </c>
      <c r="BC147">
        <v>189</v>
      </c>
      <c r="BD147" t="s">
        <v>74</v>
      </c>
      <c r="BE147" t="s">
        <v>2837</v>
      </c>
      <c r="BF147" t="str">
        <f>HYPERLINK("http://dx.doi.org/10.1109/IGARSS.2011.6048923","http://dx.doi.org/10.1109/IGARSS.2011.6048923")</f>
        <v>http://dx.doi.org/10.1109/IGARSS.2011.6048923</v>
      </c>
      <c r="BG147" t="s">
        <v>74</v>
      </c>
      <c r="BH147" t="s">
        <v>74</v>
      </c>
      <c r="BI147">
        <v>4</v>
      </c>
      <c r="BJ147" t="s">
        <v>2838</v>
      </c>
      <c r="BK147" t="s">
        <v>2292</v>
      </c>
      <c r="BL147" t="s">
        <v>2839</v>
      </c>
      <c r="BM147" t="s">
        <v>2840</v>
      </c>
      <c r="BN147" t="s">
        <v>74</v>
      </c>
      <c r="BO147" t="s">
        <v>74</v>
      </c>
      <c r="BP147" t="s">
        <v>74</v>
      </c>
      <c r="BQ147" t="s">
        <v>74</v>
      </c>
      <c r="BR147" t="s">
        <v>103</v>
      </c>
      <c r="BS147" t="s">
        <v>2841</v>
      </c>
      <c r="BT147" t="str">
        <f>HYPERLINK("https%3A%2F%2Fwww.webofscience.com%2Fwos%2Fwoscc%2Ffull-record%2FWOS:000297496300045","View Full Record in Web of Science")</f>
        <v>View Full Record in Web of Science</v>
      </c>
    </row>
    <row r="148" spans="1:72" x14ac:dyDescent="0.15">
      <c r="A148" t="s">
        <v>2268</v>
      </c>
      <c r="B148" t="s">
        <v>2842</v>
      </c>
      <c r="C148" t="s">
        <v>74</v>
      </c>
      <c r="D148" t="s">
        <v>74</v>
      </c>
      <c r="E148" t="s">
        <v>2819</v>
      </c>
      <c r="F148" t="s">
        <v>2843</v>
      </c>
      <c r="G148" t="s">
        <v>74</v>
      </c>
      <c r="H148" t="s">
        <v>74</v>
      </c>
      <c r="I148" t="s">
        <v>2844</v>
      </c>
      <c r="J148" t="s">
        <v>2822</v>
      </c>
      <c r="K148" t="s">
        <v>2823</v>
      </c>
      <c r="L148" t="s">
        <v>74</v>
      </c>
      <c r="M148" t="s">
        <v>78</v>
      </c>
      <c r="N148" t="s">
        <v>2275</v>
      </c>
      <c r="O148" t="s">
        <v>2824</v>
      </c>
      <c r="P148" t="s">
        <v>2825</v>
      </c>
      <c r="Q148" t="s">
        <v>2826</v>
      </c>
      <c r="R148" t="s">
        <v>74</v>
      </c>
      <c r="S148" t="s">
        <v>74</v>
      </c>
      <c r="T148" t="s">
        <v>2845</v>
      </c>
      <c r="U148" t="s">
        <v>2846</v>
      </c>
      <c r="V148" t="s">
        <v>2847</v>
      </c>
      <c r="W148" t="s">
        <v>2848</v>
      </c>
      <c r="X148" t="s">
        <v>2849</v>
      </c>
      <c r="Y148" t="s">
        <v>2850</v>
      </c>
      <c r="Z148" t="s">
        <v>74</v>
      </c>
      <c r="AA148" t="s">
        <v>2851</v>
      </c>
      <c r="AB148" t="s">
        <v>2852</v>
      </c>
      <c r="AC148" t="s">
        <v>74</v>
      </c>
      <c r="AD148" t="s">
        <v>74</v>
      </c>
      <c r="AE148" t="s">
        <v>74</v>
      </c>
      <c r="AF148" t="s">
        <v>74</v>
      </c>
      <c r="AG148">
        <v>6</v>
      </c>
      <c r="AH148">
        <v>0</v>
      </c>
      <c r="AI148">
        <v>0</v>
      </c>
      <c r="AJ148">
        <v>0</v>
      </c>
      <c r="AK148">
        <v>0</v>
      </c>
      <c r="AL148" t="s">
        <v>2819</v>
      </c>
      <c r="AM148" t="s">
        <v>91</v>
      </c>
      <c r="AN148" t="s">
        <v>2833</v>
      </c>
      <c r="AO148" t="s">
        <v>74</v>
      </c>
      <c r="AP148" t="s">
        <v>74</v>
      </c>
      <c r="AQ148" t="s">
        <v>2835</v>
      </c>
      <c r="AR148" t="s">
        <v>2836</v>
      </c>
      <c r="AS148" t="s">
        <v>74</v>
      </c>
      <c r="AT148" t="s">
        <v>74</v>
      </c>
      <c r="AU148">
        <v>2011</v>
      </c>
      <c r="AV148" t="s">
        <v>74</v>
      </c>
      <c r="AW148" t="s">
        <v>74</v>
      </c>
      <c r="AX148" t="s">
        <v>74</v>
      </c>
      <c r="AY148" t="s">
        <v>74</v>
      </c>
      <c r="AZ148" t="s">
        <v>74</v>
      </c>
      <c r="BA148" t="s">
        <v>74</v>
      </c>
      <c r="BB148">
        <v>2101</v>
      </c>
      <c r="BC148">
        <v>2104</v>
      </c>
      <c r="BD148" t="s">
        <v>74</v>
      </c>
      <c r="BE148" t="s">
        <v>74</v>
      </c>
      <c r="BF148" t="s">
        <v>74</v>
      </c>
      <c r="BG148" t="s">
        <v>74</v>
      </c>
      <c r="BH148" t="s">
        <v>74</v>
      </c>
      <c r="BI148">
        <v>4</v>
      </c>
      <c r="BJ148" t="s">
        <v>2838</v>
      </c>
      <c r="BK148" t="s">
        <v>2292</v>
      </c>
      <c r="BL148" t="s">
        <v>2839</v>
      </c>
      <c r="BM148" t="s">
        <v>2840</v>
      </c>
      <c r="BN148" t="s">
        <v>74</v>
      </c>
      <c r="BO148" t="s">
        <v>74</v>
      </c>
      <c r="BP148" t="s">
        <v>74</v>
      </c>
      <c r="BQ148" t="s">
        <v>74</v>
      </c>
      <c r="BR148" t="s">
        <v>103</v>
      </c>
      <c r="BS148" t="s">
        <v>2853</v>
      </c>
      <c r="BT148" t="str">
        <f>HYPERLINK("https%3A%2F%2Fwww.webofscience.com%2Fwos%2Fwoscc%2Ffull-record%2FWOS:000297496302030","View Full Record in Web of Science")</f>
        <v>View Full Record in Web of Science</v>
      </c>
    </row>
    <row r="149" spans="1:72" x14ac:dyDescent="0.15">
      <c r="A149" t="s">
        <v>2268</v>
      </c>
      <c r="B149" t="s">
        <v>2854</v>
      </c>
      <c r="C149" t="s">
        <v>74</v>
      </c>
      <c r="D149" t="s">
        <v>74</v>
      </c>
      <c r="E149" t="s">
        <v>2819</v>
      </c>
      <c r="F149" t="s">
        <v>2855</v>
      </c>
      <c r="G149" t="s">
        <v>74</v>
      </c>
      <c r="H149" t="s">
        <v>74</v>
      </c>
      <c r="I149" t="s">
        <v>2856</v>
      </c>
      <c r="J149" t="s">
        <v>2822</v>
      </c>
      <c r="K149" t="s">
        <v>2823</v>
      </c>
      <c r="L149" t="s">
        <v>74</v>
      </c>
      <c r="M149" t="s">
        <v>78</v>
      </c>
      <c r="N149" t="s">
        <v>2275</v>
      </c>
      <c r="O149" t="s">
        <v>2824</v>
      </c>
      <c r="P149" t="s">
        <v>2825</v>
      </c>
      <c r="Q149" t="s">
        <v>2826</v>
      </c>
      <c r="R149" t="s">
        <v>74</v>
      </c>
      <c r="S149" t="s">
        <v>74</v>
      </c>
      <c r="T149" t="s">
        <v>2857</v>
      </c>
      <c r="U149" t="s">
        <v>74</v>
      </c>
      <c r="V149" t="s">
        <v>2858</v>
      </c>
      <c r="W149" t="s">
        <v>2859</v>
      </c>
      <c r="X149" t="s">
        <v>2860</v>
      </c>
      <c r="Y149" t="s">
        <v>2861</v>
      </c>
      <c r="Z149" t="s">
        <v>2862</v>
      </c>
      <c r="AA149" t="s">
        <v>2863</v>
      </c>
      <c r="AB149" t="s">
        <v>2864</v>
      </c>
      <c r="AC149" t="s">
        <v>74</v>
      </c>
      <c r="AD149" t="s">
        <v>74</v>
      </c>
      <c r="AE149" t="s">
        <v>74</v>
      </c>
      <c r="AF149" t="s">
        <v>74</v>
      </c>
      <c r="AG149">
        <v>6</v>
      </c>
      <c r="AH149">
        <v>0</v>
      </c>
      <c r="AI149">
        <v>0</v>
      </c>
      <c r="AJ149">
        <v>2</v>
      </c>
      <c r="AK149">
        <v>8</v>
      </c>
      <c r="AL149" t="s">
        <v>2819</v>
      </c>
      <c r="AM149" t="s">
        <v>91</v>
      </c>
      <c r="AN149" t="s">
        <v>2833</v>
      </c>
      <c r="AO149" t="s">
        <v>2834</v>
      </c>
      <c r="AP149" t="s">
        <v>74</v>
      </c>
      <c r="AQ149" t="s">
        <v>2835</v>
      </c>
      <c r="AR149" t="s">
        <v>2836</v>
      </c>
      <c r="AS149" t="s">
        <v>74</v>
      </c>
      <c r="AT149" t="s">
        <v>74</v>
      </c>
      <c r="AU149">
        <v>2011</v>
      </c>
      <c r="AV149" t="s">
        <v>74</v>
      </c>
      <c r="AW149" t="s">
        <v>74</v>
      </c>
      <c r="AX149" t="s">
        <v>74</v>
      </c>
      <c r="AY149" t="s">
        <v>74</v>
      </c>
      <c r="AZ149" t="s">
        <v>74</v>
      </c>
      <c r="BA149" t="s">
        <v>74</v>
      </c>
      <c r="BB149">
        <v>2877</v>
      </c>
      <c r="BC149">
        <v>2880</v>
      </c>
      <c r="BD149" t="s">
        <v>74</v>
      </c>
      <c r="BE149" t="s">
        <v>2865</v>
      </c>
      <c r="BF149" t="str">
        <f>HYPERLINK("http://dx.doi.org/10.1109/IGARSS.2011.6049815","http://dx.doi.org/10.1109/IGARSS.2011.6049815")</f>
        <v>http://dx.doi.org/10.1109/IGARSS.2011.6049815</v>
      </c>
      <c r="BG149" t="s">
        <v>74</v>
      </c>
      <c r="BH149" t="s">
        <v>74</v>
      </c>
      <c r="BI149">
        <v>4</v>
      </c>
      <c r="BJ149" t="s">
        <v>2838</v>
      </c>
      <c r="BK149" t="s">
        <v>2292</v>
      </c>
      <c r="BL149" t="s">
        <v>2839</v>
      </c>
      <c r="BM149" t="s">
        <v>2840</v>
      </c>
      <c r="BN149" t="s">
        <v>74</v>
      </c>
      <c r="BO149" t="s">
        <v>74</v>
      </c>
      <c r="BP149" t="s">
        <v>74</v>
      </c>
      <c r="BQ149" t="s">
        <v>74</v>
      </c>
      <c r="BR149" t="s">
        <v>103</v>
      </c>
      <c r="BS149" t="s">
        <v>2866</v>
      </c>
      <c r="BT149" t="str">
        <f>HYPERLINK("https%3A%2F%2Fwww.webofscience.com%2Fwos%2Fwoscc%2Ffull-record%2FWOS:000297496302221","View Full Record in Web of Science")</f>
        <v>View Full Record in Web of Science</v>
      </c>
    </row>
    <row r="150" spans="1:72" x14ac:dyDescent="0.15">
      <c r="A150" t="s">
        <v>2268</v>
      </c>
      <c r="B150" t="s">
        <v>2867</v>
      </c>
      <c r="C150" t="s">
        <v>74</v>
      </c>
      <c r="D150" t="s">
        <v>74</v>
      </c>
      <c r="E150" t="s">
        <v>2819</v>
      </c>
      <c r="F150" t="s">
        <v>2868</v>
      </c>
      <c r="G150" t="s">
        <v>74</v>
      </c>
      <c r="H150" t="s">
        <v>74</v>
      </c>
      <c r="I150" t="s">
        <v>2869</v>
      </c>
      <c r="J150" t="s">
        <v>2822</v>
      </c>
      <c r="K150" t="s">
        <v>2823</v>
      </c>
      <c r="L150" t="s">
        <v>74</v>
      </c>
      <c r="M150" t="s">
        <v>78</v>
      </c>
      <c r="N150" t="s">
        <v>2275</v>
      </c>
      <c r="O150" t="s">
        <v>2824</v>
      </c>
      <c r="P150" t="s">
        <v>2825</v>
      </c>
      <c r="Q150" t="s">
        <v>2826</v>
      </c>
      <c r="R150" t="s">
        <v>74</v>
      </c>
      <c r="S150" t="s">
        <v>74</v>
      </c>
      <c r="T150" t="s">
        <v>2870</v>
      </c>
      <c r="U150" t="s">
        <v>2871</v>
      </c>
      <c r="V150" t="s">
        <v>2872</v>
      </c>
      <c r="W150" t="s">
        <v>2873</v>
      </c>
      <c r="X150" t="s">
        <v>2874</v>
      </c>
      <c r="Y150" t="s">
        <v>2875</v>
      </c>
      <c r="Z150" t="s">
        <v>74</v>
      </c>
      <c r="AA150" t="s">
        <v>2876</v>
      </c>
      <c r="AB150" t="s">
        <v>2877</v>
      </c>
      <c r="AC150" t="s">
        <v>2878</v>
      </c>
      <c r="AD150" t="s">
        <v>2879</v>
      </c>
      <c r="AE150" t="s">
        <v>2880</v>
      </c>
      <c r="AF150" t="s">
        <v>74</v>
      </c>
      <c r="AG150">
        <v>11</v>
      </c>
      <c r="AH150">
        <v>1</v>
      </c>
      <c r="AI150">
        <v>1</v>
      </c>
      <c r="AJ150">
        <v>0</v>
      </c>
      <c r="AK150">
        <v>0</v>
      </c>
      <c r="AL150" t="s">
        <v>2819</v>
      </c>
      <c r="AM150" t="s">
        <v>91</v>
      </c>
      <c r="AN150" t="s">
        <v>2833</v>
      </c>
      <c r="AO150" t="s">
        <v>2834</v>
      </c>
      <c r="AP150" t="s">
        <v>74</v>
      </c>
      <c r="AQ150" t="s">
        <v>2835</v>
      </c>
      <c r="AR150" t="s">
        <v>2836</v>
      </c>
      <c r="AS150" t="s">
        <v>74</v>
      </c>
      <c r="AT150" t="s">
        <v>74</v>
      </c>
      <c r="AU150">
        <v>2011</v>
      </c>
      <c r="AV150" t="s">
        <v>74</v>
      </c>
      <c r="AW150" t="s">
        <v>74</v>
      </c>
      <c r="AX150" t="s">
        <v>74</v>
      </c>
      <c r="AY150" t="s">
        <v>74</v>
      </c>
      <c r="AZ150" t="s">
        <v>74</v>
      </c>
      <c r="BA150" t="s">
        <v>74</v>
      </c>
      <c r="BB150">
        <v>3503</v>
      </c>
      <c r="BC150">
        <v>3506</v>
      </c>
      <c r="BD150" t="s">
        <v>74</v>
      </c>
      <c r="BE150" t="s">
        <v>2881</v>
      </c>
      <c r="BF150" t="str">
        <f>HYPERLINK("http://dx.doi.org/10.1109/IGARSS.2011.6049976","http://dx.doi.org/10.1109/IGARSS.2011.6049976")</f>
        <v>http://dx.doi.org/10.1109/IGARSS.2011.6049976</v>
      </c>
      <c r="BG150" t="s">
        <v>74</v>
      </c>
      <c r="BH150" t="s">
        <v>74</v>
      </c>
      <c r="BI150">
        <v>4</v>
      </c>
      <c r="BJ150" t="s">
        <v>2838</v>
      </c>
      <c r="BK150" t="s">
        <v>2292</v>
      </c>
      <c r="BL150" t="s">
        <v>2839</v>
      </c>
      <c r="BM150" t="s">
        <v>2840</v>
      </c>
      <c r="BN150" t="s">
        <v>74</v>
      </c>
      <c r="BO150" t="s">
        <v>74</v>
      </c>
      <c r="BP150" t="s">
        <v>74</v>
      </c>
      <c r="BQ150" t="s">
        <v>74</v>
      </c>
      <c r="BR150" t="s">
        <v>103</v>
      </c>
      <c r="BS150" t="s">
        <v>2882</v>
      </c>
      <c r="BT150" t="str">
        <f>HYPERLINK("https%3A%2F%2Fwww.webofscience.com%2Fwos%2Fwoscc%2Ffull-record%2FWOS:000297496303121","View Full Record in Web of Science")</f>
        <v>View Full Record in Web of Science</v>
      </c>
    </row>
    <row r="151" spans="1:72" x14ac:dyDescent="0.15">
      <c r="A151" t="s">
        <v>2268</v>
      </c>
      <c r="B151" t="s">
        <v>2883</v>
      </c>
      <c r="C151" t="s">
        <v>74</v>
      </c>
      <c r="D151" t="s">
        <v>74</v>
      </c>
      <c r="E151" t="s">
        <v>2819</v>
      </c>
      <c r="F151" t="s">
        <v>2884</v>
      </c>
      <c r="G151" t="s">
        <v>74</v>
      </c>
      <c r="H151" t="s">
        <v>74</v>
      </c>
      <c r="I151" t="s">
        <v>2885</v>
      </c>
      <c r="J151" t="s">
        <v>2822</v>
      </c>
      <c r="K151" t="s">
        <v>2823</v>
      </c>
      <c r="L151" t="s">
        <v>74</v>
      </c>
      <c r="M151" t="s">
        <v>78</v>
      </c>
      <c r="N151" t="s">
        <v>2275</v>
      </c>
      <c r="O151" t="s">
        <v>2824</v>
      </c>
      <c r="P151" t="s">
        <v>2825</v>
      </c>
      <c r="Q151" t="s">
        <v>2826</v>
      </c>
      <c r="R151" t="s">
        <v>74</v>
      </c>
      <c r="S151" t="s">
        <v>74</v>
      </c>
      <c r="T151" t="s">
        <v>2886</v>
      </c>
      <c r="U151" t="s">
        <v>2887</v>
      </c>
      <c r="V151" t="s">
        <v>2888</v>
      </c>
      <c r="W151" t="s">
        <v>2889</v>
      </c>
      <c r="X151" t="s">
        <v>2890</v>
      </c>
      <c r="Y151" t="s">
        <v>2891</v>
      </c>
      <c r="Z151" t="s">
        <v>2892</v>
      </c>
      <c r="AA151" t="s">
        <v>2893</v>
      </c>
      <c r="AB151" t="s">
        <v>74</v>
      </c>
      <c r="AC151" t="s">
        <v>2894</v>
      </c>
      <c r="AD151" t="s">
        <v>2895</v>
      </c>
      <c r="AE151" t="s">
        <v>2896</v>
      </c>
      <c r="AF151" t="s">
        <v>74</v>
      </c>
      <c r="AG151">
        <v>13</v>
      </c>
      <c r="AH151">
        <v>1</v>
      </c>
      <c r="AI151">
        <v>1</v>
      </c>
      <c r="AJ151">
        <v>0</v>
      </c>
      <c r="AK151">
        <v>2</v>
      </c>
      <c r="AL151" t="s">
        <v>2819</v>
      </c>
      <c r="AM151" t="s">
        <v>91</v>
      </c>
      <c r="AN151" t="s">
        <v>2833</v>
      </c>
      <c r="AO151" t="s">
        <v>2834</v>
      </c>
      <c r="AP151" t="s">
        <v>74</v>
      </c>
      <c r="AQ151" t="s">
        <v>2835</v>
      </c>
      <c r="AR151" t="s">
        <v>2836</v>
      </c>
      <c r="AS151" t="s">
        <v>74</v>
      </c>
      <c r="AT151" t="s">
        <v>74</v>
      </c>
      <c r="AU151">
        <v>2011</v>
      </c>
      <c r="AV151" t="s">
        <v>74</v>
      </c>
      <c r="AW151" t="s">
        <v>74</v>
      </c>
      <c r="AX151" t="s">
        <v>74</v>
      </c>
      <c r="AY151" t="s">
        <v>74</v>
      </c>
      <c r="AZ151" t="s">
        <v>74</v>
      </c>
      <c r="BA151" t="s">
        <v>74</v>
      </c>
      <c r="BB151">
        <v>3855</v>
      </c>
      <c r="BC151">
        <v>3858</v>
      </c>
      <c r="BD151" t="s">
        <v>74</v>
      </c>
      <c r="BE151" t="s">
        <v>2897</v>
      </c>
      <c r="BF151" t="str">
        <f>HYPERLINK("http://dx.doi.org/10.1109/IGARSS.2011.6050072","http://dx.doi.org/10.1109/IGARSS.2011.6050072")</f>
        <v>http://dx.doi.org/10.1109/IGARSS.2011.6050072</v>
      </c>
      <c r="BG151" t="s">
        <v>74</v>
      </c>
      <c r="BH151" t="s">
        <v>74</v>
      </c>
      <c r="BI151">
        <v>4</v>
      </c>
      <c r="BJ151" t="s">
        <v>2838</v>
      </c>
      <c r="BK151" t="s">
        <v>2292</v>
      </c>
      <c r="BL151" t="s">
        <v>2839</v>
      </c>
      <c r="BM151" t="s">
        <v>2840</v>
      </c>
      <c r="BN151" t="s">
        <v>74</v>
      </c>
      <c r="BO151" t="s">
        <v>74</v>
      </c>
      <c r="BP151" t="s">
        <v>74</v>
      </c>
      <c r="BQ151" t="s">
        <v>74</v>
      </c>
      <c r="BR151" t="s">
        <v>103</v>
      </c>
      <c r="BS151" t="s">
        <v>2898</v>
      </c>
      <c r="BT151" t="str">
        <f>HYPERLINK("https%3A%2F%2Fwww.webofscience.com%2Fwos%2Fwoscc%2Ffull-record%2FWOS:000297496303209","View Full Record in Web of Science")</f>
        <v>View Full Record in Web of Science</v>
      </c>
    </row>
    <row r="152" spans="1:72" x14ac:dyDescent="0.15">
      <c r="A152" t="s">
        <v>2268</v>
      </c>
      <c r="B152" t="s">
        <v>2899</v>
      </c>
      <c r="C152" t="s">
        <v>74</v>
      </c>
      <c r="D152" t="s">
        <v>74</v>
      </c>
      <c r="E152" t="s">
        <v>2819</v>
      </c>
      <c r="F152" t="s">
        <v>2900</v>
      </c>
      <c r="G152" t="s">
        <v>74</v>
      </c>
      <c r="H152" t="s">
        <v>74</v>
      </c>
      <c r="I152" t="s">
        <v>2901</v>
      </c>
      <c r="J152" t="s">
        <v>2822</v>
      </c>
      <c r="K152" t="s">
        <v>2823</v>
      </c>
      <c r="L152" t="s">
        <v>74</v>
      </c>
      <c r="M152" t="s">
        <v>78</v>
      </c>
      <c r="N152" t="s">
        <v>2275</v>
      </c>
      <c r="O152" t="s">
        <v>2824</v>
      </c>
      <c r="P152" t="s">
        <v>2825</v>
      </c>
      <c r="Q152" t="s">
        <v>2826</v>
      </c>
      <c r="R152" t="s">
        <v>74</v>
      </c>
      <c r="S152" t="s">
        <v>74</v>
      </c>
      <c r="T152" t="s">
        <v>2902</v>
      </c>
      <c r="U152" t="s">
        <v>74</v>
      </c>
      <c r="V152" t="s">
        <v>2903</v>
      </c>
      <c r="W152" t="s">
        <v>2904</v>
      </c>
      <c r="X152" t="s">
        <v>2905</v>
      </c>
      <c r="Y152" t="s">
        <v>2906</v>
      </c>
      <c r="Z152" t="s">
        <v>74</v>
      </c>
      <c r="AA152" t="s">
        <v>2907</v>
      </c>
      <c r="AB152" t="s">
        <v>2908</v>
      </c>
      <c r="AC152" t="s">
        <v>74</v>
      </c>
      <c r="AD152" t="s">
        <v>74</v>
      </c>
      <c r="AE152" t="s">
        <v>74</v>
      </c>
      <c r="AF152" t="s">
        <v>74</v>
      </c>
      <c r="AG152">
        <v>13</v>
      </c>
      <c r="AH152">
        <v>1</v>
      </c>
      <c r="AI152">
        <v>1</v>
      </c>
      <c r="AJ152">
        <v>0</v>
      </c>
      <c r="AK152">
        <v>0</v>
      </c>
      <c r="AL152" t="s">
        <v>2819</v>
      </c>
      <c r="AM152" t="s">
        <v>91</v>
      </c>
      <c r="AN152" t="s">
        <v>2833</v>
      </c>
      <c r="AO152" t="s">
        <v>2834</v>
      </c>
      <c r="AP152" t="s">
        <v>74</v>
      </c>
      <c r="AQ152" t="s">
        <v>2835</v>
      </c>
      <c r="AR152" t="s">
        <v>2836</v>
      </c>
      <c r="AS152" t="s">
        <v>74</v>
      </c>
      <c r="AT152" t="s">
        <v>74</v>
      </c>
      <c r="AU152">
        <v>2011</v>
      </c>
      <c r="AV152" t="s">
        <v>74</v>
      </c>
      <c r="AW152" t="s">
        <v>74</v>
      </c>
      <c r="AX152" t="s">
        <v>74</v>
      </c>
      <c r="AY152" t="s">
        <v>74</v>
      </c>
      <c r="AZ152" t="s">
        <v>74</v>
      </c>
      <c r="BA152" t="s">
        <v>74</v>
      </c>
      <c r="BB152">
        <v>3859</v>
      </c>
      <c r="BC152">
        <v>3862</v>
      </c>
      <c r="BD152" t="s">
        <v>74</v>
      </c>
      <c r="BE152" t="s">
        <v>2909</v>
      </c>
      <c r="BF152" t="str">
        <f>HYPERLINK("http://dx.doi.org/10.1109/IGARSS.2011.6050073","http://dx.doi.org/10.1109/IGARSS.2011.6050073")</f>
        <v>http://dx.doi.org/10.1109/IGARSS.2011.6050073</v>
      </c>
      <c r="BG152" t="s">
        <v>74</v>
      </c>
      <c r="BH152" t="s">
        <v>74</v>
      </c>
      <c r="BI152">
        <v>4</v>
      </c>
      <c r="BJ152" t="s">
        <v>2838</v>
      </c>
      <c r="BK152" t="s">
        <v>2292</v>
      </c>
      <c r="BL152" t="s">
        <v>2839</v>
      </c>
      <c r="BM152" t="s">
        <v>2840</v>
      </c>
      <c r="BN152" t="s">
        <v>74</v>
      </c>
      <c r="BO152" t="s">
        <v>74</v>
      </c>
      <c r="BP152" t="s">
        <v>74</v>
      </c>
      <c r="BQ152" t="s">
        <v>74</v>
      </c>
      <c r="BR152" t="s">
        <v>103</v>
      </c>
      <c r="BS152" t="s">
        <v>2910</v>
      </c>
      <c r="BT152" t="str">
        <f>HYPERLINK("https%3A%2F%2Fwww.webofscience.com%2Fwos%2Fwoscc%2Ffull-record%2FWOS:000297496303210","View Full Record in Web of Science")</f>
        <v>View Full Record in Web of Science</v>
      </c>
    </row>
    <row r="153" spans="1:72" x14ac:dyDescent="0.15">
      <c r="A153" t="s">
        <v>2268</v>
      </c>
      <c r="B153" t="s">
        <v>2911</v>
      </c>
      <c r="C153" t="s">
        <v>74</v>
      </c>
      <c r="D153" t="s">
        <v>74</v>
      </c>
      <c r="E153" t="s">
        <v>2819</v>
      </c>
      <c r="F153" t="s">
        <v>2912</v>
      </c>
      <c r="G153" t="s">
        <v>74</v>
      </c>
      <c r="H153" t="s">
        <v>74</v>
      </c>
      <c r="I153" t="s">
        <v>2913</v>
      </c>
      <c r="J153" t="s">
        <v>2914</v>
      </c>
      <c r="K153" t="s">
        <v>74</v>
      </c>
      <c r="L153" t="s">
        <v>74</v>
      </c>
      <c r="M153" t="s">
        <v>78</v>
      </c>
      <c r="N153" t="s">
        <v>2275</v>
      </c>
      <c r="O153" t="s">
        <v>2915</v>
      </c>
      <c r="P153" t="s">
        <v>2916</v>
      </c>
      <c r="Q153" t="s">
        <v>2917</v>
      </c>
      <c r="R153" t="s">
        <v>74</v>
      </c>
      <c r="S153" t="s">
        <v>74</v>
      </c>
      <c r="T153" t="s">
        <v>2918</v>
      </c>
      <c r="U153" t="s">
        <v>2919</v>
      </c>
      <c r="V153" t="s">
        <v>2920</v>
      </c>
      <c r="W153" t="s">
        <v>2921</v>
      </c>
      <c r="X153" t="s">
        <v>2922</v>
      </c>
      <c r="Y153" t="s">
        <v>2923</v>
      </c>
      <c r="Z153" t="s">
        <v>74</v>
      </c>
      <c r="AA153" t="s">
        <v>74</v>
      </c>
      <c r="AB153" t="s">
        <v>2924</v>
      </c>
      <c r="AC153" t="s">
        <v>74</v>
      </c>
      <c r="AD153" t="s">
        <v>74</v>
      </c>
      <c r="AE153" t="s">
        <v>74</v>
      </c>
      <c r="AF153" t="s">
        <v>74</v>
      </c>
      <c r="AG153">
        <v>32</v>
      </c>
      <c r="AH153">
        <v>0</v>
      </c>
      <c r="AI153">
        <v>0</v>
      </c>
      <c r="AJ153">
        <v>0</v>
      </c>
      <c r="AK153">
        <v>7</v>
      </c>
      <c r="AL153" t="s">
        <v>2819</v>
      </c>
      <c r="AM153" t="s">
        <v>91</v>
      </c>
      <c r="AN153" t="s">
        <v>2833</v>
      </c>
      <c r="AO153" t="s">
        <v>74</v>
      </c>
      <c r="AP153" t="s">
        <v>74</v>
      </c>
      <c r="AQ153" t="s">
        <v>2925</v>
      </c>
      <c r="AR153" t="s">
        <v>74</v>
      </c>
      <c r="AS153" t="s">
        <v>74</v>
      </c>
      <c r="AT153" t="s">
        <v>74</v>
      </c>
      <c r="AU153">
        <v>2011</v>
      </c>
      <c r="AV153" t="s">
        <v>74</v>
      </c>
      <c r="AW153" t="s">
        <v>74</v>
      </c>
      <c r="AX153" t="s">
        <v>74</v>
      </c>
      <c r="AY153" t="s">
        <v>74</v>
      </c>
      <c r="AZ153" t="s">
        <v>74</v>
      </c>
      <c r="BA153" t="s">
        <v>74</v>
      </c>
      <c r="BB153" t="s">
        <v>74</v>
      </c>
      <c r="BC153" t="s">
        <v>74</v>
      </c>
      <c r="BD153" t="s">
        <v>74</v>
      </c>
      <c r="BE153" t="s">
        <v>74</v>
      </c>
      <c r="BF153" t="s">
        <v>74</v>
      </c>
      <c r="BG153" t="s">
        <v>74</v>
      </c>
      <c r="BH153" t="s">
        <v>74</v>
      </c>
      <c r="BI153">
        <v>5</v>
      </c>
      <c r="BJ153" t="s">
        <v>2926</v>
      </c>
      <c r="BK153" t="s">
        <v>2292</v>
      </c>
      <c r="BL153" t="s">
        <v>2927</v>
      </c>
      <c r="BM153" t="s">
        <v>2928</v>
      </c>
      <c r="BN153" t="s">
        <v>74</v>
      </c>
      <c r="BO153" t="s">
        <v>74</v>
      </c>
      <c r="BP153" t="s">
        <v>74</v>
      </c>
      <c r="BQ153" t="s">
        <v>74</v>
      </c>
      <c r="BR153" t="s">
        <v>103</v>
      </c>
      <c r="BS153" t="s">
        <v>2929</v>
      </c>
      <c r="BT153" t="str">
        <f>HYPERLINK("https%3A%2F%2Fwww.webofscience.com%2Fwos%2Fwoscc%2Ffull-record%2FWOS:000299005800100","View Full Record in Web of Science")</f>
        <v>View Full Record in Web of Science</v>
      </c>
    </row>
    <row r="154" spans="1:72" x14ac:dyDescent="0.15">
      <c r="A154" t="s">
        <v>2268</v>
      </c>
      <c r="B154" t="s">
        <v>2930</v>
      </c>
      <c r="C154" t="s">
        <v>74</v>
      </c>
      <c r="D154" t="s">
        <v>74</v>
      </c>
      <c r="E154" t="s">
        <v>2819</v>
      </c>
      <c r="F154" t="s">
        <v>2931</v>
      </c>
      <c r="G154" t="s">
        <v>74</v>
      </c>
      <c r="H154" t="s">
        <v>74</v>
      </c>
      <c r="I154" t="s">
        <v>2932</v>
      </c>
      <c r="J154" t="s">
        <v>2914</v>
      </c>
      <c r="K154" t="s">
        <v>74</v>
      </c>
      <c r="L154" t="s">
        <v>74</v>
      </c>
      <c r="M154" t="s">
        <v>78</v>
      </c>
      <c r="N154" t="s">
        <v>2275</v>
      </c>
      <c r="O154" t="s">
        <v>2915</v>
      </c>
      <c r="P154" t="s">
        <v>2916</v>
      </c>
      <c r="Q154" t="s">
        <v>2917</v>
      </c>
      <c r="R154" t="s">
        <v>74</v>
      </c>
      <c r="S154" t="s">
        <v>74</v>
      </c>
      <c r="T154" t="s">
        <v>74</v>
      </c>
      <c r="U154" t="s">
        <v>2933</v>
      </c>
      <c r="V154" t="s">
        <v>2934</v>
      </c>
      <c r="W154" t="s">
        <v>2935</v>
      </c>
      <c r="X154" t="s">
        <v>2936</v>
      </c>
      <c r="Y154" t="s">
        <v>2937</v>
      </c>
      <c r="Z154" t="s">
        <v>74</v>
      </c>
      <c r="AA154" t="s">
        <v>2938</v>
      </c>
      <c r="AB154" t="s">
        <v>2939</v>
      </c>
      <c r="AC154" t="s">
        <v>74</v>
      </c>
      <c r="AD154" t="s">
        <v>74</v>
      </c>
      <c r="AE154" t="s">
        <v>74</v>
      </c>
      <c r="AF154" t="s">
        <v>74</v>
      </c>
      <c r="AG154">
        <v>13</v>
      </c>
      <c r="AH154">
        <v>0</v>
      </c>
      <c r="AI154">
        <v>0</v>
      </c>
      <c r="AJ154">
        <v>0</v>
      </c>
      <c r="AK154">
        <v>0</v>
      </c>
      <c r="AL154" t="s">
        <v>2819</v>
      </c>
      <c r="AM154" t="s">
        <v>91</v>
      </c>
      <c r="AN154" t="s">
        <v>2833</v>
      </c>
      <c r="AO154" t="s">
        <v>74</v>
      </c>
      <c r="AP154" t="s">
        <v>74</v>
      </c>
      <c r="AQ154" t="s">
        <v>2925</v>
      </c>
      <c r="AR154" t="s">
        <v>74</v>
      </c>
      <c r="AS154" t="s">
        <v>74</v>
      </c>
      <c r="AT154" t="s">
        <v>74</v>
      </c>
      <c r="AU154">
        <v>2011</v>
      </c>
      <c r="AV154" t="s">
        <v>74</v>
      </c>
      <c r="AW154" t="s">
        <v>74</v>
      </c>
      <c r="AX154" t="s">
        <v>74</v>
      </c>
      <c r="AY154" t="s">
        <v>74</v>
      </c>
      <c r="AZ154" t="s">
        <v>74</v>
      </c>
      <c r="BA154" t="s">
        <v>74</v>
      </c>
      <c r="BB154" t="s">
        <v>74</v>
      </c>
      <c r="BC154" t="s">
        <v>74</v>
      </c>
      <c r="BD154" t="s">
        <v>74</v>
      </c>
      <c r="BE154" t="s">
        <v>74</v>
      </c>
      <c r="BF154" t="s">
        <v>74</v>
      </c>
      <c r="BG154" t="s">
        <v>74</v>
      </c>
      <c r="BH154" t="s">
        <v>74</v>
      </c>
      <c r="BI154">
        <v>7</v>
      </c>
      <c r="BJ154" t="s">
        <v>2926</v>
      </c>
      <c r="BK154" t="s">
        <v>2292</v>
      </c>
      <c r="BL154" t="s">
        <v>2927</v>
      </c>
      <c r="BM154" t="s">
        <v>2928</v>
      </c>
      <c r="BN154" t="s">
        <v>74</v>
      </c>
      <c r="BO154" t="s">
        <v>74</v>
      </c>
      <c r="BP154" t="s">
        <v>74</v>
      </c>
      <c r="BQ154" t="s">
        <v>74</v>
      </c>
      <c r="BR154" t="s">
        <v>103</v>
      </c>
      <c r="BS154" t="s">
        <v>2940</v>
      </c>
      <c r="BT154" t="str">
        <f>HYPERLINK("https%3A%2F%2Fwww.webofscience.com%2Fwos%2Fwoscc%2Ffull-record%2FWOS:000299005801133","View Full Record in Web of Science")</f>
        <v>View Full Record in Web of Science</v>
      </c>
    </row>
    <row r="155" spans="1:72" x14ac:dyDescent="0.15">
      <c r="A155" t="s">
        <v>72</v>
      </c>
      <c r="B155" t="s">
        <v>2941</v>
      </c>
      <c r="C155" t="s">
        <v>74</v>
      </c>
      <c r="D155" t="s">
        <v>74</v>
      </c>
      <c r="E155" t="s">
        <v>74</v>
      </c>
      <c r="F155" t="s">
        <v>2942</v>
      </c>
      <c r="G155" t="s">
        <v>74</v>
      </c>
      <c r="H155" t="s">
        <v>74</v>
      </c>
      <c r="I155" t="s">
        <v>2943</v>
      </c>
      <c r="J155" t="s">
        <v>2944</v>
      </c>
      <c r="K155" t="s">
        <v>74</v>
      </c>
      <c r="L155" t="s">
        <v>74</v>
      </c>
      <c r="M155" t="s">
        <v>78</v>
      </c>
      <c r="N155" t="s">
        <v>79</v>
      </c>
      <c r="O155" t="s">
        <v>74</v>
      </c>
      <c r="P155" t="s">
        <v>74</v>
      </c>
      <c r="Q155" t="s">
        <v>74</v>
      </c>
      <c r="R155" t="s">
        <v>74</v>
      </c>
      <c r="S155" t="s">
        <v>74</v>
      </c>
      <c r="T155" t="s">
        <v>74</v>
      </c>
      <c r="U155" t="s">
        <v>2945</v>
      </c>
      <c r="V155" t="s">
        <v>2946</v>
      </c>
      <c r="W155" t="s">
        <v>2947</v>
      </c>
      <c r="X155" t="s">
        <v>74</v>
      </c>
      <c r="Y155" t="s">
        <v>2948</v>
      </c>
      <c r="Z155" t="s">
        <v>2949</v>
      </c>
      <c r="AA155" t="s">
        <v>2950</v>
      </c>
      <c r="AB155" t="s">
        <v>2951</v>
      </c>
      <c r="AC155" t="s">
        <v>2952</v>
      </c>
      <c r="AD155" t="s">
        <v>2953</v>
      </c>
      <c r="AE155" t="s">
        <v>2954</v>
      </c>
      <c r="AF155" t="s">
        <v>74</v>
      </c>
      <c r="AG155">
        <v>46</v>
      </c>
      <c r="AH155">
        <v>23</v>
      </c>
      <c r="AI155">
        <v>23</v>
      </c>
      <c r="AJ155">
        <v>0</v>
      </c>
      <c r="AK155">
        <v>9</v>
      </c>
      <c r="AL155" t="s">
        <v>2955</v>
      </c>
      <c r="AM155" t="s">
        <v>2956</v>
      </c>
      <c r="AN155" t="s">
        <v>2957</v>
      </c>
      <c r="AO155" t="s">
        <v>2958</v>
      </c>
      <c r="AP155" t="s">
        <v>2959</v>
      </c>
      <c r="AQ155" t="s">
        <v>74</v>
      </c>
      <c r="AR155" t="s">
        <v>2960</v>
      </c>
      <c r="AS155" t="s">
        <v>2961</v>
      </c>
      <c r="AT155" t="s">
        <v>74</v>
      </c>
      <c r="AU155">
        <v>2011</v>
      </c>
      <c r="AV155">
        <v>11</v>
      </c>
      <c r="AW155">
        <v>24</v>
      </c>
      <c r="AX155" t="s">
        <v>74</v>
      </c>
      <c r="AY155" t="s">
        <v>74</v>
      </c>
      <c r="AZ155" t="s">
        <v>74</v>
      </c>
      <c r="BA155" t="s">
        <v>74</v>
      </c>
      <c r="BB155">
        <v>13029</v>
      </c>
      <c r="BC155">
        <v>13045</v>
      </c>
      <c r="BD155" t="s">
        <v>74</v>
      </c>
      <c r="BE155" t="s">
        <v>2962</v>
      </c>
      <c r="BF155" t="str">
        <f>HYPERLINK("http://dx.doi.org/10.5194/acp-11-13029-2011","http://dx.doi.org/10.5194/acp-11-13029-2011")</f>
        <v>http://dx.doi.org/10.5194/acp-11-13029-2011</v>
      </c>
      <c r="BG155" t="s">
        <v>74</v>
      </c>
      <c r="BH155" t="s">
        <v>74</v>
      </c>
      <c r="BI155">
        <v>17</v>
      </c>
      <c r="BJ155" t="s">
        <v>2963</v>
      </c>
      <c r="BK155" t="s">
        <v>100</v>
      </c>
      <c r="BL155" t="s">
        <v>2964</v>
      </c>
      <c r="BM155" t="s">
        <v>2965</v>
      </c>
      <c r="BN155" t="s">
        <v>74</v>
      </c>
      <c r="BO155" t="s">
        <v>2456</v>
      </c>
      <c r="BP155" t="s">
        <v>74</v>
      </c>
      <c r="BQ155" t="s">
        <v>74</v>
      </c>
      <c r="BR155" t="s">
        <v>103</v>
      </c>
      <c r="BS155" t="s">
        <v>2966</v>
      </c>
      <c r="BT155" t="str">
        <f>HYPERLINK("https%3A%2F%2Fwww.webofscience.com%2Fwos%2Fwoscc%2Ffull-record%2FWOS:000298667600030","View Full Record in Web of Science")</f>
        <v>View Full Record in Web of Science</v>
      </c>
    </row>
    <row r="156" spans="1:72" x14ac:dyDescent="0.15">
      <c r="A156" t="s">
        <v>2268</v>
      </c>
      <c r="B156" t="s">
        <v>2967</v>
      </c>
      <c r="C156" t="s">
        <v>74</v>
      </c>
      <c r="D156" t="s">
        <v>2968</v>
      </c>
      <c r="E156" t="s">
        <v>74</v>
      </c>
      <c r="F156" t="s">
        <v>2969</v>
      </c>
      <c r="G156" t="s">
        <v>74</v>
      </c>
      <c r="H156" t="s">
        <v>74</v>
      </c>
      <c r="I156" t="s">
        <v>2970</v>
      </c>
      <c r="J156" t="s">
        <v>2971</v>
      </c>
      <c r="K156" t="s">
        <v>2972</v>
      </c>
      <c r="L156" t="s">
        <v>74</v>
      </c>
      <c r="M156" t="s">
        <v>78</v>
      </c>
      <c r="N156" t="s">
        <v>2275</v>
      </c>
      <c r="O156" t="s">
        <v>2973</v>
      </c>
      <c r="P156" t="s">
        <v>2974</v>
      </c>
      <c r="Q156" t="s">
        <v>2975</v>
      </c>
      <c r="R156" t="s">
        <v>74</v>
      </c>
      <c r="S156" t="s">
        <v>2976</v>
      </c>
      <c r="T156" t="s">
        <v>2977</v>
      </c>
      <c r="U156" t="s">
        <v>2978</v>
      </c>
      <c r="V156" t="s">
        <v>2979</v>
      </c>
      <c r="W156" t="s">
        <v>2980</v>
      </c>
      <c r="X156" t="s">
        <v>2981</v>
      </c>
      <c r="Y156" t="s">
        <v>2982</v>
      </c>
      <c r="Z156" t="s">
        <v>2983</v>
      </c>
      <c r="AA156" t="s">
        <v>2984</v>
      </c>
      <c r="AB156" t="s">
        <v>2985</v>
      </c>
      <c r="AC156" t="s">
        <v>2986</v>
      </c>
      <c r="AD156" t="s">
        <v>2987</v>
      </c>
      <c r="AE156" t="s">
        <v>2988</v>
      </c>
      <c r="AF156" t="s">
        <v>74</v>
      </c>
      <c r="AG156">
        <v>10</v>
      </c>
      <c r="AH156">
        <v>6</v>
      </c>
      <c r="AI156">
        <v>8</v>
      </c>
      <c r="AJ156">
        <v>2</v>
      </c>
      <c r="AK156">
        <v>10</v>
      </c>
      <c r="AL156" t="s">
        <v>2378</v>
      </c>
      <c r="AM156" t="s">
        <v>389</v>
      </c>
      <c r="AN156" t="s">
        <v>2379</v>
      </c>
      <c r="AO156" t="s">
        <v>2989</v>
      </c>
      <c r="AP156" t="s">
        <v>74</v>
      </c>
      <c r="AQ156" t="s">
        <v>2990</v>
      </c>
      <c r="AR156" t="s">
        <v>2991</v>
      </c>
      <c r="AS156" t="s">
        <v>74</v>
      </c>
      <c r="AT156" t="s">
        <v>74</v>
      </c>
      <c r="AU156">
        <v>2011</v>
      </c>
      <c r="AV156">
        <v>6754</v>
      </c>
      <c r="AW156" t="s">
        <v>74</v>
      </c>
      <c r="AX156">
        <v>2</v>
      </c>
      <c r="AY156" t="s">
        <v>74</v>
      </c>
      <c r="AZ156" t="s">
        <v>74</v>
      </c>
      <c r="BA156" t="s">
        <v>74</v>
      </c>
      <c r="BB156">
        <v>370</v>
      </c>
      <c r="BC156">
        <v>379</v>
      </c>
      <c r="BD156" t="s">
        <v>74</v>
      </c>
      <c r="BE156" t="s">
        <v>74</v>
      </c>
      <c r="BF156" t="s">
        <v>74</v>
      </c>
      <c r="BG156" t="s">
        <v>74</v>
      </c>
      <c r="BH156" t="s">
        <v>74</v>
      </c>
      <c r="BI156">
        <v>10</v>
      </c>
      <c r="BJ156" t="s">
        <v>2992</v>
      </c>
      <c r="BK156" t="s">
        <v>2292</v>
      </c>
      <c r="BL156" t="s">
        <v>2993</v>
      </c>
      <c r="BM156" t="s">
        <v>2994</v>
      </c>
      <c r="BN156" t="s">
        <v>74</v>
      </c>
      <c r="BO156" t="s">
        <v>74</v>
      </c>
      <c r="BP156" t="s">
        <v>74</v>
      </c>
      <c r="BQ156" t="s">
        <v>74</v>
      </c>
      <c r="BR156" t="s">
        <v>103</v>
      </c>
      <c r="BS156" t="s">
        <v>2995</v>
      </c>
      <c r="BT156" t="str">
        <f>HYPERLINK("https%3A%2F%2Fwww.webofscience.com%2Fwos%2Fwoscc%2Ffull-record%2FWOS:000300562000037","View Full Record in Web of Science")</f>
        <v>View Full Record in Web of Science</v>
      </c>
    </row>
    <row r="157" spans="1:72" x14ac:dyDescent="0.15">
      <c r="A157" t="s">
        <v>72</v>
      </c>
      <c r="B157" t="s">
        <v>2996</v>
      </c>
      <c r="C157" t="s">
        <v>74</v>
      </c>
      <c r="D157" t="s">
        <v>74</v>
      </c>
      <c r="E157" t="s">
        <v>74</v>
      </c>
      <c r="F157" t="s">
        <v>2997</v>
      </c>
      <c r="G157" t="s">
        <v>74</v>
      </c>
      <c r="H157" t="s">
        <v>74</v>
      </c>
      <c r="I157" t="s">
        <v>2998</v>
      </c>
      <c r="J157" t="s">
        <v>2999</v>
      </c>
      <c r="K157" t="s">
        <v>74</v>
      </c>
      <c r="L157" t="s">
        <v>74</v>
      </c>
      <c r="M157" t="s">
        <v>78</v>
      </c>
      <c r="N157" t="s">
        <v>79</v>
      </c>
      <c r="O157" t="s">
        <v>74</v>
      </c>
      <c r="P157" t="s">
        <v>74</v>
      </c>
      <c r="Q157" t="s">
        <v>74</v>
      </c>
      <c r="R157" t="s">
        <v>74</v>
      </c>
      <c r="S157" t="s">
        <v>74</v>
      </c>
      <c r="T157" t="s">
        <v>3000</v>
      </c>
      <c r="U157" t="s">
        <v>3001</v>
      </c>
      <c r="V157" t="s">
        <v>3002</v>
      </c>
      <c r="W157" t="s">
        <v>3003</v>
      </c>
      <c r="X157" t="s">
        <v>3004</v>
      </c>
      <c r="Y157" t="s">
        <v>3005</v>
      </c>
      <c r="Z157" t="s">
        <v>3006</v>
      </c>
      <c r="AA157" t="s">
        <v>3007</v>
      </c>
      <c r="AB157" t="s">
        <v>3008</v>
      </c>
      <c r="AC157" t="s">
        <v>3009</v>
      </c>
      <c r="AD157" t="s">
        <v>3010</v>
      </c>
      <c r="AE157" t="s">
        <v>3011</v>
      </c>
      <c r="AF157" t="s">
        <v>74</v>
      </c>
      <c r="AG157">
        <v>30</v>
      </c>
      <c r="AH157">
        <v>61</v>
      </c>
      <c r="AI157">
        <v>79</v>
      </c>
      <c r="AJ157">
        <v>2</v>
      </c>
      <c r="AK157">
        <v>9</v>
      </c>
      <c r="AL157" t="s">
        <v>3012</v>
      </c>
      <c r="AM157" t="s">
        <v>3013</v>
      </c>
      <c r="AN157" t="s">
        <v>3014</v>
      </c>
      <c r="AO157" t="s">
        <v>3015</v>
      </c>
      <c r="AP157" t="s">
        <v>3016</v>
      </c>
      <c r="AQ157" t="s">
        <v>74</v>
      </c>
      <c r="AR157" t="s">
        <v>3017</v>
      </c>
      <c r="AS157" t="s">
        <v>3018</v>
      </c>
      <c r="AT157" t="s">
        <v>74</v>
      </c>
      <c r="AU157">
        <v>2011</v>
      </c>
      <c r="AV157">
        <v>34</v>
      </c>
      <c r="AW157" t="s">
        <v>601</v>
      </c>
      <c r="AX157" t="s">
        <v>74</v>
      </c>
      <c r="AY157" t="s">
        <v>74</v>
      </c>
      <c r="AZ157" t="s">
        <v>967</v>
      </c>
      <c r="BA157" t="s">
        <v>74</v>
      </c>
      <c r="BB157">
        <v>242</v>
      </c>
      <c r="BC157">
        <v>260</v>
      </c>
      <c r="BD157" t="s">
        <v>74</v>
      </c>
      <c r="BE157" t="s">
        <v>3019</v>
      </c>
      <c r="BF157" t="str">
        <f>HYPERLINK("http://dx.doi.org/10.1080/01490419.2011.584834","http://dx.doi.org/10.1080/01490419.2011.584834")</f>
        <v>http://dx.doi.org/10.1080/01490419.2011.584834</v>
      </c>
      <c r="BG157" t="s">
        <v>74</v>
      </c>
      <c r="BH157" t="s">
        <v>74</v>
      </c>
      <c r="BI157">
        <v>19</v>
      </c>
      <c r="BJ157" t="s">
        <v>3020</v>
      </c>
      <c r="BK157" t="s">
        <v>100</v>
      </c>
      <c r="BL157" t="s">
        <v>3020</v>
      </c>
      <c r="BM157" t="s">
        <v>3021</v>
      </c>
      <c r="BN157" t="s">
        <v>74</v>
      </c>
      <c r="BO157" t="s">
        <v>138</v>
      </c>
      <c r="BP157" t="s">
        <v>74</v>
      </c>
      <c r="BQ157" t="s">
        <v>74</v>
      </c>
      <c r="BR157" t="s">
        <v>103</v>
      </c>
      <c r="BS157" t="s">
        <v>3022</v>
      </c>
      <c r="BT157" t="str">
        <f>HYPERLINK("https%3A%2F%2Fwww.webofscience.com%2Fwos%2Fwoscc%2Ffull-record%2FWOS:000297541600004","View Full Record in Web of Science")</f>
        <v>View Full Record in Web of Science</v>
      </c>
    </row>
    <row r="158" spans="1:72" x14ac:dyDescent="0.15">
      <c r="A158" t="s">
        <v>72</v>
      </c>
      <c r="B158" t="s">
        <v>3023</v>
      </c>
      <c r="C158" t="s">
        <v>74</v>
      </c>
      <c r="D158" t="s">
        <v>74</v>
      </c>
      <c r="E158" t="s">
        <v>74</v>
      </c>
      <c r="F158" t="s">
        <v>3024</v>
      </c>
      <c r="G158" t="s">
        <v>74</v>
      </c>
      <c r="H158" t="s">
        <v>74</v>
      </c>
      <c r="I158" t="s">
        <v>3025</v>
      </c>
      <c r="J158" t="s">
        <v>3026</v>
      </c>
      <c r="K158" t="s">
        <v>74</v>
      </c>
      <c r="L158" t="s">
        <v>74</v>
      </c>
      <c r="M158" t="s">
        <v>78</v>
      </c>
      <c r="N158" t="s">
        <v>79</v>
      </c>
      <c r="O158" t="s">
        <v>74</v>
      </c>
      <c r="P158" t="s">
        <v>74</v>
      </c>
      <c r="Q158" t="s">
        <v>74</v>
      </c>
      <c r="R158" t="s">
        <v>74</v>
      </c>
      <c r="S158" t="s">
        <v>74</v>
      </c>
      <c r="T158" t="s">
        <v>3027</v>
      </c>
      <c r="U158" t="s">
        <v>3028</v>
      </c>
      <c r="V158" t="s">
        <v>3029</v>
      </c>
      <c r="W158" t="s">
        <v>3030</v>
      </c>
      <c r="X158" t="s">
        <v>3031</v>
      </c>
      <c r="Y158" t="s">
        <v>3032</v>
      </c>
      <c r="Z158" t="s">
        <v>3033</v>
      </c>
      <c r="AA158" t="s">
        <v>3034</v>
      </c>
      <c r="AB158" t="s">
        <v>74</v>
      </c>
      <c r="AC158" t="s">
        <v>3035</v>
      </c>
      <c r="AD158" t="s">
        <v>3035</v>
      </c>
      <c r="AE158" t="s">
        <v>3036</v>
      </c>
      <c r="AF158" t="s">
        <v>74</v>
      </c>
      <c r="AG158">
        <v>29</v>
      </c>
      <c r="AH158">
        <v>20</v>
      </c>
      <c r="AI158">
        <v>23</v>
      </c>
      <c r="AJ158">
        <v>9</v>
      </c>
      <c r="AK158">
        <v>111</v>
      </c>
      <c r="AL158" t="s">
        <v>3037</v>
      </c>
      <c r="AM158" t="s">
        <v>913</v>
      </c>
      <c r="AN158" t="s">
        <v>3038</v>
      </c>
      <c r="AO158" t="s">
        <v>3039</v>
      </c>
      <c r="AP158" t="s">
        <v>74</v>
      </c>
      <c r="AQ158" t="s">
        <v>74</v>
      </c>
      <c r="AR158" t="s">
        <v>3040</v>
      </c>
      <c r="AS158" t="s">
        <v>3041</v>
      </c>
      <c r="AT158" t="s">
        <v>74</v>
      </c>
      <c r="AU158">
        <v>2011</v>
      </c>
      <c r="AV158">
        <v>117</v>
      </c>
      <c r="AW158">
        <v>2</v>
      </c>
      <c r="AX158" t="s">
        <v>74</v>
      </c>
      <c r="AY158" t="s">
        <v>74</v>
      </c>
      <c r="AZ158" t="s">
        <v>74</v>
      </c>
      <c r="BA158" t="s">
        <v>74</v>
      </c>
      <c r="BB158">
        <v>156</v>
      </c>
      <c r="BC158">
        <v>165</v>
      </c>
      <c r="BD158" t="s">
        <v>74</v>
      </c>
      <c r="BE158" t="s">
        <v>3042</v>
      </c>
      <c r="BF158" t="str">
        <f>HYPERLINK("http://dx.doi.org/10.1002/j.2050-0416.2011.tb00455.x","http://dx.doi.org/10.1002/j.2050-0416.2011.tb00455.x")</f>
        <v>http://dx.doi.org/10.1002/j.2050-0416.2011.tb00455.x</v>
      </c>
      <c r="BG158" t="s">
        <v>74</v>
      </c>
      <c r="BH158" t="s">
        <v>74</v>
      </c>
      <c r="BI158">
        <v>10</v>
      </c>
      <c r="BJ158" t="s">
        <v>3043</v>
      </c>
      <c r="BK158" t="s">
        <v>100</v>
      </c>
      <c r="BL158" t="s">
        <v>3043</v>
      </c>
      <c r="BM158" t="s">
        <v>3044</v>
      </c>
      <c r="BN158" t="s">
        <v>74</v>
      </c>
      <c r="BO158" t="s">
        <v>252</v>
      </c>
      <c r="BP158" t="s">
        <v>74</v>
      </c>
      <c r="BQ158" t="s">
        <v>74</v>
      </c>
      <c r="BR158" t="s">
        <v>103</v>
      </c>
      <c r="BS158" t="s">
        <v>3045</v>
      </c>
      <c r="BT158" t="str">
        <f>HYPERLINK("https%3A%2F%2Fwww.webofscience.com%2Fwos%2Fwoscc%2Ffull-record%2FWOS:000296678800002","View Full Record in Web of Science")</f>
        <v>View Full Record in Web of Science</v>
      </c>
    </row>
    <row r="159" spans="1:72" x14ac:dyDescent="0.15">
      <c r="A159" t="s">
        <v>2363</v>
      </c>
      <c r="B159" t="s">
        <v>3046</v>
      </c>
      <c r="C159" t="s">
        <v>3047</v>
      </c>
      <c r="D159" t="s">
        <v>74</v>
      </c>
      <c r="E159" t="s">
        <v>74</v>
      </c>
      <c r="F159" t="s">
        <v>3048</v>
      </c>
      <c r="G159" t="s">
        <v>3047</v>
      </c>
      <c r="H159" t="s">
        <v>74</v>
      </c>
      <c r="I159" t="s">
        <v>3049</v>
      </c>
      <c r="J159" t="s">
        <v>3050</v>
      </c>
      <c r="K159" t="s">
        <v>74</v>
      </c>
      <c r="L159" t="s">
        <v>74</v>
      </c>
      <c r="M159" t="s">
        <v>78</v>
      </c>
      <c r="N159" t="s">
        <v>2370</v>
      </c>
      <c r="O159" t="s">
        <v>74</v>
      </c>
      <c r="P159" t="s">
        <v>74</v>
      </c>
      <c r="Q159" t="s">
        <v>74</v>
      </c>
      <c r="R159" t="s">
        <v>74</v>
      </c>
      <c r="S159" t="s">
        <v>74</v>
      </c>
      <c r="T159" t="s">
        <v>74</v>
      </c>
      <c r="U159" t="s">
        <v>74</v>
      </c>
      <c r="V159" t="s">
        <v>74</v>
      </c>
      <c r="W159" t="s">
        <v>3051</v>
      </c>
      <c r="X159" t="s">
        <v>3052</v>
      </c>
      <c r="Y159" t="s">
        <v>3053</v>
      </c>
      <c r="Z159" t="s">
        <v>74</v>
      </c>
      <c r="AA159" t="s">
        <v>74</v>
      </c>
      <c r="AB159" t="s">
        <v>74</v>
      </c>
      <c r="AC159" t="s">
        <v>74</v>
      </c>
      <c r="AD159" t="s">
        <v>74</v>
      </c>
      <c r="AE159" t="s">
        <v>74</v>
      </c>
      <c r="AF159" t="s">
        <v>74</v>
      </c>
      <c r="AG159">
        <v>0</v>
      </c>
      <c r="AH159">
        <v>0</v>
      </c>
      <c r="AI159">
        <v>0</v>
      </c>
      <c r="AJ159">
        <v>0</v>
      </c>
      <c r="AK159">
        <v>0</v>
      </c>
      <c r="AL159" t="s">
        <v>3054</v>
      </c>
      <c r="AM159" t="s">
        <v>2448</v>
      </c>
      <c r="AN159" t="s">
        <v>3055</v>
      </c>
      <c r="AO159" t="s">
        <v>74</v>
      </c>
      <c r="AP159" t="s">
        <v>74</v>
      </c>
      <c r="AQ159" t="s">
        <v>3056</v>
      </c>
      <c r="AR159" t="s">
        <v>74</v>
      </c>
      <c r="AS159" t="s">
        <v>74</v>
      </c>
      <c r="AT159" t="s">
        <v>74</v>
      </c>
      <c r="AU159">
        <v>2011</v>
      </c>
      <c r="AV159" t="s">
        <v>74</v>
      </c>
      <c r="AW159" t="s">
        <v>74</v>
      </c>
      <c r="AX159" t="s">
        <v>74</v>
      </c>
      <c r="AY159" t="s">
        <v>74</v>
      </c>
      <c r="AZ159" t="s">
        <v>74</v>
      </c>
      <c r="BA159" t="s">
        <v>74</v>
      </c>
      <c r="BB159">
        <v>133</v>
      </c>
      <c r="BC159">
        <v>172</v>
      </c>
      <c r="BD159" t="s">
        <v>74</v>
      </c>
      <c r="BE159" t="s">
        <v>74</v>
      </c>
      <c r="BF159" t="s">
        <v>74</v>
      </c>
      <c r="BG159" t="s">
        <v>74</v>
      </c>
      <c r="BH159" t="s">
        <v>74</v>
      </c>
      <c r="BI159">
        <v>40</v>
      </c>
      <c r="BJ159" t="s">
        <v>3057</v>
      </c>
      <c r="BK159" t="s">
        <v>3058</v>
      </c>
      <c r="BL159" t="s">
        <v>3059</v>
      </c>
      <c r="BM159" t="s">
        <v>3060</v>
      </c>
      <c r="BN159" t="s">
        <v>74</v>
      </c>
      <c r="BO159" t="s">
        <v>74</v>
      </c>
      <c r="BP159" t="s">
        <v>74</v>
      </c>
      <c r="BQ159" t="s">
        <v>74</v>
      </c>
      <c r="BR159" t="s">
        <v>103</v>
      </c>
      <c r="BS159" t="s">
        <v>3061</v>
      </c>
      <c r="BT159" t="str">
        <f>HYPERLINK("https%3A%2F%2Fwww.webofscience.com%2Fwos%2Fwoscc%2Ffull-record%2FWOS:000288900200008","View Full Record in Web of Science")</f>
        <v>View Full Record in Web of Science</v>
      </c>
    </row>
    <row r="160" spans="1:72" x14ac:dyDescent="0.15">
      <c r="A160" t="s">
        <v>72</v>
      </c>
      <c r="B160" t="s">
        <v>3062</v>
      </c>
      <c r="C160" t="s">
        <v>74</v>
      </c>
      <c r="D160" t="s">
        <v>74</v>
      </c>
      <c r="E160" t="s">
        <v>74</v>
      </c>
      <c r="F160" t="s">
        <v>3063</v>
      </c>
      <c r="G160" t="s">
        <v>74</v>
      </c>
      <c r="H160" t="s">
        <v>74</v>
      </c>
      <c r="I160" t="s">
        <v>3064</v>
      </c>
      <c r="J160" t="s">
        <v>3065</v>
      </c>
      <c r="K160" t="s">
        <v>74</v>
      </c>
      <c r="L160" t="s">
        <v>74</v>
      </c>
      <c r="M160" t="s">
        <v>78</v>
      </c>
      <c r="N160" t="s">
        <v>79</v>
      </c>
      <c r="O160" t="s">
        <v>74</v>
      </c>
      <c r="P160" t="s">
        <v>74</v>
      </c>
      <c r="Q160" t="s">
        <v>74</v>
      </c>
      <c r="R160" t="s">
        <v>74</v>
      </c>
      <c r="S160" t="s">
        <v>74</v>
      </c>
      <c r="T160" t="s">
        <v>3066</v>
      </c>
      <c r="U160" t="s">
        <v>74</v>
      </c>
      <c r="V160" t="s">
        <v>3067</v>
      </c>
      <c r="W160" t="s">
        <v>3068</v>
      </c>
      <c r="X160" t="s">
        <v>3069</v>
      </c>
      <c r="Y160" t="s">
        <v>3070</v>
      </c>
      <c r="Z160" t="s">
        <v>3071</v>
      </c>
      <c r="AA160" t="s">
        <v>74</v>
      </c>
      <c r="AB160" t="s">
        <v>3072</v>
      </c>
      <c r="AC160" t="s">
        <v>3073</v>
      </c>
      <c r="AD160" t="s">
        <v>3074</v>
      </c>
      <c r="AE160" t="s">
        <v>3075</v>
      </c>
      <c r="AF160" t="s">
        <v>74</v>
      </c>
      <c r="AG160">
        <v>39</v>
      </c>
      <c r="AH160">
        <v>3</v>
      </c>
      <c r="AI160">
        <v>3</v>
      </c>
      <c r="AJ160">
        <v>0</v>
      </c>
      <c r="AK160">
        <v>22</v>
      </c>
      <c r="AL160" t="s">
        <v>474</v>
      </c>
      <c r="AM160" t="s">
        <v>475</v>
      </c>
      <c r="AN160" t="s">
        <v>476</v>
      </c>
      <c r="AO160" t="s">
        <v>3076</v>
      </c>
      <c r="AP160" t="s">
        <v>3077</v>
      </c>
      <c r="AQ160" t="s">
        <v>74</v>
      </c>
      <c r="AR160" t="s">
        <v>3078</v>
      </c>
      <c r="AS160" t="s">
        <v>3079</v>
      </c>
      <c r="AT160" t="s">
        <v>74</v>
      </c>
      <c r="AU160">
        <v>2011</v>
      </c>
      <c r="AV160">
        <v>25</v>
      </c>
      <c r="AW160">
        <v>7</v>
      </c>
      <c r="AX160" t="s">
        <v>74</v>
      </c>
      <c r="AY160" t="s">
        <v>74</v>
      </c>
      <c r="AZ160" t="s">
        <v>74</v>
      </c>
      <c r="BA160" t="s">
        <v>74</v>
      </c>
      <c r="BB160">
        <v>1045</v>
      </c>
      <c r="BC160">
        <v>1068</v>
      </c>
      <c r="BD160" t="s">
        <v>74</v>
      </c>
      <c r="BE160" t="s">
        <v>3080</v>
      </c>
      <c r="BF160" t="str">
        <f>HYPERLINK("http://dx.doi.org/10.1080/13658816.2010.510474","http://dx.doi.org/10.1080/13658816.2010.510474")</f>
        <v>http://dx.doi.org/10.1080/13658816.2010.510474</v>
      </c>
      <c r="BG160" t="s">
        <v>74</v>
      </c>
      <c r="BH160" t="s">
        <v>74</v>
      </c>
      <c r="BI160">
        <v>24</v>
      </c>
      <c r="BJ160" t="s">
        <v>3081</v>
      </c>
      <c r="BK160" t="s">
        <v>3082</v>
      </c>
      <c r="BL160" t="s">
        <v>3083</v>
      </c>
      <c r="BM160" t="s">
        <v>3084</v>
      </c>
      <c r="BN160" t="s">
        <v>74</v>
      </c>
      <c r="BO160" t="s">
        <v>74</v>
      </c>
      <c r="BP160" t="s">
        <v>74</v>
      </c>
      <c r="BQ160" t="s">
        <v>74</v>
      </c>
      <c r="BR160" t="s">
        <v>103</v>
      </c>
      <c r="BS160" t="s">
        <v>3085</v>
      </c>
      <c r="BT160" t="str">
        <f>HYPERLINK("https%3A%2F%2Fwww.webofscience.com%2Fwos%2Fwoscc%2Ffull-record%2FWOS:000295467600001","View Full Record in Web of Science")</f>
        <v>View Full Record in Web of Science</v>
      </c>
    </row>
    <row r="161" spans="1:72" x14ac:dyDescent="0.15">
      <c r="A161" t="s">
        <v>72</v>
      </c>
      <c r="B161" t="s">
        <v>3086</v>
      </c>
      <c r="C161" t="s">
        <v>74</v>
      </c>
      <c r="D161" t="s">
        <v>74</v>
      </c>
      <c r="E161" t="s">
        <v>74</v>
      </c>
      <c r="F161" t="s">
        <v>3087</v>
      </c>
      <c r="G161" t="s">
        <v>74</v>
      </c>
      <c r="H161" t="s">
        <v>74</v>
      </c>
      <c r="I161" t="s">
        <v>3088</v>
      </c>
      <c r="J161" t="s">
        <v>3089</v>
      </c>
      <c r="K161" t="s">
        <v>74</v>
      </c>
      <c r="L161" t="s">
        <v>74</v>
      </c>
      <c r="M161" t="s">
        <v>78</v>
      </c>
      <c r="N161" t="s">
        <v>79</v>
      </c>
      <c r="O161" t="s">
        <v>74</v>
      </c>
      <c r="P161" t="s">
        <v>74</v>
      </c>
      <c r="Q161" t="s">
        <v>74</v>
      </c>
      <c r="R161" t="s">
        <v>74</v>
      </c>
      <c r="S161" t="s">
        <v>74</v>
      </c>
      <c r="T161" t="s">
        <v>3090</v>
      </c>
      <c r="U161" t="s">
        <v>3091</v>
      </c>
      <c r="V161" t="s">
        <v>3092</v>
      </c>
      <c r="W161" t="s">
        <v>3093</v>
      </c>
      <c r="X161" t="s">
        <v>3094</v>
      </c>
      <c r="Y161" t="s">
        <v>3095</v>
      </c>
      <c r="Z161" t="s">
        <v>3096</v>
      </c>
      <c r="AA161" t="s">
        <v>3097</v>
      </c>
      <c r="AB161" t="s">
        <v>3098</v>
      </c>
      <c r="AC161" t="s">
        <v>3099</v>
      </c>
      <c r="AD161" t="s">
        <v>3100</v>
      </c>
      <c r="AE161" t="s">
        <v>3101</v>
      </c>
      <c r="AF161" t="s">
        <v>74</v>
      </c>
      <c r="AG161">
        <v>175</v>
      </c>
      <c r="AH161">
        <v>14</v>
      </c>
      <c r="AI161">
        <v>14</v>
      </c>
      <c r="AJ161">
        <v>2</v>
      </c>
      <c r="AK161">
        <v>24</v>
      </c>
      <c r="AL161" t="s">
        <v>3102</v>
      </c>
      <c r="AM161" t="s">
        <v>3103</v>
      </c>
      <c r="AN161" t="s">
        <v>3104</v>
      </c>
      <c r="AO161" t="s">
        <v>3105</v>
      </c>
      <c r="AP161" t="s">
        <v>74</v>
      </c>
      <c r="AQ161" t="s">
        <v>74</v>
      </c>
      <c r="AR161" t="s">
        <v>3106</v>
      </c>
      <c r="AS161" t="s">
        <v>3107</v>
      </c>
      <c r="AT161" t="s">
        <v>3108</v>
      </c>
      <c r="AU161">
        <v>2011</v>
      </c>
      <c r="AV161">
        <v>11</v>
      </c>
      <c r="AW161">
        <v>1</v>
      </c>
      <c r="AX161" t="s">
        <v>74</v>
      </c>
      <c r="AY161" t="s">
        <v>74</v>
      </c>
      <c r="AZ161" t="s">
        <v>74</v>
      </c>
      <c r="BA161" t="s">
        <v>74</v>
      </c>
      <c r="BB161">
        <v>143</v>
      </c>
      <c r="BC161">
        <v>155</v>
      </c>
      <c r="BD161" t="s">
        <v>74</v>
      </c>
      <c r="BE161" t="s">
        <v>3109</v>
      </c>
      <c r="BF161" t="str">
        <f>HYPERLINK("http://dx.doi.org/10.1590/S1676-06032011000100014","http://dx.doi.org/10.1590/S1676-06032011000100014")</f>
        <v>http://dx.doi.org/10.1590/S1676-06032011000100014</v>
      </c>
      <c r="BG161" t="s">
        <v>74</v>
      </c>
      <c r="BH161" t="s">
        <v>74</v>
      </c>
      <c r="BI161">
        <v>13</v>
      </c>
      <c r="BJ161" t="s">
        <v>3110</v>
      </c>
      <c r="BK161" t="s">
        <v>100</v>
      </c>
      <c r="BL161" t="s">
        <v>3111</v>
      </c>
      <c r="BM161" t="s">
        <v>3112</v>
      </c>
      <c r="BN161" t="s">
        <v>74</v>
      </c>
      <c r="BO161" t="s">
        <v>3113</v>
      </c>
      <c r="BP161" t="s">
        <v>74</v>
      </c>
      <c r="BQ161" t="s">
        <v>74</v>
      </c>
      <c r="BR161" t="s">
        <v>103</v>
      </c>
      <c r="BS161" t="s">
        <v>3114</v>
      </c>
      <c r="BT161" t="str">
        <f>HYPERLINK("https%3A%2F%2Fwww.webofscience.com%2Fwos%2Fwoscc%2Ffull-record%2FWOS:000296131000015","View Full Record in Web of Science")</f>
        <v>View Full Record in Web of Science</v>
      </c>
    </row>
    <row r="162" spans="1:72" x14ac:dyDescent="0.15">
      <c r="A162" t="s">
        <v>72</v>
      </c>
      <c r="B162" t="s">
        <v>3115</v>
      </c>
      <c r="C162" t="s">
        <v>74</v>
      </c>
      <c r="D162" t="s">
        <v>74</v>
      </c>
      <c r="E162" t="s">
        <v>74</v>
      </c>
      <c r="F162" t="s">
        <v>3116</v>
      </c>
      <c r="G162" t="s">
        <v>74</v>
      </c>
      <c r="H162" t="s">
        <v>74</v>
      </c>
      <c r="I162" t="s">
        <v>3117</v>
      </c>
      <c r="J162" t="s">
        <v>3065</v>
      </c>
      <c r="K162" t="s">
        <v>74</v>
      </c>
      <c r="L162" t="s">
        <v>74</v>
      </c>
      <c r="M162" t="s">
        <v>78</v>
      </c>
      <c r="N162" t="s">
        <v>79</v>
      </c>
      <c r="O162" t="s">
        <v>74</v>
      </c>
      <c r="P162" t="s">
        <v>74</v>
      </c>
      <c r="Q162" t="s">
        <v>74</v>
      </c>
      <c r="R162" t="s">
        <v>74</v>
      </c>
      <c r="S162" t="s">
        <v>74</v>
      </c>
      <c r="T162" t="s">
        <v>3118</v>
      </c>
      <c r="U162" t="s">
        <v>3119</v>
      </c>
      <c r="V162" t="s">
        <v>3120</v>
      </c>
      <c r="W162" t="s">
        <v>3121</v>
      </c>
      <c r="X162" t="s">
        <v>3122</v>
      </c>
      <c r="Y162" t="s">
        <v>3123</v>
      </c>
      <c r="Z162" t="s">
        <v>3124</v>
      </c>
      <c r="AA162" t="s">
        <v>74</v>
      </c>
      <c r="AB162" t="s">
        <v>3125</v>
      </c>
      <c r="AC162" t="s">
        <v>74</v>
      </c>
      <c r="AD162" t="s">
        <v>74</v>
      </c>
      <c r="AE162" t="s">
        <v>74</v>
      </c>
      <c r="AF162" t="s">
        <v>74</v>
      </c>
      <c r="AG162">
        <v>36</v>
      </c>
      <c r="AH162">
        <v>4</v>
      </c>
      <c r="AI162">
        <v>4</v>
      </c>
      <c r="AJ162">
        <v>2</v>
      </c>
      <c r="AK162">
        <v>13</v>
      </c>
      <c r="AL162" t="s">
        <v>474</v>
      </c>
      <c r="AM162" t="s">
        <v>475</v>
      </c>
      <c r="AN162" t="s">
        <v>476</v>
      </c>
      <c r="AO162" t="s">
        <v>3076</v>
      </c>
      <c r="AP162" t="s">
        <v>3077</v>
      </c>
      <c r="AQ162" t="s">
        <v>74</v>
      </c>
      <c r="AR162" t="s">
        <v>3078</v>
      </c>
      <c r="AS162" t="s">
        <v>3079</v>
      </c>
      <c r="AT162" t="s">
        <v>74</v>
      </c>
      <c r="AU162">
        <v>2011</v>
      </c>
      <c r="AV162">
        <v>25</v>
      </c>
      <c r="AW162">
        <v>9</v>
      </c>
      <c r="AX162" t="s">
        <v>74</v>
      </c>
      <c r="AY162" t="s">
        <v>74</v>
      </c>
      <c r="AZ162" t="s">
        <v>74</v>
      </c>
      <c r="BA162" t="s">
        <v>74</v>
      </c>
      <c r="BB162">
        <v>1507</v>
      </c>
      <c r="BC162">
        <v>1524</v>
      </c>
      <c r="BD162" t="s">
        <v>74</v>
      </c>
      <c r="BE162" t="s">
        <v>3126</v>
      </c>
      <c r="BF162" t="str">
        <f>HYPERLINK("http://dx.doi.org/10.1080/13658816.2010.508042","http://dx.doi.org/10.1080/13658816.2010.508042")</f>
        <v>http://dx.doi.org/10.1080/13658816.2010.508042</v>
      </c>
      <c r="BG162" t="s">
        <v>74</v>
      </c>
      <c r="BH162" t="s">
        <v>74</v>
      </c>
      <c r="BI162">
        <v>18</v>
      </c>
      <c r="BJ162" t="s">
        <v>3081</v>
      </c>
      <c r="BK162" t="s">
        <v>3082</v>
      </c>
      <c r="BL162" t="s">
        <v>3083</v>
      </c>
      <c r="BM162" t="s">
        <v>3127</v>
      </c>
      <c r="BN162" t="s">
        <v>74</v>
      </c>
      <c r="BO162" t="s">
        <v>74</v>
      </c>
      <c r="BP162" t="s">
        <v>74</v>
      </c>
      <c r="BQ162" t="s">
        <v>74</v>
      </c>
      <c r="BR162" t="s">
        <v>103</v>
      </c>
      <c r="BS162" t="s">
        <v>3128</v>
      </c>
      <c r="BT162" t="str">
        <f>HYPERLINK("https%3A%2F%2Fwww.webofscience.com%2Fwos%2Fwoscc%2Ffull-record%2FWOS:000295620300009","View Full Record in Web of Science")</f>
        <v>View Full Record in Web of Science</v>
      </c>
    </row>
    <row r="163" spans="1:72" x14ac:dyDescent="0.15">
      <c r="A163" t="s">
        <v>72</v>
      </c>
      <c r="B163" t="s">
        <v>3129</v>
      </c>
      <c r="C163" t="s">
        <v>74</v>
      </c>
      <c r="D163" t="s">
        <v>74</v>
      </c>
      <c r="E163" t="s">
        <v>74</v>
      </c>
      <c r="F163" t="s">
        <v>3130</v>
      </c>
      <c r="G163" t="s">
        <v>74</v>
      </c>
      <c r="H163" t="s">
        <v>74</v>
      </c>
      <c r="I163" t="s">
        <v>3131</v>
      </c>
      <c r="J163" t="s">
        <v>3132</v>
      </c>
      <c r="K163" t="s">
        <v>74</v>
      </c>
      <c r="L163" t="s">
        <v>74</v>
      </c>
      <c r="M163" t="s">
        <v>78</v>
      </c>
      <c r="N163" t="s">
        <v>79</v>
      </c>
      <c r="O163" t="s">
        <v>74</v>
      </c>
      <c r="P163" t="s">
        <v>74</v>
      </c>
      <c r="Q163" t="s">
        <v>74</v>
      </c>
      <c r="R163" t="s">
        <v>74</v>
      </c>
      <c r="S163" t="s">
        <v>74</v>
      </c>
      <c r="T163" t="s">
        <v>74</v>
      </c>
      <c r="U163" t="s">
        <v>3133</v>
      </c>
      <c r="V163" t="s">
        <v>3134</v>
      </c>
      <c r="W163" t="s">
        <v>3135</v>
      </c>
      <c r="X163" t="s">
        <v>3136</v>
      </c>
      <c r="Y163" t="s">
        <v>3137</v>
      </c>
      <c r="Z163" t="s">
        <v>3138</v>
      </c>
      <c r="AA163" t="s">
        <v>3139</v>
      </c>
      <c r="AB163" t="s">
        <v>3140</v>
      </c>
      <c r="AC163" t="s">
        <v>3141</v>
      </c>
      <c r="AD163" t="s">
        <v>3142</v>
      </c>
      <c r="AE163" t="s">
        <v>3143</v>
      </c>
      <c r="AF163" t="s">
        <v>74</v>
      </c>
      <c r="AG163">
        <v>71</v>
      </c>
      <c r="AH163">
        <v>16</v>
      </c>
      <c r="AI163">
        <v>17</v>
      </c>
      <c r="AJ163">
        <v>0</v>
      </c>
      <c r="AK163">
        <v>39</v>
      </c>
      <c r="AL163" t="s">
        <v>3144</v>
      </c>
      <c r="AM163" t="s">
        <v>2335</v>
      </c>
      <c r="AN163" t="s">
        <v>3145</v>
      </c>
      <c r="AO163" t="s">
        <v>3146</v>
      </c>
      <c r="AP163" t="s">
        <v>3147</v>
      </c>
      <c r="AQ163" t="s">
        <v>74</v>
      </c>
      <c r="AR163" t="s">
        <v>3148</v>
      </c>
      <c r="AS163" t="s">
        <v>3149</v>
      </c>
      <c r="AT163" t="s">
        <v>74</v>
      </c>
      <c r="AU163">
        <v>2011</v>
      </c>
      <c r="AV163">
        <v>26</v>
      </c>
      <c r="AW163">
        <v>11</v>
      </c>
      <c r="AX163" t="s">
        <v>74</v>
      </c>
      <c r="AY163" t="s">
        <v>74</v>
      </c>
      <c r="AZ163" t="s">
        <v>74</v>
      </c>
      <c r="BA163" t="s">
        <v>74</v>
      </c>
      <c r="BB163">
        <v>2238</v>
      </c>
      <c r="BC163">
        <v>2246</v>
      </c>
      <c r="BD163" t="s">
        <v>74</v>
      </c>
      <c r="BE163" t="s">
        <v>3150</v>
      </c>
      <c r="BF163" t="str">
        <f>HYPERLINK("http://dx.doi.org/10.1039/c1ja10198f","http://dx.doi.org/10.1039/c1ja10198f")</f>
        <v>http://dx.doi.org/10.1039/c1ja10198f</v>
      </c>
      <c r="BG163" t="s">
        <v>74</v>
      </c>
      <c r="BH163" t="s">
        <v>74</v>
      </c>
      <c r="BI163">
        <v>9</v>
      </c>
      <c r="BJ163" t="s">
        <v>3151</v>
      </c>
      <c r="BK163" t="s">
        <v>100</v>
      </c>
      <c r="BL163" t="s">
        <v>3152</v>
      </c>
      <c r="BM163" t="s">
        <v>3153</v>
      </c>
      <c r="BN163" t="s">
        <v>74</v>
      </c>
      <c r="BO163" t="s">
        <v>74</v>
      </c>
      <c r="BP163" t="s">
        <v>74</v>
      </c>
      <c r="BQ163" t="s">
        <v>74</v>
      </c>
      <c r="BR163" t="s">
        <v>103</v>
      </c>
      <c r="BS163" t="s">
        <v>3154</v>
      </c>
      <c r="BT163" t="str">
        <f>HYPERLINK("https%3A%2F%2Fwww.webofscience.com%2Fwos%2Fwoscc%2Ffull-record%2FWOS:000296021800012","View Full Record in Web of Science")</f>
        <v>View Full Record in Web of Science</v>
      </c>
    </row>
    <row r="164" spans="1:72" x14ac:dyDescent="0.15">
      <c r="A164" t="s">
        <v>72</v>
      </c>
      <c r="B164" t="s">
        <v>3155</v>
      </c>
      <c r="C164" t="s">
        <v>74</v>
      </c>
      <c r="D164" t="s">
        <v>74</v>
      </c>
      <c r="E164" t="s">
        <v>74</v>
      </c>
      <c r="F164" t="s">
        <v>3156</v>
      </c>
      <c r="G164" t="s">
        <v>74</v>
      </c>
      <c r="H164" t="s">
        <v>74</v>
      </c>
      <c r="I164" t="s">
        <v>3157</v>
      </c>
      <c r="J164" t="s">
        <v>3158</v>
      </c>
      <c r="K164" t="s">
        <v>74</v>
      </c>
      <c r="L164" t="s">
        <v>74</v>
      </c>
      <c r="M164" t="s">
        <v>78</v>
      </c>
      <c r="N164" t="s">
        <v>79</v>
      </c>
      <c r="O164" t="s">
        <v>74</v>
      </c>
      <c r="P164" t="s">
        <v>74</v>
      </c>
      <c r="Q164" t="s">
        <v>74</v>
      </c>
      <c r="R164" t="s">
        <v>74</v>
      </c>
      <c r="S164" t="s">
        <v>74</v>
      </c>
      <c r="T164" t="s">
        <v>74</v>
      </c>
      <c r="U164" t="s">
        <v>3159</v>
      </c>
      <c r="V164" t="s">
        <v>3160</v>
      </c>
      <c r="W164" t="s">
        <v>3161</v>
      </c>
      <c r="X164" t="s">
        <v>3162</v>
      </c>
      <c r="Y164" t="s">
        <v>3163</v>
      </c>
      <c r="Z164" t="s">
        <v>3164</v>
      </c>
      <c r="AA164" t="s">
        <v>74</v>
      </c>
      <c r="AB164" t="s">
        <v>3165</v>
      </c>
      <c r="AC164" t="s">
        <v>3166</v>
      </c>
      <c r="AD164" t="s">
        <v>3167</v>
      </c>
      <c r="AE164" t="s">
        <v>3168</v>
      </c>
      <c r="AF164" t="s">
        <v>74</v>
      </c>
      <c r="AG164">
        <v>64</v>
      </c>
      <c r="AH164">
        <v>15</v>
      </c>
      <c r="AI164">
        <v>16</v>
      </c>
      <c r="AJ164">
        <v>0</v>
      </c>
      <c r="AK164">
        <v>13</v>
      </c>
      <c r="AL164" t="s">
        <v>3169</v>
      </c>
      <c r="AM164" t="s">
        <v>2335</v>
      </c>
      <c r="AN164" t="s">
        <v>3170</v>
      </c>
      <c r="AO164" t="s">
        <v>3171</v>
      </c>
      <c r="AP164" t="s">
        <v>74</v>
      </c>
      <c r="AQ164" t="s">
        <v>74</v>
      </c>
      <c r="AR164" t="s">
        <v>3172</v>
      </c>
      <c r="AS164" t="s">
        <v>3173</v>
      </c>
      <c r="AT164" t="s">
        <v>74</v>
      </c>
      <c r="AU164">
        <v>2011</v>
      </c>
      <c r="AV164">
        <v>57</v>
      </c>
      <c r="AW164">
        <v>205</v>
      </c>
      <c r="AX164" t="s">
        <v>74</v>
      </c>
      <c r="AY164" t="s">
        <v>74</v>
      </c>
      <c r="AZ164" t="s">
        <v>74</v>
      </c>
      <c r="BA164" t="s">
        <v>74</v>
      </c>
      <c r="BB164">
        <v>796</v>
      </c>
      <c r="BC164">
        <v>810</v>
      </c>
      <c r="BD164" t="s">
        <v>74</v>
      </c>
      <c r="BE164" t="s">
        <v>3174</v>
      </c>
      <c r="BF164" t="str">
        <f>HYPERLINK("http://dx.doi.org/10.3189/002214311798043807","http://dx.doi.org/10.3189/002214311798043807")</f>
        <v>http://dx.doi.org/10.3189/002214311798043807</v>
      </c>
      <c r="BG164" t="s">
        <v>74</v>
      </c>
      <c r="BH164" t="s">
        <v>74</v>
      </c>
      <c r="BI164">
        <v>15</v>
      </c>
      <c r="BJ164" t="s">
        <v>222</v>
      </c>
      <c r="BK164" t="s">
        <v>100</v>
      </c>
      <c r="BL164" t="s">
        <v>223</v>
      </c>
      <c r="BM164" t="s">
        <v>3175</v>
      </c>
      <c r="BN164" t="s">
        <v>74</v>
      </c>
      <c r="BO164" t="s">
        <v>252</v>
      </c>
      <c r="BP164" t="s">
        <v>74</v>
      </c>
      <c r="BQ164" t="s">
        <v>74</v>
      </c>
      <c r="BR164" t="s">
        <v>103</v>
      </c>
      <c r="BS164" t="s">
        <v>3176</v>
      </c>
      <c r="BT164" t="str">
        <f>HYPERLINK("https%3A%2F%2Fwww.webofscience.com%2Fwos%2Fwoscc%2Ffull-record%2FWOS:000296118700003","View Full Record in Web of Science")</f>
        <v>View Full Record in Web of Science</v>
      </c>
    </row>
    <row r="165" spans="1:72" x14ac:dyDescent="0.15">
      <c r="A165" t="s">
        <v>72</v>
      </c>
      <c r="B165" t="s">
        <v>3177</v>
      </c>
      <c r="C165" t="s">
        <v>74</v>
      </c>
      <c r="D165" t="s">
        <v>74</v>
      </c>
      <c r="E165" t="s">
        <v>74</v>
      </c>
      <c r="F165" t="s">
        <v>3178</v>
      </c>
      <c r="G165" t="s">
        <v>74</v>
      </c>
      <c r="H165" t="s">
        <v>74</v>
      </c>
      <c r="I165" t="s">
        <v>3179</v>
      </c>
      <c r="J165" t="s">
        <v>3158</v>
      </c>
      <c r="K165" t="s">
        <v>74</v>
      </c>
      <c r="L165" t="s">
        <v>74</v>
      </c>
      <c r="M165" t="s">
        <v>78</v>
      </c>
      <c r="N165" t="s">
        <v>79</v>
      </c>
      <c r="O165" t="s">
        <v>74</v>
      </c>
      <c r="P165" t="s">
        <v>74</v>
      </c>
      <c r="Q165" t="s">
        <v>74</v>
      </c>
      <c r="R165" t="s">
        <v>74</v>
      </c>
      <c r="S165" t="s">
        <v>74</v>
      </c>
      <c r="T165" t="s">
        <v>74</v>
      </c>
      <c r="U165" t="s">
        <v>3180</v>
      </c>
      <c r="V165" t="s">
        <v>3181</v>
      </c>
      <c r="W165" t="s">
        <v>3182</v>
      </c>
      <c r="X165" t="s">
        <v>3183</v>
      </c>
      <c r="Y165" t="s">
        <v>3184</v>
      </c>
      <c r="Z165" t="s">
        <v>3185</v>
      </c>
      <c r="AA165" t="s">
        <v>74</v>
      </c>
      <c r="AB165" t="s">
        <v>3186</v>
      </c>
      <c r="AC165" t="s">
        <v>74</v>
      </c>
      <c r="AD165" t="s">
        <v>74</v>
      </c>
      <c r="AE165" t="s">
        <v>74</v>
      </c>
      <c r="AF165" t="s">
        <v>74</v>
      </c>
      <c r="AG165">
        <v>33</v>
      </c>
      <c r="AH165">
        <v>1</v>
      </c>
      <c r="AI165">
        <v>1</v>
      </c>
      <c r="AJ165">
        <v>0</v>
      </c>
      <c r="AK165">
        <v>9</v>
      </c>
      <c r="AL165" t="s">
        <v>3169</v>
      </c>
      <c r="AM165" t="s">
        <v>2335</v>
      </c>
      <c r="AN165" t="s">
        <v>3170</v>
      </c>
      <c r="AO165" t="s">
        <v>3171</v>
      </c>
      <c r="AP165" t="s">
        <v>74</v>
      </c>
      <c r="AQ165" t="s">
        <v>74</v>
      </c>
      <c r="AR165" t="s">
        <v>3172</v>
      </c>
      <c r="AS165" t="s">
        <v>3173</v>
      </c>
      <c r="AT165" t="s">
        <v>74</v>
      </c>
      <c r="AU165">
        <v>2011</v>
      </c>
      <c r="AV165">
        <v>57</v>
      </c>
      <c r="AW165">
        <v>205</v>
      </c>
      <c r="AX165" t="s">
        <v>74</v>
      </c>
      <c r="AY165" t="s">
        <v>74</v>
      </c>
      <c r="AZ165" t="s">
        <v>74</v>
      </c>
      <c r="BA165" t="s">
        <v>74</v>
      </c>
      <c r="BB165">
        <v>848</v>
      </c>
      <c r="BC165">
        <v>856</v>
      </c>
      <c r="BD165" t="s">
        <v>74</v>
      </c>
      <c r="BE165" t="s">
        <v>3187</v>
      </c>
      <c r="BF165" t="str">
        <f>HYPERLINK("http://dx.doi.org/10.3189/002214311798043825","http://dx.doi.org/10.3189/002214311798043825")</f>
        <v>http://dx.doi.org/10.3189/002214311798043825</v>
      </c>
      <c r="BG165" t="s">
        <v>74</v>
      </c>
      <c r="BH165" t="s">
        <v>74</v>
      </c>
      <c r="BI165">
        <v>9</v>
      </c>
      <c r="BJ165" t="s">
        <v>222</v>
      </c>
      <c r="BK165" t="s">
        <v>100</v>
      </c>
      <c r="BL165" t="s">
        <v>223</v>
      </c>
      <c r="BM165" t="s">
        <v>3175</v>
      </c>
      <c r="BN165" t="s">
        <v>74</v>
      </c>
      <c r="BO165" t="s">
        <v>923</v>
      </c>
      <c r="BP165" t="s">
        <v>74</v>
      </c>
      <c r="BQ165" t="s">
        <v>74</v>
      </c>
      <c r="BR165" t="s">
        <v>103</v>
      </c>
      <c r="BS165" t="s">
        <v>3188</v>
      </c>
      <c r="BT165" t="str">
        <f>HYPERLINK("https%3A%2F%2Fwww.webofscience.com%2Fwos%2Fwoscc%2Ffull-record%2FWOS:000296118700008","View Full Record in Web of Science")</f>
        <v>View Full Record in Web of Science</v>
      </c>
    </row>
    <row r="166" spans="1:72" x14ac:dyDescent="0.15">
      <c r="A166" t="s">
        <v>72</v>
      </c>
      <c r="B166" t="s">
        <v>3189</v>
      </c>
      <c r="C166" t="s">
        <v>74</v>
      </c>
      <c r="D166" t="s">
        <v>74</v>
      </c>
      <c r="E166" t="s">
        <v>74</v>
      </c>
      <c r="F166" t="s">
        <v>3190</v>
      </c>
      <c r="G166" t="s">
        <v>74</v>
      </c>
      <c r="H166" t="s">
        <v>74</v>
      </c>
      <c r="I166" t="s">
        <v>3191</v>
      </c>
      <c r="J166" t="s">
        <v>3158</v>
      </c>
      <c r="K166" t="s">
        <v>74</v>
      </c>
      <c r="L166" t="s">
        <v>74</v>
      </c>
      <c r="M166" t="s">
        <v>78</v>
      </c>
      <c r="N166" t="s">
        <v>79</v>
      </c>
      <c r="O166" t="s">
        <v>74</v>
      </c>
      <c r="P166" t="s">
        <v>74</v>
      </c>
      <c r="Q166" t="s">
        <v>74</v>
      </c>
      <c r="R166" t="s">
        <v>74</v>
      </c>
      <c r="S166" t="s">
        <v>74</v>
      </c>
      <c r="T166" t="s">
        <v>74</v>
      </c>
      <c r="U166" t="s">
        <v>3192</v>
      </c>
      <c r="V166" t="s">
        <v>3193</v>
      </c>
      <c r="W166" t="s">
        <v>3194</v>
      </c>
      <c r="X166" t="s">
        <v>3195</v>
      </c>
      <c r="Y166" t="s">
        <v>3196</v>
      </c>
      <c r="Z166" t="s">
        <v>3197</v>
      </c>
      <c r="AA166" t="s">
        <v>3198</v>
      </c>
      <c r="AB166" t="s">
        <v>3199</v>
      </c>
      <c r="AC166" t="s">
        <v>3200</v>
      </c>
      <c r="AD166" t="s">
        <v>3201</v>
      </c>
      <c r="AE166" t="s">
        <v>3202</v>
      </c>
      <c r="AF166" t="s">
        <v>74</v>
      </c>
      <c r="AG166">
        <v>21</v>
      </c>
      <c r="AH166">
        <v>21</v>
      </c>
      <c r="AI166">
        <v>21</v>
      </c>
      <c r="AJ166">
        <v>1</v>
      </c>
      <c r="AK166">
        <v>5</v>
      </c>
      <c r="AL166" t="s">
        <v>3169</v>
      </c>
      <c r="AM166" t="s">
        <v>2335</v>
      </c>
      <c r="AN166" t="s">
        <v>3170</v>
      </c>
      <c r="AO166" t="s">
        <v>3171</v>
      </c>
      <c r="AP166" t="s">
        <v>74</v>
      </c>
      <c r="AQ166" t="s">
        <v>74</v>
      </c>
      <c r="AR166" t="s">
        <v>3172</v>
      </c>
      <c r="AS166" t="s">
        <v>3173</v>
      </c>
      <c r="AT166" t="s">
        <v>74</v>
      </c>
      <c r="AU166">
        <v>2011</v>
      </c>
      <c r="AV166">
        <v>57</v>
      </c>
      <c r="AW166">
        <v>205</v>
      </c>
      <c r="AX166" t="s">
        <v>74</v>
      </c>
      <c r="AY166" t="s">
        <v>74</v>
      </c>
      <c r="AZ166" t="s">
        <v>74</v>
      </c>
      <c r="BA166" t="s">
        <v>74</v>
      </c>
      <c r="BB166">
        <v>861</v>
      </c>
      <c r="BC166">
        <v>870</v>
      </c>
      <c r="BD166" t="s">
        <v>74</v>
      </c>
      <c r="BE166" t="s">
        <v>74</v>
      </c>
      <c r="BF166" t="s">
        <v>74</v>
      </c>
      <c r="BG166" t="s">
        <v>74</v>
      </c>
      <c r="BH166" t="s">
        <v>74</v>
      </c>
      <c r="BI166">
        <v>10</v>
      </c>
      <c r="BJ166" t="s">
        <v>222</v>
      </c>
      <c r="BK166" t="s">
        <v>100</v>
      </c>
      <c r="BL166" t="s">
        <v>223</v>
      </c>
      <c r="BM166" t="s">
        <v>3175</v>
      </c>
      <c r="BN166" t="s">
        <v>74</v>
      </c>
      <c r="BO166" t="s">
        <v>74</v>
      </c>
      <c r="BP166" t="s">
        <v>74</v>
      </c>
      <c r="BQ166" t="s">
        <v>74</v>
      </c>
      <c r="BR166" t="s">
        <v>103</v>
      </c>
      <c r="BS166" t="s">
        <v>3203</v>
      </c>
      <c r="BT166" t="str">
        <f>HYPERLINK("https%3A%2F%2Fwww.webofscience.com%2Fwos%2Fwoscc%2Ffull-record%2FWOS:000296118700010","View Full Record in Web of Science")</f>
        <v>View Full Record in Web of Science</v>
      </c>
    </row>
    <row r="167" spans="1:72" x14ac:dyDescent="0.15">
      <c r="A167" t="s">
        <v>72</v>
      </c>
      <c r="B167" t="s">
        <v>3204</v>
      </c>
      <c r="C167" t="s">
        <v>74</v>
      </c>
      <c r="D167" t="s">
        <v>74</v>
      </c>
      <c r="E167" t="s">
        <v>74</v>
      </c>
      <c r="F167" t="s">
        <v>3205</v>
      </c>
      <c r="G167" t="s">
        <v>74</v>
      </c>
      <c r="H167" t="s">
        <v>74</v>
      </c>
      <c r="I167" t="s">
        <v>3206</v>
      </c>
      <c r="J167" t="s">
        <v>3158</v>
      </c>
      <c r="K167" t="s">
        <v>74</v>
      </c>
      <c r="L167" t="s">
        <v>74</v>
      </c>
      <c r="M167" t="s">
        <v>78</v>
      </c>
      <c r="N167" t="s">
        <v>79</v>
      </c>
      <c r="O167" t="s">
        <v>74</v>
      </c>
      <c r="P167" t="s">
        <v>74</v>
      </c>
      <c r="Q167" t="s">
        <v>74</v>
      </c>
      <c r="R167" t="s">
        <v>74</v>
      </c>
      <c r="S167" t="s">
        <v>74</v>
      </c>
      <c r="T167" t="s">
        <v>74</v>
      </c>
      <c r="U167" t="s">
        <v>3207</v>
      </c>
      <c r="V167" t="s">
        <v>3208</v>
      </c>
      <c r="W167" t="s">
        <v>3209</v>
      </c>
      <c r="X167" t="s">
        <v>3210</v>
      </c>
      <c r="Y167" t="s">
        <v>3211</v>
      </c>
      <c r="Z167" t="s">
        <v>3212</v>
      </c>
      <c r="AA167" t="s">
        <v>74</v>
      </c>
      <c r="AB167" t="s">
        <v>74</v>
      </c>
      <c r="AC167" t="s">
        <v>3213</v>
      </c>
      <c r="AD167" t="s">
        <v>3214</v>
      </c>
      <c r="AE167" t="s">
        <v>3215</v>
      </c>
      <c r="AF167" t="s">
        <v>74</v>
      </c>
      <c r="AG167">
        <v>28</v>
      </c>
      <c r="AH167">
        <v>32</v>
      </c>
      <c r="AI167">
        <v>36</v>
      </c>
      <c r="AJ167">
        <v>0</v>
      </c>
      <c r="AK167">
        <v>8</v>
      </c>
      <c r="AL167" t="s">
        <v>3169</v>
      </c>
      <c r="AM167" t="s">
        <v>2335</v>
      </c>
      <c r="AN167" t="s">
        <v>3170</v>
      </c>
      <c r="AO167" t="s">
        <v>3171</v>
      </c>
      <c r="AP167" t="s">
        <v>74</v>
      </c>
      <c r="AQ167" t="s">
        <v>74</v>
      </c>
      <c r="AR167" t="s">
        <v>3172</v>
      </c>
      <c r="AS167" t="s">
        <v>3173</v>
      </c>
      <c r="AT167" t="s">
        <v>74</v>
      </c>
      <c r="AU167">
        <v>2011</v>
      </c>
      <c r="AV167">
        <v>57</v>
      </c>
      <c r="AW167">
        <v>205</v>
      </c>
      <c r="AX167" t="s">
        <v>74</v>
      </c>
      <c r="AY167" t="s">
        <v>74</v>
      </c>
      <c r="AZ167" t="s">
        <v>74</v>
      </c>
      <c r="BA167" t="s">
        <v>74</v>
      </c>
      <c r="BB167">
        <v>881</v>
      </c>
      <c r="BC167">
        <v>894</v>
      </c>
      <c r="BD167" t="s">
        <v>74</v>
      </c>
      <c r="BE167" t="s">
        <v>3216</v>
      </c>
      <c r="BF167" t="str">
        <f>HYPERLINK("http://dx.doi.org/10.3189/002214311798043744","http://dx.doi.org/10.3189/002214311798043744")</f>
        <v>http://dx.doi.org/10.3189/002214311798043744</v>
      </c>
      <c r="BG167" t="s">
        <v>74</v>
      </c>
      <c r="BH167" t="s">
        <v>74</v>
      </c>
      <c r="BI167">
        <v>14</v>
      </c>
      <c r="BJ167" t="s">
        <v>222</v>
      </c>
      <c r="BK167" t="s">
        <v>100</v>
      </c>
      <c r="BL167" t="s">
        <v>223</v>
      </c>
      <c r="BM167" t="s">
        <v>3175</v>
      </c>
      <c r="BN167" t="s">
        <v>74</v>
      </c>
      <c r="BO167" t="s">
        <v>252</v>
      </c>
      <c r="BP167" t="s">
        <v>74</v>
      </c>
      <c r="BQ167" t="s">
        <v>74</v>
      </c>
      <c r="BR167" t="s">
        <v>103</v>
      </c>
      <c r="BS167" t="s">
        <v>3217</v>
      </c>
      <c r="BT167" t="str">
        <f>HYPERLINK("https%3A%2F%2Fwww.webofscience.com%2Fwos%2Fwoscc%2Ffull-record%2FWOS:000296118700012","View Full Record in Web of Science")</f>
        <v>View Full Record in Web of Science</v>
      </c>
    </row>
    <row r="168" spans="1:72" x14ac:dyDescent="0.15">
      <c r="A168" t="s">
        <v>72</v>
      </c>
      <c r="B168" t="s">
        <v>3218</v>
      </c>
      <c r="C168" t="s">
        <v>74</v>
      </c>
      <c r="D168" t="s">
        <v>74</v>
      </c>
      <c r="E168" t="s">
        <v>74</v>
      </c>
      <c r="F168" t="s">
        <v>3219</v>
      </c>
      <c r="G168" t="s">
        <v>74</v>
      </c>
      <c r="H168" t="s">
        <v>74</v>
      </c>
      <c r="I168" t="s">
        <v>3220</v>
      </c>
      <c r="J168" t="s">
        <v>3221</v>
      </c>
      <c r="K168" t="s">
        <v>74</v>
      </c>
      <c r="L168" t="s">
        <v>74</v>
      </c>
      <c r="M168" t="s">
        <v>78</v>
      </c>
      <c r="N168" t="s">
        <v>79</v>
      </c>
      <c r="O168" t="s">
        <v>74</v>
      </c>
      <c r="P168" t="s">
        <v>74</v>
      </c>
      <c r="Q168" t="s">
        <v>74</v>
      </c>
      <c r="R168" t="s">
        <v>74</v>
      </c>
      <c r="S168" t="s">
        <v>74</v>
      </c>
      <c r="T168" t="s">
        <v>3222</v>
      </c>
      <c r="U168" t="s">
        <v>3223</v>
      </c>
      <c r="V168" t="s">
        <v>3224</v>
      </c>
      <c r="W168" t="s">
        <v>3225</v>
      </c>
      <c r="X168" t="s">
        <v>3226</v>
      </c>
      <c r="Y168" t="s">
        <v>113</v>
      </c>
      <c r="Z168" t="s">
        <v>114</v>
      </c>
      <c r="AA168" t="s">
        <v>3227</v>
      </c>
      <c r="AB168" t="s">
        <v>3228</v>
      </c>
      <c r="AC168" t="s">
        <v>3229</v>
      </c>
      <c r="AD168" t="s">
        <v>3230</v>
      </c>
      <c r="AE168" t="s">
        <v>3231</v>
      </c>
      <c r="AF168" t="s">
        <v>74</v>
      </c>
      <c r="AG168">
        <v>71</v>
      </c>
      <c r="AH168">
        <v>21</v>
      </c>
      <c r="AI168">
        <v>21</v>
      </c>
      <c r="AJ168">
        <v>0</v>
      </c>
      <c r="AK168">
        <v>19</v>
      </c>
      <c r="AL168" t="s">
        <v>3232</v>
      </c>
      <c r="AM168" t="s">
        <v>3233</v>
      </c>
      <c r="AN168" t="s">
        <v>3234</v>
      </c>
      <c r="AO168" t="s">
        <v>3235</v>
      </c>
      <c r="AP168" t="s">
        <v>3236</v>
      </c>
      <c r="AQ168" t="s">
        <v>74</v>
      </c>
      <c r="AR168" t="s">
        <v>3237</v>
      </c>
      <c r="AS168" t="s">
        <v>3238</v>
      </c>
      <c r="AT168" t="s">
        <v>74</v>
      </c>
      <c r="AU168">
        <v>2011</v>
      </c>
      <c r="AV168">
        <v>438</v>
      </c>
      <c r="AW168" t="s">
        <v>74</v>
      </c>
      <c r="AX168" t="s">
        <v>74</v>
      </c>
      <c r="AY168" t="s">
        <v>74</v>
      </c>
      <c r="AZ168" t="s">
        <v>74</v>
      </c>
      <c r="BA168" t="s">
        <v>74</v>
      </c>
      <c r="BB168">
        <v>195</v>
      </c>
      <c r="BC168">
        <v>206</v>
      </c>
      <c r="BD168" t="s">
        <v>74</v>
      </c>
      <c r="BE168" t="s">
        <v>3239</v>
      </c>
      <c r="BF168" t="str">
        <f>HYPERLINK("http://dx.doi.org/10.3354/meps09287","http://dx.doi.org/10.3354/meps09287")</f>
        <v>http://dx.doi.org/10.3354/meps09287</v>
      </c>
      <c r="BG168" t="s">
        <v>74</v>
      </c>
      <c r="BH168" t="s">
        <v>74</v>
      </c>
      <c r="BI168">
        <v>12</v>
      </c>
      <c r="BJ168" t="s">
        <v>3240</v>
      </c>
      <c r="BK168" t="s">
        <v>100</v>
      </c>
      <c r="BL168" t="s">
        <v>3241</v>
      </c>
      <c r="BM168" t="s">
        <v>3242</v>
      </c>
      <c r="BN168" t="s">
        <v>74</v>
      </c>
      <c r="BO168" t="s">
        <v>252</v>
      </c>
      <c r="BP168" t="s">
        <v>74</v>
      </c>
      <c r="BQ168" t="s">
        <v>74</v>
      </c>
      <c r="BR168" t="s">
        <v>103</v>
      </c>
      <c r="BS168" t="s">
        <v>3243</v>
      </c>
      <c r="BT168" t="str">
        <f>HYPERLINK("https%3A%2F%2Fwww.webofscience.com%2Fwos%2Fwoscc%2Ffull-record%2FWOS:000295616000017","View Full Record in Web of Science")</f>
        <v>View Full Record in Web of Science</v>
      </c>
    </row>
    <row r="169" spans="1:72" x14ac:dyDescent="0.15">
      <c r="A169" t="s">
        <v>72</v>
      </c>
      <c r="B169" t="s">
        <v>3244</v>
      </c>
      <c r="C169" t="s">
        <v>74</v>
      </c>
      <c r="D169" t="s">
        <v>74</v>
      </c>
      <c r="E169" t="s">
        <v>74</v>
      </c>
      <c r="F169" t="s">
        <v>3245</v>
      </c>
      <c r="G169" t="s">
        <v>74</v>
      </c>
      <c r="H169" t="s">
        <v>74</v>
      </c>
      <c r="I169" t="s">
        <v>3246</v>
      </c>
      <c r="J169" t="s">
        <v>2944</v>
      </c>
      <c r="K169" t="s">
        <v>74</v>
      </c>
      <c r="L169" t="s">
        <v>74</v>
      </c>
      <c r="M169" t="s">
        <v>78</v>
      </c>
      <c r="N169" t="s">
        <v>79</v>
      </c>
      <c r="O169" t="s">
        <v>74</v>
      </c>
      <c r="P169" t="s">
        <v>74</v>
      </c>
      <c r="Q169" t="s">
        <v>74</v>
      </c>
      <c r="R169" t="s">
        <v>74</v>
      </c>
      <c r="S169" t="s">
        <v>74</v>
      </c>
      <c r="T169" t="s">
        <v>74</v>
      </c>
      <c r="U169" t="s">
        <v>3247</v>
      </c>
      <c r="V169" t="s">
        <v>3248</v>
      </c>
      <c r="W169" t="s">
        <v>3249</v>
      </c>
      <c r="X169" t="s">
        <v>3250</v>
      </c>
      <c r="Y169" t="s">
        <v>3251</v>
      </c>
      <c r="Z169" t="s">
        <v>3252</v>
      </c>
      <c r="AA169" t="s">
        <v>3253</v>
      </c>
      <c r="AB169" t="s">
        <v>3254</v>
      </c>
      <c r="AC169" t="s">
        <v>3255</v>
      </c>
      <c r="AD169" t="s">
        <v>3256</v>
      </c>
      <c r="AE169" t="s">
        <v>3257</v>
      </c>
      <c r="AF169" t="s">
        <v>74</v>
      </c>
      <c r="AG169">
        <v>34</v>
      </c>
      <c r="AH169">
        <v>21</v>
      </c>
      <c r="AI169">
        <v>21</v>
      </c>
      <c r="AJ169">
        <v>1</v>
      </c>
      <c r="AK169">
        <v>21</v>
      </c>
      <c r="AL169" t="s">
        <v>2955</v>
      </c>
      <c r="AM169" t="s">
        <v>2956</v>
      </c>
      <c r="AN169" t="s">
        <v>2957</v>
      </c>
      <c r="AO169" t="s">
        <v>2958</v>
      </c>
      <c r="AP169" t="s">
        <v>74</v>
      </c>
      <c r="AQ169" t="s">
        <v>74</v>
      </c>
      <c r="AR169" t="s">
        <v>2960</v>
      </c>
      <c r="AS169" t="s">
        <v>2961</v>
      </c>
      <c r="AT169" t="s">
        <v>74</v>
      </c>
      <c r="AU169">
        <v>2011</v>
      </c>
      <c r="AV169">
        <v>11</v>
      </c>
      <c r="AW169">
        <v>18</v>
      </c>
      <c r="AX169" t="s">
        <v>74</v>
      </c>
      <c r="AY169" t="s">
        <v>74</v>
      </c>
      <c r="AZ169" t="s">
        <v>74</v>
      </c>
      <c r="BA169" t="s">
        <v>74</v>
      </c>
      <c r="BB169">
        <v>9803</v>
      </c>
      <c r="BC169">
        <v>9812</v>
      </c>
      <c r="BD169" t="s">
        <v>74</v>
      </c>
      <c r="BE169" t="s">
        <v>3258</v>
      </c>
      <c r="BF169" t="str">
        <f>HYPERLINK("http://dx.doi.org/10.5194/acp-11-9803-2011","http://dx.doi.org/10.5194/acp-11-9803-2011")</f>
        <v>http://dx.doi.org/10.5194/acp-11-9803-2011</v>
      </c>
      <c r="BG169" t="s">
        <v>74</v>
      </c>
      <c r="BH169" t="s">
        <v>74</v>
      </c>
      <c r="BI169">
        <v>10</v>
      </c>
      <c r="BJ169" t="s">
        <v>2963</v>
      </c>
      <c r="BK169" t="s">
        <v>100</v>
      </c>
      <c r="BL169" t="s">
        <v>2964</v>
      </c>
      <c r="BM169" t="s">
        <v>3259</v>
      </c>
      <c r="BN169" t="s">
        <v>74</v>
      </c>
      <c r="BO169" t="s">
        <v>3113</v>
      </c>
      <c r="BP169" t="s">
        <v>74</v>
      </c>
      <c r="BQ169" t="s">
        <v>74</v>
      </c>
      <c r="BR169" t="s">
        <v>103</v>
      </c>
      <c r="BS169" t="s">
        <v>3260</v>
      </c>
      <c r="BT169" t="str">
        <f>HYPERLINK("https%3A%2F%2Fwww.webofscience.com%2Fwos%2Fwoscc%2Ffull-record%2FWOS:000295368700025","View Full Record in Web of Science")</f>
        <v>View Full Record in Web of Science</v>
      </c>
    </row>
    <row r="170" spans="1:72" x14ac:dyDescent="0.15">
      <c r="A170" t="s">
        <v>72</v>
      </c>
      <c r="B170" t="s">
        <v>3261</v>
      </c>
      <c r="C170" t="s">
        <v>74</v>
      </c>
      <c r="D170" t="s">
        <v>74</v>
      </c>
      <c r="E170" t="s">
        <v>74</v>
      </c>
      <c r="F170" t="s">
        <v>3262</v>
      </c>
      <c r="G170" t="s">
        <v>74</v>
      </c>
      <c r="H170" t="s">
        <v>74</v>
      </c>
      <c r="I170" t="s">
        <v>3263</v>
      </c>
      <c r="J170" t="s">
        <v>3264</v>
      </c>
      <c r="K170" t="s">
        <v>74</v>
      </c>
      <c r="L170" t="s">
        <v>74</v>
      </c>
      <c r="M170" t="s">
        <v>78</v>
      </c>
      <c r="N170" t="s">
        <v>79</v>
      </c>
      <c r="O170" t="s">
        <v>74</v>
      </c>
      <c r="P170" t="s">
        <v>74</v>
      </c>
      <c r="Q170" t="s">
        <v>74</v>
      </c>
      <c r="R170" t="s">
        <v>74</v>
      </c>
      <c r="S170" t="s">
        <v>74</v>
      </c>
      <c r="T170" t="s">
        <v>74</v>
      </c>
      <c r="U170" t="s">
        <v>3265</v>
      </c>
      <c r="V170" t="s">
        <v>3266</v>
      </c>
      <c r="W170" t="s">
        <v>3267</v>
      </c>
      <c r="X170" t="s">
        <v>3268</v>
      </c>
      <c r="Y170" t="s">
        <v>3269</v>
      </c>
      <c r="Z170" t="s">
        <v>3270</v>
      </c>
      <c r="AA170" t="s">
        <v>3271</v>
      </c>
      <c r="AB170" t="s">
        <v>3272</v>
      </c>
      <c r="AC170" t="s">
        <v>3273</v>
      </c>
      <c r="AD170" t="s">
        <v>3274</v>
      </c>
      <c r="AE170" t="s">
        <v>3275</v>
      </c>
      <c r="AF170" t="s">
        <v>74</v>
      </c>
      <c r="AG170">
        <v>76</v>
      </c>
      <c r="AH170">
        <v>18</v>
      </c>
      <c r="AI170">
        <v>18</v>
      </c>
      <c r="AJ170">
        <v>0</v>
      </c>
      <c r="AK170">
        <v>14</v>
      </c>
      <c r="AL170" t="s">
        <v>2955</v>
      </c>
      <c r="AM170" t="s">
        <v>2956</v>
      </c>
      <c r="AN170" t="s">
        <v>2957</v>
      </c>
      <c r="AO170" t="s">
        <v>3276</v>
      </c>
      <c r="AP170" t="s">
        <v>3277</v>
      </c>
      <c r="AQ170" t="s">
        <v>74</v>
      </c>
      <c r="AR170" t="s">
        <v>3278</v>
      </c>
      <c r="AS170" t="s">
        <v>3279</v>
      </c>
      <c r="AT170" t="s">
        <v>74</v>
      </c>
      <c r="AU170">
        <v>2011</v>
      </c>
      <c r="AV170">
        <v>4</v>
      </c>
      <c r="AW170">
        <v>9</v>
      </c>
      <c r="AX170" t="s">
        <v>74</v>
      </c>
      <c r="AY170" t="s">
        <v>74</v>
      </c>
      <c r="AZ170" t="s">
        <v>74</v>
      </c>
      <c r="BA170" t="s">
        <v>74</v>
      </c>
      <c r="BB170">
        <v>1855</v>
      </c>
      <c r="BC170">
        <v>1874</v>
      </c>
      <c r="BD170" t="s">
        <v>74</v>
      </c>
      <c r="BE170" t="s">
        <v>3280</v>
      </c>
      <c r="BF170" t="str">
        <f>HYPERLINK("http://dx.doi.org/10.5194/amt-4-1855-2011","http://dx.doi.org/10.5194/amt-4-1855-2011")</f>
        <v>http://dx.doi.org/10.5194/amt-4-1855-2011</v>
      </c>
      <c r="BG170" t="s">
        <v>74</v>
      </c>
      <c r="BH170" t="s">
        <v>74</v>
      </c>
      <c r="BI170">
        <v>20</v>
      </c>
      <c r="BJ170" t="s">
        <v>603</v>
      </c>
      <c r="BK170" t="s">
        <v>100</v>
      </c>
      <c r="BL170" t="s">
        <v>603</v>
      </c>
      <c r="BM170" t="s">
        <v>3281</v>
      </c>
      <c r="BN170" t="s">
        <v>74</v>
      </c>
      <c r="BO170" t="s">
        <v>1765</v>
      </c>
      <c r="BP170" t="s">
        <v>74</v>
      </c>
      <c r="BQ170" t="s">
        <v>74</v>
      </c>
      <c r="BR170" t="s">
        <v>103</v>
      </c>
      <c r="BS170" t="s">
        <v>3282</v>
      </c>
      <c r="BT170" t="str">
        <f>HYPERLINK("https%3A%2F%2Fwww.webofscience.com%2Fwos%2Fwoscc%2Ffull-record%2FWOS:000295367700010","View Full Record in Web of Science")</f>
        <v>View Full Record in Web of Science</v>
      </c>
    </row>
    <row r="171" spans="1:72" x14ac:dyDescent="0.15">
      <c r="A171" t="s">
        <v>72</v>
      </c>
      <c r="B171" t="s">
        <v>3283</v>
      </c>
      <c r="C171" t="s">
        <v>74</v>
      </c>
      <c r="D171" t="s">
        <v>74</v>
      </c>
      <c r="E171" t="s">
        <v>74</v>
      </c>
      <c r="F171" t="s">
        <v>3284</v>
      </c>
      <c r="G171" t="s">
        <v>74</v>
      </c>
      <c r="H171" t="s">
        <v>74</v>
      </c>
      <c r="I171" t="s">
        <v>3285</v>
      </c>
      <c r="J171" t="s">
        <v>3286</v>
      </c>
      <c r="K171" t="s">
        <v>74</v>
      </c>
      <c r="L171" t="s">
        <v>74</v>
      </c>
      <c r="M171" t="s">
        <v>78</v>
      </c>
      <c r="N171" t="s">
        <v>79</v>
      </c>
      <c r="O171" t="s">
        <v>74</v>
      </c>
      <c r="P171" t="s">
        <v>74</v>
      </c>
      <c r="Q171" t="s">
        <v>74</v>
      </c>
      <c r="R171" t="s">
        <v>74</v>
      </c>
      <c r="S171" t="s">
        <v>74</v>
      </c>
      <c r="T171" t="s">
        <v>74</v>
      </c>
      <c r="U171" t="s">
        <v>3287</v>
      </c>
      <c r="V171" t="s">
        <v>3288</v>
      </c>
      <c r="W171" t="s">
        <v>3289</v>
      </c>
      <c r="X171" t="s">
        <v>2763</v>
      </c>
      <c r="Y171" t="s">
        <v>3290</v>
      </c>
      <c r="Z171" t="s">
        <v>3291</v>
      </c>
      <c r="AA171" t="s">
        <v>3292</v>
      </c>
      <c r="AB171" t="s">
        <v>3293</v>
      </c>
      <c r="AC171" t="s">
        <v>3294</v>
      </c>
      <c r="AD171" t="s">
        <v>3295</v>
      </c>
      <c r="AE171" t="s">
        <v>3296</v>
      </c>
      <c r="AF171" t="s">
        <v>74</v>
      </c>
      <c r="AG171">
        <v>61</v>
      </c>
      <c r="AH171">
        <v>46</v>
      </c>
      <c r="AI171">
        <v>51</v>
      </c>
      <c r="AJ171">
        <v>0</v>
      </c>
      <c r="AK171">
        <v>19</v>
      </c>
      <c r="AL171" t="s">
        <v>2955</v>
      </c>
      <c r="AM171" t="s">
        <v>2956</v>
      </c>
      <c r="AN171" t="s">
        <v>2957</v>
      </c>
      <c r="AO171" t="s">
        <v>3297</v>
      </c>
      <c r="AP171" t="s">
        <v>3298</v>
      </c>
      <c r="AQ171" t="s">
        <v>74</v>
      </c>
      <c r="AR171" t="s">
        <v>3286</v>
      </c>
      <c r="AS171" t="s">
        <v>3299</v>
      </c>
      <c r="AT171" t="s">
        <v>74</v>
      </c>
      <c r="AU171">
        <v>2011</v>
      </c>
      <c r="AV171">
        <v>5</v>
      </c>
      <c r="AW171">
        <v>3</v>
      </c>
      <c r="AX171" t="s">
        <v>74</v>
      </c>
      <c r="AY171" t="s">
        <v>74</v>
      </c>
      <c r="AZ171" t="s">
        <v>74</v>
      </c>
      <c r="BA171" t="s">
        <v>74</v>
      </c>
      <c r="BB171">
        <v>631</v>
      </c>
      <c r="BC171">
        <v>649</v>
      </c>
      <c r="BD171" t="s">
        <v>74</v>
      </c>
      <c r="BE171" t="s">
        <v>3300</v>
      </c>
      <c r="BF171" t="str">
        <f>HYPERLINK("http://dx.doi.org/10.5194/tc-5-631-2011","http://dx.doi.org/10.5194/tc-5-631-2011")</f>
        <v>http://dx.doi.org/10.5194/tc-5-631-2011</v>
      </c>
      <c r="BG171" t="s">
        <v>74</v>
      </c>
      <c r="BH171" t="s">
        <v>74</v>
      </c>
      <c r="BI171">
        <v>19</v>
      </c>
      <c r="BJ171" t="s">
        <v>222</v>
      </c>
      <c r="BK171" t="s">
        <v>100</v>
      </c>
      <c r="BL171" t="s">
        <v>223</v>
      </c>
      <c r="BM171" t="s">
        <v>3301</v>
      </c>
      <c r="BN171" t="s">
        <v>74</v>
      </c>
      <c r="BO171" t="s">
        <v>2456</v>
      </c>
      <c r="BP171" t="s">
        <v>74</v>
      </c>
      <c r="BQ171" t="s">
        <v>74</v>
      </c>
      <c r="BR171" t="s">
        <v>103</v>
      </c>
      <c r="BS171" t="s">
        <v>3302</v>
      </c>
      <c r="BT171" t="str">
        <f>HYPERLINK("https%3A%2F%2Fwww.webofscience.com%2Fwos%2Fwoscc%2Ffull-record%2FWOS:000295377900009","View Full Record in Web of Science")</f>
        <v>View Full Record in Web of Science</v>
      </c>
    </row>
    <row r="172" spans="1:72" x14ac:dyDescent="0.15">
      <c r="A172" t="s">
        <v>72</v>
      </c>
      <c r="B172" t="s">
        <v>3303</v>
      </c>
      <c r="C172" t="s">
        <v>74</v>
      </c>
      <c r="D172" t="s">
        <v>74</v>
      </c>
      <c r="E172" t="s">
        <v>74</v>
      </c>
      <c r="F172" t="s">
        <v>3304</v>
      </c>
      <c r="G172" t="s">
        <v>74</v>
      </c>
      <c r="H172" t="s">
        <v>74</v>
      </c>
      <c r="I172" t="s">
        <v>3305</v>
      </c>
      <c r="J172" t="s">
        <v>3221</v>
      </c>
      <c r="K172" t="s">
        <v>74</v>
      </c>
      <c r="L172" t="s">
        <v>74</v>
      </c>
      <c r="M172" t="s">
        <v>78</v>
      </c>
      <c r="N172" t="s">
        <v>79</v>
      </c>
      <c r="O172" t="s">
        <v>74</v>
      </c>
      <c r="P172" t="s">
        <v>74</v>
      </c>
      <c r="Q172" t="s">
        <v>74</v>
      </c>
      <c r="R172" t="s">
        <v>74</v>
      </c>
      <c r="S172" t="s">
        <v>74</v>
      </c>
      <c r="T172" t="s">
        <v>3306</v>
      </c>
      <c r="U172" t="s">
        <v>3307</v>
      </c>
      <c r="V172" t="s">
        <v>3308</v>
      </c>
      <c r="W172" t="s">
        <v>3309</v>
      </c>
      <c r="X172" t="s">
        <v>3310</v>
      </c>
      <c r="Y172" t="s">
        <v>3311</v>
      </c>
      <c r="Z172" t="s">
        <v>3312</v>
      </c>
      <c r="AA172" t="s">
        <v>3313</v>
      </c>
      <c r="AB172" t="s">
        <v>3314</v>
      </c>
      <c r="AC172" t="s">
        <v>3315</v>
      </c>
      <c r="AD172" t="s">
        <v>3316</v>
      </c>
      <c r="AE172" t="s">
        <v>3317</v>
      </c>
      <c r="AF172" t="s">
        <v>74</v>
      </c>
      <c r="AG172">
        <v>46</v>
      </c>
      <c r="AH172">
        <v>30</v>
      </c>
      <c r="AI172">
        <v>33</v>
      </c>
      <c r="AJ172">
        <v>4</v>
      </c>
      <c r="AK172">
        <v>47</v>
      </c>
      <c r="AL172" t="s">
        <v>3232</v>
      </c>
      <c r="AM172" t="s">
        <v>3233</v>
      </c>
      <c r="AN172" t="s">
        <v>3234</v>
      </c>
      <c r="AO172" t="s">
        <v>3235</v>
      </c>
      <c r="AP172" t="s">
        <v>3236</v>
      </c>
      <c r="AQ172" t="s">
        <v>74</v>
      </c>
      <c r="AR172" t="s">
        <v>3237</v>
      </c>
      <c r="AS172" t="s">
        <v>3238</v>
      </c>
      <c r="AT172" t="s">
        <v>74</v>
      </c>
      <c r="AU172">
        <v>2011</v>
      </c>
      <c r="AV172">
        <v>437</v>
      </c>
      <c r="AW172" t="s">
        <v>74</v>
      </c>
      <c r="AX172" t="s">
        <v>74</v>
      </c>
      <c r="AY172" t="s">
        <v>74</v>
      </c>
      <c r="AZ172" t="s">
        <v>74</v>
      </c>
      <c r="BA172" t="s">
        <v>74</v>
      </c>
      <c r="BB172">
        <v>27</v>
      </c>
      <c r="BC172">
        <v>40</v>
      </c>
      <c r="BD172" t="s">
        <v>74</v>
      </c>
      <c r="BE172" t="s">
        <v>3318</v>
      </c>
      <c r="BF172" t="str">
        <f>HYPERLINK("http://dx.doi.org/10.3354/meps09291","http://dx.doi.org/10.3354/meps09291")</f>
        <v>http://dx.doi.org/10.3354/meps09291</v>
      </c>
      <c r="BG172" t="s">
        <v>74</v>
      </c>
      <c r="BH172" t="s">
        <v>74</v>
      </c>
      <c r="BI172">
        <v>14</v>
      </c>
      <c r="BJ172" t="s">
        <v>3240</v>
      </c>
      <c r="BK172" t="s">
        <v>100</v>
      </c>
      <c r="BL172" t="s">
        <v>3241</v>
      </c>
      <c r="BM172" t="s">
        <v>3319</v>
      </c>
      <c r="BN172" t="s">
        <v>74</v>
      </c>
      <c r="BO172" t="s">
        <v>3320</v>
      </c>
      <c r="BP172" t="s">
        <v>74</v>
      </c>
      <c r="BQ172" t="s">
        <v>74</v>
      </c>
      <c r="BR172" t="s">
        <v>103</v>
      </c>
      <c r="BS172" t="s">
        <v>3321</v>
      </c>
      <c r="BT172" t="str">
        <f>HYPERLINK("https%3A%2F%2Fwww.webofscience.com%2Fwos%2Fwoscc%2Ffull-record%2FWOS:000295342600003","View Full Record in Web of Science")</f>
        <v>View Full Record in Web of Science</v>
      </c>
    </row>
    <row r="173" spans="1:72" x14ac:dyDescent="0.15">
      <c r="A173" t="s">
        <v>72</v>
      </c>
      <c r="B173" t="s">
        <v>3322</v>
      </c>
      <c r="C173" t="s">
        <v>74</v>
      </c>
      <c r="D173" t="s">
        <v>74</v>
      </c>
      <c r="E173" t="s">
        <v>74</v>
      </c>
      <c r="F173" t="s">
        <v>3323</v>
      </c>
      <c r="G173" t="s">
        <v>74</v>
      </c>
      <c r="H173" t="s">
        <v>74</v>
      </c>
      <c r="I173" t="s">
        <v>3324</v>
      </c>
      <c r="J173" t="s">
        <v>3325</v>
      </c>
      <c r="K173" t="s">
        <v>74</v>
      </c>
      <c r="L173" t="s">
        <v>74</v>
      </c>
      <c r="M173" t="s">
        <v>78</v>
      </c>
      <c r="N173" t="s">
        <v>79</v>
      </c>
      <c r="O173" t="s">
        <v>74</v>
      </c>
      <c r="P173" t="s">
        <v>74</v>
      </c>
      <c r="Q173" t="s">
        <v>74</v>
      </c>
      <c r="R173" t="s">
        <v>74</v>
      </c>
      <c r="S173" t="s">
        <v>74</v>
      </c>
      <c r="T173" t="s">
        <v>3326</v>
      </c>
      <c r="U173" t="s">
        <v>3327</v>
      </c>
      <c r="V173" t="s">
        <v>3328</v>
      </c>
      <c r="W173" t="s">
        <v>3329</v>
      </c>
      <c r="X173" t="s">
        <v>3330</v>
      </c>
      <c r="Y173" t="s">
        <v>3331</v>
      </c>
      <c r="Z173" t="s">
        <v>3332</v>
      </c>
      <c r="AA173" t="s">
        <v>74</v>
      </c>
      <c r="AB173" t="s">
        <v>3333</v>
      </c>
      <c r="AC173" t="s">
        <v>3334</v>
      </c>
      <c r="AD173" t="s">
        <v>3335</v>
      </c>
      <c r="AE173" t="s">
        <v>3336</v>
      </c>
      <c r="AF173" t="s">
        <v>74</v>
      </c>
      <c r="AG173">
        <v>20</v>
      </c>
      <c r="AH173">
        <v>1</v>
      </c>
      <c r="AI173">
        <v>2</v>
      </c>
      <c r="AJ173">
        <v>0</v>
      </c>
      <c r="AK173">
        <v>1</v>
      </c>
      <c r="AL173" t="s">
        <v>90</v>
      </c>
      <c r="AM173" t="s">
        <v>91</v>
      </c>
      <c r="AN173" t="s">
        <v>92</v>
      </c>
      <c r="AO173" t="s">
        <v>3337</v>
      </c>
      <c r="AP173" t="s">
        <v>3338</v>
      </c>
      <c r="AQ173" t="s">
        <v>74</v>
      </c>
      <c r="AR173" t="s">
        <v>3339</v>
      </c>
      <c r="AS173" t="s">
        <v>3340</v>
      </c>
      <c r="AT173" t="s">
        <v>74</v>
      </c>
      <c r="AU173">
        <v>2011</v>
      </c>
      <c r="AV173">
        <v>28</v>
      </c>
      <c r="AW173">
        <v>3</v>
      </c>
      <c r="AX173" t="s">
        <v>74</v>
      </c>
      <c r="AY173" t="s">
        <v>74</v>
      </c>
      <c r="AZ173" t="s">
        <v>74</v>
      </c>
      <c r="BA173" t="s">
        <v>74</v>
      </c>
      <c r="BB173">
        <v>266</v>
      </c>
      <c r="BC173">
        <v>270</v>
      </c>
      <c r="BD173" t="s">
        <v>74</v>
      </c>
      <c r="BE173" t="s">
        <v>3341</v>
      </c>
      <c r="BF173" t="str">
        <f>HYPERLINK("http://dx.doi.org/10.1071/AS11036","http://dx.doi.org/10.1071/AS11036")</f>
        <v>http://dx.doi.org/10.1071/AS11036</v>
      </c>
      <c r="BG173" t="s">
        <v>74</v>
      </c>
      <c r="BH173" t="s">
        <v>74</v>
      </c>
      <c r="BI173">
        <v>5</v>
      </c>
      <c r="BJ173" t="s">
        <v>373</v>
      </c>
      <c r="BK173" t="s">
        <v>100</v>
      </c>
      <c r="BL173" t="s">
        <v>373</v>
      </c>
      <c r="BM173" t="s">
        <v>3342</v>
      </c>
      <c r="BN173" t="s">
        <v>74</v>
      </c>
      <c r="BO173" t="s">
        <v>375</v>
      </c>
      <c r="BP173" t="s">
        <v>74</v>
      </c>
      <c r="BQ173" t="s">
        <v>74</v>
      </c>
      <c r="BR173" t="s">
        <v>103</v>
      </c>
      <c r="BS173" t="s">
        <v>3343</v>
      </c>
      <c r="BT173" t="str">
        <f>HYPERLINK("https%3A%2F%2Fwww.webofscience.com%2Fwos%2Fwoscc%2Ffull-record%2FWOS:000295162500006","View Full Record in Web of Science")</f>
        <v>View Full Record in Web of Science</v>
      </c>
    </row>
    <row r="174" spans="1:72" x14ac:dyDescent="0.15">
      <c r="A174" t="s">
        <v>2017</v>
      </c>
      <c r="B174" t="s">
        <v>3344</v>
      </c>
      <c r="C174" t="s">
        <v>74</v>
      </c>
      <c r="D174" t="s">
        <v>3345</v>
      </c>
      <c r="E174" t="s">
        <v>74</v>
      </c>
      <c r="F174" t="s">
        <v>3346</v>
      </c>
      <c r="G174" t="s">
        <v>74</v>
      </c>
      <c r="H174" t="s">
        <v>74</v>
      </c>
      <c r="I174" t="s">
        <v>3347</v>
      </c>
      <c r="J174" t="s">
        <v>3348</v>
      </c>
      <c r="K174" t="s">
        <v>3349</v>
      </c>
      <c r="L174" t="s">
        <v>74</v>
      </c>
      <c r="M174" t="s">
        <v>78</v>
      </c>
      <c r="N174" t="s">
        <v>2370</v>
      </c>
      <c r="O174" t="s">
        <v>74</v>
      </c>
      <c r="P174" t="s">
        <v>74</v>
      </c>
      <c r="Q174" t="s">
        <v>74</v>
      </c>
      <c r="R174" t="s">
        <v>74</v>
      </c>
      <c r="S174" t="s">
        <v>74</v>
      </c>
      <c r="T174" t="s">
        <v>3350</v>
      </c>
      <c r="U174" t="s">
        <v>3351</v>
      </c>
      <c r="V174" t="s">
        <v>3352</v>
      </c>
      <c r="W174" t="s">
        <v>3353</v>
      </c>
      <c r="X174" t="s">
        <v>3354</v>
      </c>
      <c r="Y174" t="s">
        <v>3355</v>
      </c>
      <c r="Z174" t="s">
        <v>3356</v>
      </c>
      <c r="AA174" t="s">
        <v>74</v>
      </c>
      <c r="AB174" t="s">
        <v>74</v>
      </c>
      <c r="AC174" t="s">
        <v>74</v>
      </c>
      <c r="AD174" t="s">
        <v>74</v>
      </c>
      <c r="AE174" t="s">
        <v>74</v>
      </c>
      <c r="AF174" t="s">
        <v>74</v>
      </c>
      <c r="AG174">
        <v>128</v>
      </c>
      <c r="AH174">
        <v>9</v>
      </c>
      <c r="AI174">
        <v>10</v>
      </c>
      <c r="AJ174">
        <v>0</v>
      </c>
      <c r="AK174">
        <v>6</v>
      </c>
      <c r="AL174" t="s">
        <v>270</v>
      </c>
      <c r="AM174" t="s">
        <v>271</v>
      </c>
      <c r="AN174" t="s">
        <v>2419</v>
      </c>
      <c r="AO174" t="s">
        <v>3357</v>
      </c>
      <c r="AP174" t="s">
        <v>74</v>
      </c>
      <c r="AQ174" t="s">
        <v>3358</v>
      </c>
      <c r="AR174" t="s">
        <v>3359</v>
      </c>
      <c r="AS174" t="s">
        <v>3360</v>
      </c>
      <c r="AT174" t="s">
        <v>74</v>
      </c>
      <c r="AU174">
        <v>2011</v>
      </c>
      <c r="AV174">
        <v>18</v>
      </c>
      <c r="AW174" t="s">
        <v>74</v>
      </c>
      <c r="AX174" t="s">
        <v>74</v>
      </c>
      <c r="AY174" t="s">
        <v>74</v>
      </c>
      <c r="AZ174" t="s">
        <v>74</v>
      </c>
      <c r="BA174" t="s">
        <v>74</v>
      </c>
      <c r="BB174">
        <v>189</v>
      </c>
      <c r="BC174">
        <v>222</v>
      </c>
      <c r="BD174" t="s">
        <v>74</v>
      </c>
      <c r="BE174" t="s">
        <v>74</v>
      </c>
      <c r="BF174" t="s">
        <v>74</v>
      </c>
      <c r="BG174" t="s">
        <v>3361</v>
      </c>
      <c r="BH174" t="s">
        <v>74</v>
      </c>
      <c r="BI174">
        <v>34</v>
      </c>
      <c r="BJ174" t="s">
        <v>3362</v>
      </c>
      <c r="BK174" t="s">
        <v>2384</v>
      </c>
      <c r="BL174" t="s">
        <v>3363</v>
      </c>
      <c r="BM174" t="s">
        <v>3364</v>
      </c>
      <c r="BN174" t="s">
        <v>74</v>
      </c>
      <c r="BO174" t="s">
        <v>138</v>
      </c>
      <c r="BP174" t="s">
        <v>74</v>
      </c>
      <c r="BQ174" t="s">
        <v>74</v>
      </c>
      <c r="BR174" t="s">
        <v>103</v>
      </c>
      <c r="BS174" t="s">
        <v>3365</v>
      </c>
      <c r="BT174" t="str">
        <f>HYPERLINK("https%3A%2F%2Fwww.webofscience.com%2Fwos%2Fwoscc%2Ffull-record%2FWOS:000294028500011","View Full Record in Web of Science")</f>
        <v>View Full Record in Web of Science</v>
      </c>
    </row>
    <row r="175" spans="1:72" x14ac:dyDescent="0.15">
      <c r="A175" t="s">
        <v>2363</v>
      </c>
      <c r="B175" t="s">
        <v>3366</v>
      </c>
      <c r="C175" t="s">
        <v>74</v>
      </c>
      <c r="D175" t="s">
        <v>3367</v>
      </c>
      <c r="E175" t="s">
        <v>74</v>
      </c>
      <c r="F175" t="s">
        <v>3368</v>
      </c>
      <c r="G175" t="s">
        <v>74</v>
      </c>
      <c r="H175" t="s">
        <v>74</v>
      </c>
      <c r="I175" t="s">
        <v>3369</v>
      </c>
      <c r="J175" t="s">
        <v>3370</v>
      </c>
      <c r="K175" t="s">
        <v>74</v>
      </c>
      <c r="L175" t="s">
        <v>74</v>
      </c>
      <c r="M175" t="s">
        <v>78</v>
      </c>
      <c r="N175" t="s">
        <v>2370</v>
      </c>
      <c r="O175" t="s">
        <v>74</v>
      </c>
      <c r="P175" t="s">
        <v>74</v>
      </c>
      <c r="Q175" t="s">
        <v>74</v>
      </c>
      <c r="R175" t="s">
        <v>74</v>
      </c>
      <c r="S175" t="s">
        <v>74</v>
      </c>
      <c r="T175" t="s">
        <v>74</v>
      </c>
      <c r="U175" t="s">
        <v>74</v>
      </c>
      <c r="V175" t="s">
        <v>74</v>
      </c>
      <c r="W175" t="s">
        <v>3371</v>
      </c>
      <c r="X175" t="s">
        <v>405</v>
      </c>
      <c r="Y175" t="s">
        <v>3372</v>
      </c>
      <c r="Z175" t="s">
        <v>3373</v>
      </c>
      <c r="AA175" t="s">
        <v>3374</v>
      </c>
      <c r="AB175" t="s">
        <v>74</v>
      </c>
      <c r="AC175" t="s">
        <v>74</v>
      </c>
      <c r="AD175" t="s">
        <v>74</v>
      </c>
      <c r="AE175" t="s">
        <v>74</v>
      </c>
      <c r="AF175" t="s">
        <v>74</v>
      </c>
      <c r="AG175">
        <v>28</v>
      </c>
      <c r="AH175">
        <v>6</v>
      </c>
      <c r="AI175">
        <v>7</v>
      </c>
      <c r="AJ175">
        <v>0</v>
      </c>
      <c r="AK175">
        <v>2</v>
      </c>
      <c r="AL175" t="s">
        <v>3375</v>
      </c>
      <c r="AM175" t="s">
        <v>3376</v>
      </c>
      <c r="AN175" t="s">
        <v>3377</v>
      </c>
      <c r="AO175" t="s">
        <v>74</v>
      </c>
      <c r="AP175" t="s">
        <v>74</v>
      </c>
      <c r="AQ175" t="s">
        <v>3378</v>
      </c>
      <c r="AR175" t="s">
        <v>74</v>
      </c>
      <c r="AS175" t="s">
        <v>74</v>
      </c>
      <c r="AT175" t="s">
        <v>74</v>
      </c>
      <c r="AU175">
        <v>2011</v>
      </c>
      <c r="AV175" t="s">
        <v>74</v>
      </c>
      <c r="AW175" t="s">
        <v>74</v>
      </c>
      <c r="AX175" t="s">
        <v>74</v>
      </c>
      <c r="AY175" t="s">
        <v>74</v>
      </c>
      <c r="AZ175" t="s">
        <v>74</v>
      </c>
      <c r="BA175" t="s">
        <v>74</v>
      </c>
      <c r="BB175">
        <v>177</v>
      </c>
      <c r="BC175">
        <v>190</v>
      </c>
      <c r="BD175" t="s">
        <v>74</v>
      </c>
      <c r="BE175" t="s">
        <v>3379</v>
      </c>
      <c r="BF175" t="str">
        <f>HYPERLINK("http://dx.doi.org/10.1079/9781845935481.0177","http://dx.doi.org/10.1079/9781845935481.0177")</f>
        <v>http://dx.doi.org/10.1079/9781845935481.0177</v>
      </c>
      <c r="BG175" t="s">
        <v>3380</v>
      </c>
      <c r="BH175" t="s">
        <v>74</v>
      </c>
      <c r="BI175">
        <v>14</v>
      </c>
      <c r="BJ175" t="s">
        <v>3381</v>
      </c>
      <c r="BK175" t="s">
        <v>3058</v>
      </c>
      <c r="BL175" t="s">
        <v>3382</v>
      </c>
      <c r="BM175" t="s">
        <v>3383</v>
      </c>
      <c r="BN175" t="s">
        <v>74</v>
      </c>
      <c r="BO175" t="s">
        <v>74</v>
      </c>
      <c r="BP175" t="s">
        <v>74</v>
      </c>
      <c r="BQ175" t="s">
        <v>74</v>
      </c>
      <c r="BR175" t="s">
        <v>103</v>
      </c>
      <c r="BS175" t="s">
        <v>3384</v>
      </c>
      <c r="BT175" t="str">
        <f>HYPERLINK("https%3A%2F%2Fwww.webofscience.com%2Fwos%2Fwoscc%2Ffull-record%2FWOS:000293122600015","View Full Record in Web of Science")</f>
        <v>View Full Record in Web of Science</v>
      </c>
    </row>
    <row r="176" spans="1:72" x14ac:dyDescent="0.15">
      <c r="A176" t="s">
        <v>2363</v>
      </c>
      <c r="B176" t="s">
        <v>3366</v>
      </c>
      <c r="C176" t="s">
        <v>74</v>
      </c>
      <c r="D176" t="s">
        <v>3385</v>
      </c>
      <c r="E176" t="s">
        <v>74</v>
      </c>
      <c r="F176" t="s">
        <v>3368</v>
      </c>
      <c r="G176" t="s">
        <v>74</v>
      </c>
      <c r="H176" t="s">
        <v>74</v>
      </c>
      <c r="I176" t="s">
        <v>3386</v>
      </c>
      <c r="J176" t="s">
        <v>3387</v>
      </c>
      <c r="K176" t="s">
        <v>3388</v>
      </c>
      <c r="L176" t="s">
        <v>74</v>
      </c>
      <c r="M176" t="s">
        <v>78</v>
      </c>
      <c r="N176" t="s">
        <v>2370</v>
      </c>
      <c r="O176" t="s">
        <v>74</v>
      </c>
      <c r="P176" t="s">
        <v>74</v>
      </c>
      <c r="Q176" t="s">
        <v>74</v>
      </c>
      <c r="R176" t="s">
        <v>74</v>
      </c>
      <c r="S176" t="s">
        <v>74</v>
      </c>
      <c r="T176" t="s">
        <v>74</v>
      </c>
      <c r="U176" t="s">
        <v>3389</v>
      </c>
      <c r="V176" t="s">
        <v>74</v>
      </c>
      <c r="W176" t="s">
        <v>3390</v>
      </c>
      <c r="X176" t="s">
        <v>405</v>
      </c>
      <c r="Y176" t="s">
        <v>3391</v>
      </c>
      <c r="Z176" t="s">
        <v>74</v>
      </c>
      <c r="AA176" t="s">
        <v>3374</v>
      </c>
      <c r="AB176" t="s">
        <v>74</v>
      </c>
      <c r="AC176" t="s">
        <v>74</v>
      </c>
      <c r="AD176" t="s">
        <v>74</v>
      </c>
      <c r="AE176" t="s">
        <v>74</v>
      </c>
      <c r="AF176" t="s">
        <v>74</v>
      </c>
      <c r="AG176">
        <v>18</v>
      </c>
      <c r="AH176">
        <v>1</v>
      </c>
      <c r="AI176">
        <v>1</v>
      </c>
      <c r="AJ176">
        <v>0</v>
      </c>
      <c r="AK176">
        <v>8</v>
      </c>
      <c r="AL176" t="s">
        <v>3375</v>
      </c>
      <c r="AM176" t="s">
        <v>3376</v>
      </c>
      <c r="AN176" t="s">
        <v>3377</v>
      </c>
      <c r="AO176" t="s">
        <v>74</v>
      </c>
      <c r="AP176" t="s">
        <v>74</v>
      </c>
      <c r="AQ176" t="s">
        <v>3392</v>
      </c>
      <c r="AR176" t="s">
        <v>3393</v>
      </c>
      <c r="AS176" t="s">
        <v>74</v>
      </c>
      <c r="AT176" t="s">
        <v>74</v>
      </c>
      <c r="AU176">
        <v>2011</v>
      </c>
      <c r="AV176" t="s">
        <v>74</v>
      </c>
      <c r="AW176" t="s">
        <v>74</v>
      </c>
      <c r="AX176" t="s">
        <v>74</v>
      </c>
      <c r="AY176" t="s">
        <v>74</v>
      </c>
      <c r="AZ176" t="s">
        <v>74</v>
      </c>
      <c r="BA176" t="s">
        <v>74</v>
      </c>
      <c r="BB176">
        <v>11</v>
      </c>
      <c r="BC176">
        <v>25</v>
      </c>
      <c r="BD176" t="s">
        <v>74</v>
      </c>
      <c r="BE176" t="s">
        <v>74</v>
      </c>
      <c r="BF176" t="s">
        <v>74</v>
      </c>
      <c r="BG176" t="s">
        <v>3394</v>
      </c>
      <c r="BH176" t="s">
        <v>74</v>
      </c>
      <c r="BI176">
        <v>15</v>
      </c>
      <c r="BJ176" t="s">
        <v>3395</v>
      </c>
      <c r="BK176" t="s">
        <v>3058</v>
      </c>
      <c r="BL176" t="s">
        <v>3396</v>
      </c>
      <c r="BM176" t="s">
        <v>3397</v>
      </c>
      <c r="BN176" t="s">
        <v>74</v>
      </c>
      <c r="BO176" t="s">
        <v>74</v>
      </c>
      <c r="BP176" t="s">
        <v>74</v>
      </c>
      <c r="BQ176" t="s">
        <v>74</v>
      </c>
      <c r="BR176" t="s">
        <v>103</v>
      </c>
      <c r="BS176" t="s">
        <v>3398</v>
      </c>
      <c r="BT176" t="str">
        <f>HYPERLINK("https%3A%2F%2Fwww.webofscience.com%2Fwos%2Fwoscc%2Ffull-record%2FWOS:000293335600003","View Full Record in Web of Science")</f>
        <v>View Full Record in Web of Science</v>
      </c>
    </row>
    <row r="177" spans="1:72" x14ac:dyDescent="0.15">
      <c r="A177" t="s">
        <v>72</v>
      </c>
      <c r="B177" t="s">
        <v>3399</v>
      </c>
      <c r="C177" t="s">
        <v>74</v>
      </c>
      <c r="D177" t="s">
        <v>74</v>
      </c>
      <c r="E177" t="s">
        <v>74</v>
      </c>
      <c r="F177" t="s">
        <v>3400</v>
      </c>
      <c r="G177" t="s">
        <v>74</v>
      </c>
      <c r="H177" t="s">
        <v>74</v>
      </c>
      <c r="I177" t="s">
        <v>3401</v>
      </c>
      <c r="J177" t="s">
        <v>3158</v>
      </c>
      <c r="K177" t="s">
        <v>74</v>
      </c>
      <c r="L177" t="s">
        <v>74</v>
      </c>
      <c r="M177" t="s">
        <v>78</v>
      </c>
      <c r="N177" t="s">
        <v>79</v>
      </c>
      <c r="O177" t="s">
        <v>74</v>
      </c>
      <c r="P177" t="s">
        <v>74</v>
      </c>
      <c r="Q177" t="s">
        <v>74</v>
      </c>
      <c r="R177" t="s">
        <v>74</v>
      </c>
      <c r="S177" t="s">
        <v>74</v>
      </c>
      <c r="T177" t="s">
        <v>74</v>
      </c>
      <c r="U177" t="s">
        <v>3402</v>
      </c>
      <c r="V177" t="s">
        <v>3403</v>
      </c>
      <c r="W177" t="s">
        <v>3404</v>
      </c>
      <c r="X177" t="s">
        <v>3405</v>
      </c>
      <c r="Y177" t="s">
        <v>3406</v>
      </c>
      <c r="Z177" t="s">
        <v>3407</v>
      </c>
      <c r="AA177" t="s">
        <v>3408</v>
      </c>
      <c r="AB177" t="s">
        <v>3409</v>
      </c>
      <c r="AC177" t="s">
        <v>3410</v>
      </c>
      <c r="AD177" t="s">
        <v>3411</v>
      </c>
      <c r="AE177" t="s">
        <v>3412</v>
      </c>
      <c r="AF177" t="s">
        <v>74</v>
      </c>
      <c r="AG177">
        <v>55</v>
      </c>
      <c r="AH177">
        <v>38</v>
      </c>
      <c r="AI177">
        <v>42</v>
      </c>
      <c r="AJ177">
        <v>0</v>
      </c>
      <c r="AK177">
        <v>7</v>
      </c>
      <c r="AL177" t="s">
        <v>90</v>
      </c>
      <c r="AM177" t="s">
        <v>2335</v>
      </c>
      <c r="AN177" t="s">
        <v>3413</v>
      </c>
      <c r="AO177" t="s">
        <v>3171</v>
      </c>
      <c r="AP177" t="s">
        <v>3414</v>
      </c>
      <c r="AQ177" t="s">
        <v>74</v>
      </c>
      <c r="AR177" t="s">
        <v>3172</v>
      </c>
      <c r="AS177" t="s">
        <v>3173</v>
      </c>
      <c r="AT177" t="s">
        <v>74</v>
      </c>
      <c r="AU177">
        <v>2011</v>
      </c>
      <c r="AV177">
        <v>57</v>
      </c>
      <c r="AW177">
        <v>204</v>
      </c>
      <c r="AX177" t="s">
        <v>74</v>
      </c>
      <c r="AY177" t="s">
        <v>74</v>
      </c>
      <c r="AZ177" t="s">
        <v>74</v>
      </c>
      <c r="BA177" t="s">
        <v>74</v>
      </c>
      <c r="BB177">
        <v>596</v>
      </c>
      <c r="BC177">
        <v>608</v>
      </c>
      <c r="BD177" t="s">
        <v>74</v>
      </c>
      <c r="BE177" t="s">
        <v>3415</v>
      </c>
      <c r="BF177" t="str">
        <f>HYPERLINK("http://dx.doi.org/10.3189/002214311797409758","http://dx.doi.org/10.3189/002214311797409758")</f>
        <v>http://dx.doi.org/10.3189/002214311797409758</v>
      </c>
      <c r="BG177" t="s">
        <v>74</v>
      </c>
      <c r="BH177" t="s">
        <v>74</v>
      </c>
      <c r="BI177">
        <v>13</v>
      </c>
      <c r="BJ177" t="s">
        <v>222</v>
      </c>
      <c r="BK177" t="s">
        <v>100</v>
      </c>
      <c r="BL177" t="s">
        <v>223</v>
      </c>
      <c r="BM177" t="s">
        <v>3416</v>
      </c>
      <c r="BN177" t="s">
        <v>74</v>
      </c>
      <c r="BO177" t="s">
        <v>252</v>
      </c>
      <c r="BP177" t="s">
        <v>74</v>
      </c>
      <c r="BQ177" t="s">
        <v>74</v>
      </c>
      <c r="BR177" t="s">
        <v>103</v>
      </c>
      <c r="BS177" t="s">
        <v>3417</v>
      </c>
      <c r="BT177" t="str">
        <f>HYPERLINK("https%3A%2F%2Fwww.webofscience.com%2Fwos%2Fwoscc%2Ffull-record%2FWOS:000295019400002","View Full Record in Web of Science")</f>
        <v>View Full Record in Web of Science</v>
      </c>
    </row>
    <row r="178" spans="1:72" x14ac:dyDescent="0.15">
      <c r="A178" t="s">
        <v>72</v>
      </c>
      <c r="B178" t="s">
        <v>3418</v>
      </c>
      <c r="C178" t="s">
        <v>74</v>
      </c>
      <c r="D178" t="s">
        <v>74</v>
      </c>
      <c r="E178" t="s">
        <v>74</v>
      </c>
      <c r="F178" t="s">
        <v>3419</v>
      </c>
      <c r="G178" t="s">
        <v>74</v>
      </c>
      <c r="H178" t="s">
        <v>74</v>
      </c>
      <c r="I178" t="s">
        <v>3420</v>
      </c>
      <c r="J178" t="s">
        <v>3158</v>
      </c>
      <c r="K178" t="s">
        <v>74</v>
      </c>
      <c r="L178" t="s">
        <v>74</v>
      </c>
      <c r="M178" t="s">
        <v>78</v>
      </c>
      <c r="N178" t="s">
        <v>79</v>
      </c>
      <c r="O178" t="s">
        <v>74</v>
      </c>
      <c r="P178" t="s">
        <v>74</v>
      </c>
      <c r="Q178" t="s">
        <v>74</v>
      </c>
      <c r="R178" t="s">
        <v>74</v>
      </c>
      <c r="S178" t="s">
        <v>74</v>
      </c>
      <c r="T178" t="s">
        <v>74</v>
      </c>
      <c r="U178" t="s">
        <v>3421</v>
      </c>
      <c r="V178" t="s">
        <v>3422</v>
      </c>
      <c r="W178" t="s">
        <v>3423</v>
      </c>
      <c r="X178" t="s">
        <v>3424</v>
      </c>
      <c r="Y178" t="s">
        <v>3425</v>
      </c>
      <c r="Z178" t="s">
        <v>3426</v>
      </c>
      <c r="AA178" t="s">
        <v>3427</v>
      </c>
      <c r="AB178" t="s">
        <v>3428</v>
      </c>
      <c r="AC178" t="s">
        <v>3429</v>
      </c>
      <c r="AD178" t="s">
        <v>3430</v>
      </c>
      <c r="AE178" t="s">
        <v>3431</v>
      </c>
      <c r="AF178" t="s">
        <v>74</v>
      </c>
      <c r="AG178">
        <v>56</v>
      </c>
      <c r="AH178">
        <v>41</v>
      </c>
      <c r="AI178">
        <v>43</v>
      </c>
      <c r="AJ178">
        <v>0</v>
      </c>
      <c r="AK178">
        <v>17</v>
      </c>
      <c r="AL178" t="s">
        <v>90</v>
      </c>
      <c r="AM178" t="s">
        <v>2335</v>
      </c>
      <c r="AN178" t="s">
        <v>3413</v>
      </c>
      <c r="AO178" t="s">
        <v>3171</v>
      </c>
      <c r="AP178" t="s">
        <v>3414</v>
      </c>
      <c r="AQ178" t="s">
        <v>74</v>
      </c>
      <c r="AR178" t="s">
        <v>3172</v>
      </c>
      <c r="AS178" t="s">
        <v>3173</v>
      </c>
      <c r="AT178" t="s">
        <v>74</v>
      </c>
      <c r="AU178">
        <v>2011</v>
      </c>
      <c r="AV178">
        <v>57</v>
      </c>
      <c r="AW178">
        <v>204</v>
      </c>
      <c r="AX178" t="s">
        <v>74</v>
      </c>
      <c r="AY178" t="s">
        <v>74</v>
      </c>
      <c r="AZ178" t="s">
        <v>74</v>
      </c>
      <c r="BA178" t="s">
        <v>74</v>
      </c>
      <c r="BB178">
        <v>639</v>
      </c>
      <c r="BC178">
        <v>650</v>
      </c>
      <c r="BD178" t="s">
        <v>74</v>
      </c>
      <c r="BE178" t="s">
        <v>3432</v>
      </c>
      <c r="BF178" t="str">
        <f>HYPERLINK("http://dx.doi.org/10.3189/002214311797409686","http://dx.doi.org/10.3189/002214311797409686")</f>
        <v>http://dx.doi.org/10.3189/002214311797409686</v>
      </c>
      <c r="BG178" t="s">
        <v>74</v>
      </c>
      <c r="BH178" t="s">
        <v>74</v>
      </c>
      <c r="BI178">
        <v>12</v>
      </c>
      <c r="BJ178" t="s">
        <v>222</v>
      </c>
      <c r="BK178" t="s">
        <v>100</v>
      </c>
      <c r="BL178" t="s">
        <v>223</v>
      </c>
      <c r="BM178" t="s">
        <v>3416</v>
      </c>
      <c r="BN178" t="s">
        <v>74</v>
      </c>
      <c r="BO178" t="s">
        <v>3433</v>
      </c>
      <c r="BP178" t="s">
        <v>74</v>
      </c>
      <c r="BQ178" t="s">
        <v>74</v>
      </c>
      <c r="BR178" t="s">
        <v>103</v>
      </c>
      <c r="BS178" t="s">
        <v>3434</v>
      </c>
      <c r="BT178" t="str">
        <f>HYPERLINK("https%3A%2F%2Fwww.webofscience.com%2Fwos%2Fwoscc%2Ffull-record%2FWOS:000295019400006","View Full Record in Web of Science")</f>
        <v>View Full Record in Web of Science</v>
      </c>
    </row>
    <row r="179" spans="1:72" x14ac:dyDescent="0.15">
      <c r="A179" t="s">
        <v>72</v>
      </c>
      <c r="B179" t="s">
        <v>3435</v>
      </c>
      <c r="C179" t="s">
        <v>74</v>
      </c>
      <c r="D179" t="s">
        <v>74</v>
      </c>
      <c r="E179" t="s">
        <v>74</v>
      </c>
      <c r="F179" t="s">
        <v>3436</v>
      </c>
      <c r="G179" t="s">
        <v>74</v>
      </c>
      <c r="H179" t="s">
        <v>74</v>
      </c>
      <c r="I179" t="s">
        <v>3437</v>
      </c>
      <c r="J179" t="s">
        <v>3158</v>
      </c>
      <c r="K179" t="s">
        <v>74</v>
      </c>
      <c r="L179" t="s">
        <v>74</v>
      </c>
      <c r="M179" t="s">
        <v>78</v>
      </c>
      <c r="N179" t="s">
        <v>79</v>
      </c>
      <c r="O179" t="s">
        <v>74</v>
      </c>
      <c r="P179" t="s">
        <v>74</v>
      </c>
      <c r="Q179" t="s">
        <v>74</v>
      </c>
      <c r="R179" t="s">
        <v>74</v>
      </c>
      <c r="S179" t="s">
        <v>74</v>
      </c>
      <c r="T179" t="s">
        <v>74</v>
      </c>
      <c r="U179" t="s">
        <v>3438</v>
      </c>
      <c r="V179" t="s">
        <v>3439</v>
      </c>
      <c r="W179" t="s">
        <v>3440</v>
      </c>
      <c r="X179" t="s">
        <v>3441</v>
      </c>
      <c r="Y179" t="s">
        <v>3442</v>
      </c>
      <c r="Z179" t="s">
        <v>3443</v>
      </c>
      <c r="AA179" t="s">
        <v>3444</v>
      </c>
      <c r="AB179" t="s">
        <v>3445</v>
      </c>
      <c r="AC179" t="s">
        <v>3446</v>
      </c>
      <c r="AD179" t="s">
        <v>3447</v>
      </c>
      <c r="AE179" t="s">
        <v>3448</v>
      </c>
      <c r="AF179" t="s">
        <v>74</v>
      </c>
      <c r="AG179">
        <v>33</v>
      </c>
      <c r="AH179">
        <v>77</v>
      </c>
      <c r="AI179">
        <v>95</v>
      </c>
      <c r="AJ179">
        <v>0</v>
      </c>
      <c r="AK179">
        <v>19</v>
      </c>
      <c r="AL179" t="s">
        <v>90</v>
      </c>
      <c r="AM179" t="s">
        <v>2335</v>
      </c>
      <c r="AN179" t="s">
        <v>3413</v>
      </c>
      <c r="AO179" t="s">
        <v>3171</v>
      </c>
      <c r="AP179" t="s">
        <v>3414</v>
      </c>
      <c r="AQ179" t="s">
        <v>74</v>
      </c>
      <c r="AR179" t="s">
        <v>3172</v>
      </c>
      <c r="AS179" t="s">
        <v>3173</v>
      </c>
      <c r="AT179" t="s">
        <v>74</v>
      </c>
      <c r="AU179">
        <v>2011</v>
      </c>
      <c r="AV179">
        <v>57</v>
      </c>
      <c r="AW179">
        <v>204</v>
      </c>
      <c r="AX179" t="s">
        <v>74</v>
      </c>
      <c r="AY179" t="s">
        <v>74</v>
      </c>
      <c r="AZ179" t="s">
        <v>74</v>
      </c>
      <c r="BA179" t="s">
        <v>74</v>
      </c>
      <c r="BB179">
        <v>658</v>
      </c>
      <c r="BC179">
        <v>666</v>
      </c>
      <c r="BD179" t="s">
        <v>74</v>
      </c>
      <c r="BE179" t="s">
        <v>74</v>
      </c>
      <c r="BF179" t="s">
        <v>74</v>
      </c>
      <c r="BG179" t="s">
        <v>74</v>
      </c>
      <c r="BH179" t="s">
        <v>74</v>
      </c>
      <c r="BI179">
        <v>9</v>
      </c>
      <c r="BJ179" t="s">
        <v>222</v>
      </c>
      <c r="BK179" t="s">
        <v>100</v>
      </c>
      <c r="BL179" t="s">
        <v>223</v>
      </c>
      <c r="BM179" t="s">
        <v>3416</v>
      </c>
      <c r="BN179" t="s">
        <v>74</v>
      </c>
      <c r="BO179" t="s">
        <v>74</v>
      </c>
      <c r="BP179" t="s">
        <v>74</v>
      </c>
      <c r="BQ179" t="s">
        <v>74</v>
      </c>
      <c r="BR179" t="s">
        <v>103</v>
      </c>
      <c r="BS179" t="s">
        <v>3449</v>
      </c>
      <c r="BT179" t="str">
        <f>HYPERLINK("https%3A%2F%2Fwww.webofscience.com%2Fwos%2Fwoscc%2Ffull-record%2FWOS:000295019400008","View Full Record in Web of Science")</f>
        <v>View Full Record in Web of Science</v>
      </c>
    </row>
    <row r="180" spans="1:72" x14ac:dyDescent="0.15">
      <c r="A180" t="s">
        <v>72</v>
      </c>
      <c r="B180" t="s">
        <v>3450</v>
      </c>
      <c r="C180" t="s">
        <v>74</v>
      </c>
      <c r="D180" t="s">
        <v>74</v>
      </c>
      <c r="E180" t="s">
        <v>74</v>
      </c>
      <c r="F180" t="s">
        <v>3451</v>
      </c>
      <c r="G180" t="s">
        <v>74</v>
      </c>
      <c r="H180" t="s">
        <v>74</v>
      </c>
      <c r="I180" t="s">
        <v>3452</v>
      </c>
      <c r="J180" t="s">
        <v>3158</v>
      </c>
      <c r="K180" t="s">
        <v>74</v>
      </c>
      <c r="L180" t="s">
        <v>74</v>
      </c>
      <c r="M180" t="s">
        <v>78</v>
      </c>
      <c r="N180" t="s">
        <v>79</v>
      </c>
      <c r="O180" t="s">
        <v>74</v>
      </c>
      <c r="P180" t="s">
        <v>74</v>
      </c>
      <c r="Q180" t="s">
        <v>74</v>
      </c>
      <c r="R180" t="s">
        <v>74</v>
      </c>
      <c r="S180" t="s">
        <v>74</v>
      </c>
      <c r="T180" t="s">
        <v>74</v>
      </c>
      <c r="U180" t="s">
        <v>3453</v>
      </c>
      <c r="V180" t="s">
        <v>3454</v>
      </c>
      <c r="W180" t="s">
        <v>3455</v>
      </c>
      <c r="X180" t="s">
        <v>3456</v>
      </c>
      <c r="Y180" t="s">
        <v>3457</v>
      </c>
      <c r="Z180" t="s">
        <v>3458</v>
      </c>
      <c r="AA180" t="s">
        <v>74</v>
      </c>
      <c r="AB180" t="s">
        <v>3459</v>
      </c>
      <c r="AC180" t="s">
        <v>3460</v>
      </c>
      <c r="AD180" t="s">
        <v>3461</v>
      </c>
      <c r="AE180" t="s">
        <v>3462</v>
      </c>
      <c r="AF180" t="s">
        <v>74</v>
      </c>
      <c r="AG180">
        <v>36</v>
      </c>
      <c r="AH180">
        <v>36</v>
      </c>
      <c r="AI180">
        <v>49</v>
      </c>
      <c r="AJ180">
        <v>0</v>
      </c>
      <c r="AK180">
        <v>20</v>
      </c>
      <c r="AL180" t="s">
        <v>90</v>
      </c>
      <c r="AM180" t="s">
        <v>2335</v>
      </c>
      <c r="AN180" t="s">
        <v>3413</v>
      </c>
      <c r="AO180" t="s">
        <v>3171</v>
      </c>
      <c r="AP180" t="s">
        <v>3414</v>
      </c>
      <c r="AQ180" t="s">
        <v>74</v>
      </c>
      <c r="AR180" t="s">
        <v>3172</v>
      </c>
      <c r="AS180" t="s">
        <v>3173</v>
      </c>
      <c r="AT180" t="s">
        <v>74</v>
      </c>
      <c r="AU180">
        <v>2011</v>
      </c>
      <c r="AV180">
        <v>57</v>
      </c>
      <c r="AW180">
        <v>204</v>
      </c>
      <c r="AX180" t="s">
        <v>74</v>
      </c>
      <c r="AY180" t="s">
        <v>74</v>
      </c>
      <c r="AZ180" t="s">
        <v>74</v>
      </c>
      <c r="BA180" t="s">
        <v>74</v>
      </c>
      <c r="BB180">
        <v>684</v>
      </c>
      <c r="BC180">
        <v>696</v>
      </c>
      <c r="BD180" t="s">
        <v>74</v>
      </c>
      <c r="BE180" t="s">
        <v>3463</v>
      </c>
      <c r="BF180" t="str">
        <f>HYPERLINK("http://dx.doi.org/10.3189/002214311797409767","http://dx.doi.org/10.3189/002214311797409767")</f>
        <v>http://dx.doi.org/10.3189/002214311797409767</v>
      </c>
      <c r="BG180" t="s">
        <v>74</v>
      </c>
      <c r="BH180" t="s">
        <v>74</v>
      </c>
      <c r="BI180">
        <v>13</v>
      </c>
      <c r="BJ180" t="s">
        <v>222</v>
      </c>
      <c r="BK180" t="s">
        <v>100</v>
      </c>
      <c r="BL180" t="s">
        <v>223</v>
      </c>
      <c r="BM180" t="s">
        <v>3416</v>
      </c>
      <c r="BN180" t="s">
        <v>74</v>
      </c>
      <c r="BO180" t="s">
        <v>252</v>
      </c>
      <c r="BP180" t="s">
        <v>74</v>
      </c>
      <c r="BQ180" t="s">
        <v>74</v>
      </c>
      <c r="BR180" t="s">
        <v>103</v>
      </c>
      <c r="BS180" t="s">
        <v>3464</v>
      </c>
      <c r="BT180" t="str">
        <f>HYPERLINK("https%3A%2F%2Fwww.webofscience.com%2Fwos%2Fwoscc%2Ffull-record%2FWOS:000295019400010","View Full Record in Web of Science")</f>
        <v>View Full Record in Web of Science</v>
      </c>
    </row>
    <row r="181" spans="1:72" x14ac:dyDescent="0.15">
      <c r="A181" t="s">
        <v>72</v>
      </c>
      <c r="B181" t="s">
        <v>3465</v>
      </c>
      <c r="C181" t="s">
        <v>74</v>
      </c>
      <c r="D181" t="s">
        <v>74</v>
      </c>
      <c r="E181" t="s">
        <v>74</v>
      </c>
      <c r="F181" t="s">
        <v>3466</v>
      </c>
      <c r="G181" t="s">
        <v>74</v>
      </c>
      <c r="H181" t="s">
        <v>74</v>
      </c>
      <c r="I181" t="s">
        <v>3467</v>
      </c>
      <c r="J181" t="s">
        <v>3158</v>
      </c>
      <c r="K181" t="s">
        <v>74</v>
      </c>
      <c r="L181" t="s">
        <v>74</v>
      </c>
      <c r="M181" t="s">
        <v>78</v>
      </c>
      <c r="N181" t="s">
        <v>79</v>
      </c>
      <c r="O181" t="s">
        <v>74</v>
      </c>
      <c r="P181" t="s">
        <v>74</v>
      </c>
      <c r="Q181" t="s">
        <v>74</v>
      </c>
      <c r="R181" t="s">
        <v>74</v>
      </c>
      <c r="S181" t="s">
        <v>74</v>
      </c>
      <c r="T181" t="s">
        <v>74</v>
      </c>
      <c r="U181" t="s">
        <v>3468</v>
      </c>
      <c r="V181" t="s">
        <v>3469</v>
      </c>
      <c r="W181" t="s">
        <v>3470</v>
      </c>
      <c r="X181" t="s">
        <v>3471</v>
      </c>
      <c r="Y181" t="s">
        <v>3472</v>
      </c>
      <c r="Z181" t="s">
        <v>3473</v>
      </c>
      <c r="AA181" t="s">
        <v>3474</v>
      </c>
      <c r="AB181" t="s">
        <v>3475</v>
      </c>
      <c r="AC181" t="s">
        <v>3476</v>
      </c>
      <c r="AD181" t="s">
        <v>3477</v>
      </c>
      <c r="AE181" t="s">
        <v>3478</v>
      </c>
      <c r="AF181" t="s">
        <v>74</v>
      </c>
      <c r="AG181">
        <v>59</v>
      </c>
      <c r="AH181">
        <v>41</v>
      </c>
      <c r="AI181">
        <v>42</v>
      </c>
      <c r="AJ181">
        <v>1</v>
      </c>
      <c r="AK181">
        <v>17</v>
      </c>
      <c r="AL181" t="s">
        <v>90</v>
      </c>
      <c r="AM181" t="s">
        <v>2335</v>
      </c>
      <c r="AN181" t="s">
        <v>3413</v>
      </c>
      <c r="AO181" t="s">
        <v>3171</v>
      </c>
      <c r="AP181" t="s">
        <v>3414</v>
      </c>
      <c r="AQ181" t="s">
        <v>74</v>
      </c>
      <c r="AR181" t="s">
        <v>3172</v>
      </c>
      <c r="AS181" t="s">
        <v>3173</v>
      </c>
      <c r="AT181" t="s">
        <v>74</v>
      </c>
      <c r="AU181">
        <v>2011</v>
      </c>
      <c r="AV181">
        <v>57</v>
      </c>
      <c r="AW181">
        <v>204</v>
      </c>
      <c r="AX181" t="s">
        <v>74</v>
      </c>
      <c r="AY181" t="s">
        <v>74</v>
      </c>
      <c r="AZ181" t="s">
        <v>74</v>
      </c>
      <c r="BA181" t="s">
        <v>74</v>
      </c>
      <c r="BB181">
        <v>721</v>
      </c>
      <c r="BC181">
        <v>736</v>
      </c>
      <c r="BD181" t="s">
        <v>74</v>
      </c>
      <c r="BE181" t="s">
        <v>3479</v>
      </c>
      <c r="BF181" t="str">
        <f>HYPERLINK("http://dx.doi.org/10.3189/002214311797409794","http://dx.doi.org/10.3189/002214311797409794")</f>
        <v>http://dx.doi.org/10.3189/002214311797409794</v>
      </c>
      <c r="BG181" t="s">
        <v>74</v>
      </c>
      <c r="BH181" t="s">
        <v>74</v>
      </c>
      <c r="BI181">
        <v>16</v>
      </c>
      <c r="BJ181" t="s">
        <v>222</v>
      </c>
      <c r="BK181" t="s">
        <v>100</v>
      </c>
      <c r="BL181" t="s">
        <v>223</v>
      </c>
      <c r="BM181" t="s">
        <v>3416</v>
      </c>
      <c r="BN181" t="s">
        <v>74</v>
      </c>
      <c r="BO181" t="s">
        <v>3320</v>
      </c>
      <c r="BP181" t="s">
        <v>74</v>
      </c>
      <c r="BQ181" t="s">
        <v>74</v>
      </c>
      <c r="BR181" t="s">
        <v>103</v>
      </c>
      <c r="BS181" t="s">
        <v>3480</v>
      </c>
      <c r="BT181" t="str">
        <f>HYPERLINK("https%3A%2F%2Fwww.webofscience.com%2Fwos%2Fwoscc%2Ffull-record%2FWOS:000295019400013","View Full Record in Web of Science")</f>
        <v>View Full Record in Web of Science</v>
      </c>
    </row>
    <row r="182" spans="1:72" x14ac:dyDescent="0.15">
      <c r="A182" t="s">
        <v>72</v>
      </c>
      <c r="B182" t="s">
        <v>3481</v>
      </c>
      <c r="C182" t="s">
        <v>74</v>
      </c>
      <c r="D182" t="s">
        <v>74</v>
      </c>
      <c r="E182" t="s">
        <v>74</v>
      </c>
      <c r="F182" t="s">
        <v>3482</v>
      </c>
      <c r="G182" t="s">
        <v>74</v>
      </c>
      <c r="H182" t="s">
        <v>74</v>
      </c>
      <c r="I182" t="s">
        <v>3483</v>
      </c>
      <c r="J182" t="s">
        <v>3158</v>
      </c>
      <c r="K182" t="s">
        <v>74</v>
      </c>
      <c r="L182" t="s">
        <v>74</v>
      </c>
      <c r="M182" t="s">
        <v>78</v>
      </c>
      <c r="N182" t="s">
        <v>79</v>
      </c>
      <c r="O182" t="s">
        <v>74</v>
      </c>
      <c r="P182" t="s">
        <v>74</v>
      </c>
      <c r="Q182" t="s">
        <v>74</v>
      </c>
      <c r="R182" t="s">
        <v>74</v>
      </c>
      <c r="S182" t="s">
        <v>74</v>
      </c>
      <c r="T182" t="s">
        <v>74</v>
      </c>
      <c r="U182" t="s">
        <v>3484</v>
      </c>
      <c r="V182" t="s">
        <v>3485</v>
      </c>
      <c r="W182" t="s">
        <v>3486</v>
      </c>
      <c r="X182" t="s">
        <v>3487</v>
      </c>
      <c r="Y182" t="s">
        <v>3488</v>
      </c>
      <c r="Z182" t="s">
        <v>3489</v>
      </c>
      <c r="AA182" t="s">
        <v>3490</v>
      </c>
      <c r="AB182" t="s">
        <v>3491</v>
      </c>
      <c r="AC182" t="s">
        <v>3492</v>
      </c>
      <c r="AD182" t="s">
        <v>3493</v>
      </c>
      <c r="AE182" t="s">
        <v>3494</v>
      </c>
      <c r="AF182" t="s">
        <v>74</v>
      </c>
      <c r="AG182">
        <v>22</v>
      </c>
      <c r="AH182">
        <v>7</v>
      </c>
      <c r="AI182">
        <v>10</v>
      </c>
      <c r="AJ182">
        <v>1</v>
      </c>
      <c r="AK182">
        <v>5</v>
      </c>
      <c r="AL182" t="s">
        <v>90</v>
      </c>
      <c r="AM182" t="s">
        <v>2335</v>
      </c>
      <c r="AN182" t="s">
        <v>3413</v>
      </c>
      <c r="AO182" t="s">
        <v>3171</v>
      </c>
      <c r="AP182" t="s">
        <v>3414</v>
      </c>
      <c r="AQ182" t="s">
        <v>74</v>
      </c>
      <c r="AR182" t="s">
        <v>3172</v>
      </c>
      <c r="AS182" t="s">
        <v>3173</v>
      </c>
      <c r="AT182" t="s">
        <v>74</v>
      </c>
      <c r="AU182">
        <v>2011</v>
      </c>
      <c r="AV182">
        <v>57</v>
      </c>
      <c r="AW182">
        <v>204</v>
      </c>
      <c r="AX182" t="s">
        <v>74</v>
      </c>
      <c r="AY182" t="s">
        <v>74</v>
      </c>
      <c r="AZ182" t="s">
        <v>74</v>
      </c>
      <c r="BA182" t="s">
        <v>74</v>
      </c>
      <c r="BB182">
        <v>763</v>
      </c>
      <c r="BC182">
        <v>769</v>
      </c>
      <c r="BD182" t="s">
        <v>74</v>
      </c>
      <c r="BE182" t="s">
        <v>3495</v>
      </c>
      <c r="BF182" t="str">
        <f>HYPERLINK("http://dx.doi.org/10.3189/002214311797409721","http://dx.doi.org/10.3189/002214311797409721")</f>
        <v>http://dx.doi.org/10.3189/002214311797409721</v>
      </c>
      <c r="BG182" t="s">
        <v>74</v>
      </c>
      <c r="BH182" t="s">
        <v>74</v>
      </c>
      <c r="BI182">
        <v>7</v>
      </c>
      <c r="BJ182" t="s">
        <v>222</v>
      </c>
      <c r="BK182" t="s">
        <v>100</v>
      </c>
      <c r="BL182" t="s">
        <v>223</v>
      </c>
      <c r="BM182" t="s">
        <v>3416</v>
      </c>
      <c r="BN182" t="s">
        <v>74</v>
      </c>
      <c r="BO182" t="s">
        <v>252</v>
      </c>
      <c r="BP182" t="s">
        <v>74</v>
      </c>
      <c r="BQ182" t="s">
        <v>74</v>
      </c>
      <c r="BR182" t="s">
        <v>103</v>
      </c>
      <c r="BS182" t="s">
        <v>3496</v>
      </c>
      <c r="BT182" t="str">
        <f>HYPERLINK("https%3A%2F%2Fwww.webofscience.com%2Fwos%2Fwoscc%2Ffull-record%2FWOS:000295019400016","View Full Record in Web of Science")</f>
        <v>View Full Record in Web of Science</v>
      </c>
    </row>
    <row r="183" spans="1:72" x14ac:dyDescent="0.15">
      <c r="A183" t="s">
        <v>2017</v>
      </c>
      <c r="B183" t="s">
        <v>3497</v>
      </c>
      <c r="C183" t="s">
        <v>74</v>
      </c>
      <c r="D183" t="s">
        <v>3498</v>
      </c>
      <c r="E183" t="s">
        <v>74</v>
      </c>
      <c r="F183" t="s">
        <v>3499</v>
      </c>
      <c r="G183" t="s">
        <v>74</v>
      </c>
      <c r="H183" t="s">
        <v>74</v>
      </c>
      <c r="I183" t="s">
        <v>3500</v>
      </c>
      <c r="J183" t="s">
        <v>3501</v>
      </c>
      <c r="K183" t="s">
        <v>3349</v>
      </c>
      <c r="L183" t="s">
        <v>74</v>
      </c>
      <c r="M183" t="s">
        <v>78</v>
      </c>
      <c r="N183" t="s">
        <v>2370</v>
      </c>
      <c r="O183" t="s">
        <v>74</v>
      </c>
      <c r="P183" t="s">
        <v>74</v>
      </c>
      <c r="Q183" t="s">
        <v>74</v>
      </c>
      <c r="R183" t="s">
        <v>74</v>
      </c>
      <c r="S183" t="s">
        <v>74</v>
      </c>
      <c r="T183" t="s">
        <v>74</v>
      </c>
      <c r="U183" t="s">
        <v>3502</v>
      </c>
      <c r="V183" t="s">
        <v>74</v>
      </c>
      <c r="W183" t="s">
        <v>3503</v>
      </c>
      <c r="X183" t="s">
        <v>3504</v>
      </c>
      <c r="Y183" t="s">
        <v>3505</v>
      </c>
      <c r="Z183" t="s">
        <v>3506</v>
      </c>
      <c r="AA183" t="s">
        <v>3507</v>
      </c>
      <c r="AB183" t="s">
        <v>3508</v>
      </c>
      <c r="AC183" t="s">
        <v>74</v>
      </c>
      <c r="AD183" t="s">
        <v>74</v>
      </c>
      <c r="AE183" t="s">
        <v>74</v>
      </c>
      <c r="AF183" t="s">
        <v>74</v>
      </c>
      <c r="AG183">
        <v>126</v>
      </c>
      <c r="AH183">
        <v>9</v>
      </c>
      <c r="AI183">
        <v>10</v>
      </c>
      <c r="AJ183">
        <v>0</v>
      </c>
      <c r="AK183">
        <v>5</v>
      </c>
      <c r="AL183" t="s">
        <v>270</v>
      </c>
      <c r="AM183" t="s">
        <v>271</v>
      </c>
      <c r="AN183" t="s">
        <v>2419</v>
      </c>
      <c r="AO183" t="s">
        <v>3357</v>
      </c>
      <c r="AP183" t="s">
        <v>74</v>
      </c>
      <c r="AQ183" t="s">
        <v>3509</v>
      </c>
      <c r="AR183" t="s">
        <v>3359</v>
      </c>
      <c r="AS183" t="s">
        <v>3360</v>
      </c>
      <c r="AT183" t="s">
        <v>74</v>
      </c>
      <c r="AU183">
        <v>2011</v>
      </c>
      <c r="AV183">
        <v>19</v>
      </c>
      <c r="AW183" t="s">
        <v>74</v>
      </c>
      <c r="AX183" t="s">
        <v>74</v>
      </c>
      <c r="AY183" t="s">
        <v>74</v>
      </c>
      <c r="AZ183" t="s">
        <v>74</v>
      </c>
      <c r="BA183" t="s">
        <v>74</v>
      </c>
      <c r="BB183">
        <v>491</v>
      </c>
      <c r="BC183">
        <v>512</v>
      </c>
      <c r="BD183" t="s">
        <v>74</v>
      </c>
      <c r="BE183" t="s">
        <v>3510</v>
      </c>
      <c r="BF183" t="str">
        <f>HYPERLINK("http://dx.doi.org/10.1007/978-94-007-1327-7_22","http://dx.doi.org/10.1007/978-94-007-1327-7_22")</f>
        <v>http://dx.doi.org/10.1007/978-94-007-1327-7_22</v>
      </c>
      <c r="BG183" t="s">
        <v>3511</v>
      </c>
      <c r="BH183" t="s">
        <v>74</v>
      </c>
      <c r="BI183">
        <v>22</v>
      </c>
      <c r="BJ183" t="s">
        <v>3512</v>
      </c>
      <c r="BK183" t="s">
        <v>2384</v>
      </c>
      <c r="BL183" t="s">
        <v>3513</v>
      </c>
      <c r="BM183" t="s">
        <v>3514</v>
      </c>
      <c r="BN183" t="s">
        <v>74</v>
      </c>
      <c r="BO183" t="s">
        <v>74</v>
      </c>
      <c r="BP183" t="s">
        <v>74</v>
      </c>
      <c r="BQ183" t="s">
        <v>74</v>
      </c>
      <c r="BR183" t="s">
        <v>103</v>
      </c>
      <c r="BS183" t="s">
        <v>3515</v>
      </c>
      <c r="BT183" t="str">
        <f>HYPERLINK("https%3A%2F%2Fwww.webofscience.com%2Fwos%2Fwoscc%2Ffull-record%2FWOS:000294888400023","View Full Record in Web of Science")</f>
        <v>View Full Record in Web of Science</v>
      </c>
    </row>
    <row r="184" spans="1:72" x14ac:dyDescent="0.15">
      <c r="A184" t="s">
        <v>2268</v>
      </c>
      <c r="B184" t="s">
        <v>3516</v>
      </c>
      <c r="C184" t="s">
        <v>74</v>
      </c>
      <c r="D184" t="s">
        <v>3517</v>
      </c>
      <c r="E184" t="s">
        <v>74</v>
      </c>
      <c r="F184" t="s">
        <v>3518</v>
      </c>
      <c r="G184" t="s">
        <v>74</v>
      </c>
      <c r="H184" t="s">
        <v>74</v>
      </c>
      <c r="I184" t="s">
        <v>3519</v>
      </c>
      <c r="J184" t="s">
        <v>3520</v>
      </c>
      <c r="K184" t="s">
        <v>3521</v>
      </c>
      <c r="L184" t="s">
        <v>74</v>
      </c>
      <c r="M184" t="s">
        <v>78</v>
      </c>
      <c r="N184" t="s">
        <v>2275</v>
      </c>
      <c r="O184" t="s">
        <v>3522</v>
      </c>
      <c r="P184" t="s">
        <v>3523</v>
      </c>
      <c r="Q184" t="s">
        <v>3524</v>
      </c>
      <c r="R184" t="s">
        <v>74</v>
      </c>
      <c r="S184" t="s">
        <v>74</v>
      </c>
      <c r="T184" t="s">
        <v>3525</v>
      </c>
      <c r="U184" t="s">
        <v>3526</v>
      </c>
      <c r="V184" t="s">
        <v>3527</v>
      </c>
      <c r="W184" t="s">
        <v>3528</v>
      </c>
      <c r="X184" t="s">
        <v>3529</v>
      </c>
      <c r="Y184" t="s">
        <v>3530</v>
      </c>
      <c r="Z184" t="s">
        <v>74</v>
      </c>
      <c r="AA184" t="s">
        <v>3531</v>
      </c>
      <c r="AB184" t="s">
        <v>3532</v>
      </c>
      <c r="AC184" t="s">
        <v>74</v>
      </c>
      <c r="AD184" t="s">
        <v>74</v>
      </c>
      <c r="AE184" t="s">
        <v>74</v>
      </c>
      <c r="AF184" t="s">
        <v>74</v>
      </c>
      <c r="AG184">
        <v>10</v>
      </c>
      <c r="AH184">
        <v>0</v>
      </c>
      <c r="AI184">
        <v>0</v>
      </c>
      <c r="AJ184">
        <v>0</v>
      </c>
      <c r="AK184">
        <v>5</v>
      </c>
      <c r="AL184" t="s">
        <v>639</v>
      </c>
      <c r="AM184" t="s">
        <v>640</v>
      </c>
      <c r="AN184" t="s">
        <v>3533</v>
      </c>
      <c r="AO184" t="s">
        <v>3534</v>
      </c>
      <c r="AP184" t="s">
        <v>74</v>
      </c>
      <c r="AQ184" t="s">
        <v>3535</v>
      </c>
      <c r="AR184" t="s">
        <v>3536</v>
      </c>
      <c r="AS184" t="s">
        <v>74</v>
      </c>
      <c r="AT184" t="s">
        <v>74</v>
      </c>
      <c r="AU184">
        <v>2011</v>
      </c>
      <c r="AV184">
        <v>29</v>
      </c>
      <c r="AW184" t="s">
        <v>74</v>
      </c>
      <c r="AX184" t="s">
        <v>74</v>
      </c>
      <c r="AY184" t="s">
        <v>74</v>
      </c>
      <c r="AZ184" t="s">
        <v>74</v>
      </c>
      <c r="BA184" t="s">
        <v>74</v>
      </c>
      <c r="BB184">
        <v>1411</v>
      </c>
      <c r="BC184">
        <v>1415</v>
      </c>
      <c r="BD184" t="s">
        <v>74</v>
      </c>
      <c r="BE184" t="s">
        <v>74</v>
      </c>
      <c r="BF184" t="s">
        <v>74</v>
      </c>
      <c r="BG184" t="s">
        <v>74</v>
      </c>
      <c r="BH184" t="s">
        <v>74</v>
      </c>
      <c r="BI184">
        <v>5</v>
      </c>
      <c r="BJ184" t="s">
        <v>3537</v>
      </c>
      <c r="BK184" t="s">
        <v>2292</v>
      </c>
      <c r="BL184" t="s">
        <v>2993</v>
      </c>
      <c r="BM184" t="s">
        <v>3538</v>
      </c>
      <c r="BN184" t="s">
        <v>74</v>
      </c>
      <c r="BO184" t="s">
        <v>74</v>
      </c>
      <c r="BP184" t="s">
        <v>74</v>
      </c>
      <c r="BQ184" t="s">
        <v>74</v>
      </c>
      <c r="BR184" t="s">
        <v>103</v>
      </c>
      <c r="BS184" t="s">
        <v>3539</v>
      </c>
      <c r="BT184" t="str">
        <f>HYPERLINK("https%3A%2F%2Fwww.webofscience.com%2Fwos%2Fwoscc%2Ffull-record%2FWOS:000294218900282","View Full Record in Web of Science")</f>
        <v>View Full Record in Web of Science</v>
      </c>
    </row>
    <row r="185" spans="1:72" x14ac:dyDescent="0.15">
      <c r="A185" t="s">
        <v>2017</v>
      </c>
      <c r="B185" t="s">
        <v>3540</v>
      </c>
      <c r="C185" t="s">
        <v>74</v>
      </c>
      <c r="D185" t="s">
        <v>3541</v>
      </c>
      <c r="E185" t="s">
        <v>74</v>
      </c>
      <c r="F185" t="s">
        <v>3542</v>
      </c>
      <c r="G185" t="s">
        <v>74</v>
      </c>
      <c r="H185" t="s">
        <v>74</v>
      </c>
      <c r="I185" t="s">
        <v>3543</v>
      </c>
      <c r="J185" t="s">
        <v>3544</v>
      </c>
      <c r="K185" t="s">
        <v>3545</v>
      </c>
      <c r="L185" t="s">
        <v>74</v>
      </c>
      <c r="M185" t="s">
        <v>78</v>
      </c>
      <c r="N185" t="s">
        <v>2370</v>
      </c>
      <c r="O185" t="s">
        <v>74</v>
      </c>
      <c r="P185" t="s">
        <v>74</v>
      </c>
      <c r="Q185" t="s">
        <v>74</v>
      </c>
      <c r="R185" t="s">
        <v>74</v>
      </c>
      <c r="S185" t="s">
        <v>74</v>
      </c>
      <c r="T185" t="s">
        <v>3546</v>
      </c>
      <c r="U185" t="s">
        <v>3547</v>
      </c>
      <c r="V185" t="s">
        <v>3548</v>
      </c>
      <c r="W185" t="s">
        <v>3549</v>
      </c>
      <c r="X185" t="s">
        <v>3550</v>
      </c>
      <c r="Y185" t="s">
        <v>3551</v>
      </c>
      <c r="Z185" t="s">
        <v>3552</v>
      </c>
      <c r="AA185" t="s">
        <v>3553</v>
      </c>
      <c r="AB185" t="s">
        <v>3554</v>
      </c>
      <c r="AC185" t="s">
        <v>3555</v>
      </c>
      <c r="AD185" t="s">
        <v>3556</v>
      </c>
      <c r="AE185" t="s">
        <v>74</v>
      </c>
      <c r="AF185" t="s">
        <v>74</v>
      </c>
      <c r="AG185">
        <v>66</v>
      </c>
      <c r="AH185">
        <v>10</v>
      </c>
      <c r="AI185">
        <v>12</v>
      </c>
      <c r="AJ185">
        <v>0</v>
      </c>
      <c r="AK185">
        <v>1</v>
      </c>
      <c r="AL185" t="s">
        <v>270</v>
      </c>
      <c r="AM185" t="s">
        <v>271</v>
      </c>
      <c r="AN185" t="s">
        <v>2419</v>
      </c>
      <c r="AO185" t="s">
        <v>3557</v>
      </c>
      <c r="AP185" t="s">
        <v>74</v>
      </c>
      <c r="AQ185" t="s">
        <v>3558</v>
      </c>
      <c r="AR185" t="s">
        <v>3559</v>
      </c>
      <c r="AS185" t="s">
        <v>74</v>
      </c>
      <c r="AT185" t="s">
        <v>74</v>
      </c>
      <c r="AU185">
        <v>2011</v>
      </c>
      <c r="AV185">
        <v>8</v>
      </c>
      <c r="AW185" t="s">
        <v>74</v>
      </c>
      <c r="AX185" t="s">
        <v>74</v>
      </c>
      <c r="AY185" t="s">
        <v>74</v>
      </c>
      <c r="AZ185" t="s">
        <v>74</v>
      </c>
      <c r="BA185" t="s">
        <v>74</v>
      </c>
      <c r="BB185">
        <v>149</v>
      </c>
      <c r="BC185">
        <v>168</v>
      </c>
      <c r="BD185" t="s">
        <v>74</v>
      </c>
      <c r="BE185" t="s">
        <v>3560</v>
      </c>
      <c r="BF185" t="str">
        <f>HYPERLINK("http://dx.doi.org/10.1007/978-90-481-8885-7_7","http://dx.doi.org/10.1007/978-90-481-8885-7_7")</f>
        <v>http://dx.doi.org/10.1007/978-90-481-8885-7_7</v>
      </c>
      <c r="BG185" t="s">
        <v>3561</v>
      </c>
      <c r="BH185" t="s">
        <v>74</v>
      </c>
      <c r="BI185">
        <v>20</v>
      </c>
      <c r="BJ185" t="s">
        <v>3562</v>
      </c>
      <c r="BK185" t="s">
        <v>2384</v>
      </c>
      <c r="BL185" t="s">
        <v>3563</v>
      </c>
      <c r="BM185" t="s">
        <v>3564</v>
      </c>
      <c r="BN185" t="s">
        <v>74</v>
      </c>
      <c r="BO185" t="s">
        <v>74</v>
      </c>
      <c r="BP185" t="s">
        <v>74</v>
      </c>
      <c r="BQ185" t="s">
        <v>74</v>
      </c>
      <c r="BR185" t="s">
        <v>103</v>
      </c>
      <c r="BS185" t="s">
        <v>3565</v>
      </c>
      <c r="BT185" t="str">
        <f>HYPERLINK("https%3A%2F%2Fwww.webofscience.com%2Fwos%2Fwoscc%2Ffull-record%2FWOS:000291956000007","View Full Record in Web of Science")</f>
        <v>View Full Record in Web of Science</v>
      </c>
    </row>
    <row r="186" spans="1:72" x14ac:dyDescent="0.15">
      <c r="A186" t="s">
        <v>72</v>
      </c>
      <c r="B186" t="s">
        <v>3566</v>
      </c>
      <c r="C186" t="s">
        <v>74</v>
      </c>
      <c r="D186" t="s">
        <v>74</v>
      </c>
      <c r="E186" t="s">
        <v>74</v>
      </c>
      <c r="F186" t="s">
        <v>3567</v>
      </c>
      <c r="G186" t="s">
        <v>74</v>
      </c>
      <c r="H186" t="s">
        <v>74</v>
      </c>
      <c r="I186" t="s">
        <v>3568</v>
      </c>
      <c r="J186" t="s">
        <v>3221</v>
      </c>
      <c r="K186" t="s">
        <v>74</v>
      </c>
      <c r="L186" t="s">
        <v>74</v>
      </c>
      <c r="M186" t="s">
        <v>78</v>
      </c>
      <c r="N186" t="s">
        <v>79</v>
      </c>
      <c r="O186" t="s">
        <v>74</v>
      </c>
      <c r="P186" t="s">
        <v>74</v>
      </c>
      <c r="Q186" t="s">
        <v>74</v>
      </c>
      <c r="R186" t="s">
        <v>74</v>
      </c>
      <c r="S186" t="s">
        <v>74</v>
      </c>
      <c r="T186" t="s">
        <v>3569</v>
      </c>
      <c r="U186" t="s">
        <v>3570</v>
      </c>
      <c r="V186" t="s">
        <v>3571</v>
      </c>
      <c r="W186" t="s">
        <v>3572</v>
      </c>
      <c r="X186" t="s">
        <v>3573</v>
      </c>
      <c r="Y186" t="s">
        <v>3574</v>
      </c>
      <c r="Z186" t="s">
        <v>3575</v>
      </c>
      <c r="AA186" t="s">
        <v>74</v>
      </c>
      <c r="AB186" t="s">
        <v>3576</v>
      </c>
      <c r="AC186" t="s">
        <v>3577</v>
      </c>
      <c r="AD186" t="s">
        <v>3578</v>
      </c>
      <c r="AE186" t="s">
        <v>3579</v>
      </c>
      <c r="AF186" t="s">
        <v>74</v>
      </c>
      <c r="AG186">
        <v>58</v>
      </c>
      <c r="AH186">
        <v>40</v>
      </c>
      <c r="AI186">
        <v>43</v>
      </c>
      <c r="AJ186">
        <v>1</v>
      </c>
      <c r="AK186">
        <v>38</v>
      </c>
      <c r="AL186" t="s">
        <v>3232</v>
      </c>
      <c r="AM186" t="s">
        <v>3233</v>
      </c>
      <c r="AN186" t="s">
        <v>3234</v>
      </c>
      <c r="AO186" t="s">
        <v>3235</v>
      </c>
      <c r="AP186" t="s">
        <v>3236</v>
      </c>
      <c r="AQ186" t="s">
        <v>74</v>
      </c>
      <c r="AR186" t="s">
        <v>3237</v>
      </c>
      <c r="AS186" t="s">
        <v>3238</v>
      </c>
      <c r="AT186" t="s">
        <v>74</v>
      </c>
      <c r="AU186">
        <v>2011</v>
      </c>
      <c r="AV186">
        <v>436</v>
      </c>
      <c r="AW186" t="s">
        <v>74</v>
      </c>
      <c r="AX186" t="s">
        <v>74</v>
      </c>
      <c r="AY186" t="s">
        <v>74</v>
      </c>
      <c r="AZ186" t="s">
        <v>74</v>
      </c>
      <c r="BA186" t="s">
        <v>74</v>
      </c>
      <c r="BB186">
        <v>1</v>
      </c>
      <c r="BC186">
        <v>16</v>
      </c>
      <c r="BD186" t="s">
        <v>74</v>
      </c>
      <c r="BE186" t="s">
        <v>3580</v>
      </c>
      <c r="BF186" t="str">
        <f>HYPERLINK("http://dx.doi.org/10.3354/meps09277","http://dx.doi.org/10.3354/meps09277")</f>
        <v>http://dx.doi.org/10.3354/meps09277</v>
      </c>
      <c r="BG186" t="s">
        <v>74</v>
      </c>
      <c r="BH186" t="s">
        <v>74</v>
      </c>
      <c r="BI186">
        <v>16</v>
      </c>
      <c r="BJ186" t="s">
        <v>3240</v>
      </c>
      <c r="BK186" t="s">
        <v>100</v>
      </c>
      <c r="BL186" t="s">
        <v>3241</v>
      </c>
      <c r="BM186" t="s">
        <v>3581</v>
      </c>
      <c r="BN186" t="s">
        <v>74</v>
      </c>
      <c r="BO186" t="s">
        <v>252</v>
      </c>
      <c r="BP186" t="s">
        <v>74</v>
      </c>
      <c r="BQ186" t="s">
        <v>74</v>
      </c>
      <c r="BR186" t="s">
        <v>103</v>
      </c>
      <c r="BS186" t="s">
        <v>3582</v>
      </c>
      <c r="BT186" t="str">
        <f>HYPERLINK("https%3A%2F%2Fwww.webofscience.com%2Fwos%2Fwoscc%2Ffull-record%2FWOS:000294619800001","View Full Record in Web of Science")</f>
        <v>View Full Record in Web of Science</v>
      </c>
    </row>
    <row r="187" spans="1:72" x14ac:dyDescent="0.15">
      <c r="A187" t="s">
        <v>72</v>
      </c>
      <c r="B187" t="s">
        <v>3583</v>
      </c>
      <c r="C187" t="s">
        <v>74</v>
      </c>
      <c r="D187" t="s">
        <v>74</v>
      </c>
      <c r="E187" t="s">
        <v>74</v>
      </c>
      <c r="F187" t="s">
        <v>3584</v>
      </c>
      <c r="G187" t="s">
        <v>74</v>
      </c>
      <c r="H187" t="s">
        <v>74</v>
      </c>
      <c r="I187" t="s">
        <v>3585</v>
      </c>
      <c r="J187" t="s">
        <v>3221</v>
      </c>
      <c r="K187" t="s">
        <v>74</v>
      </c>
      <c r="L187" t="s">
        <v>74</v>
      </c>
      <c r="M187" t="s">
        <v>78</v>
      </c>
      <c r="N187" t="s">
        <v>79</v>
      </c>
      <c r="O187" t="s">
        <v>74</v>
      </c>
      <c r="P187" t="s">
        <v>74</v>
      </c>
      <c r="Q187" t="s">
        <v>74</v>
      </c>
      <c r="R187" t="s">
        <v>74</v>
      </c>
      <c r="S187" t="s">
        <v>74</v>
      </c>
      <c r="T187" t="s">
        <v>3586</v>
      </c>
      <c r="U187" t="s">
        <v>3587</v>
      </c>
      <c r="V187" t="s">
        <v>3588</v>
      </c>
      <c r="W187" t="s">
        <v>3589</v>
      </c>
      <c r="X187" t="s">
        <v>3590</v>
      </c>
      <c r="Y187" t="s">
        <v>3591</v>
      </c>
      <c r="Z187" t="s">
        <v>3592</v>
      </c>
      <c r="AA187" t="s">
        <v>74</v>
      </c>
      <c r="AB187" t="s">
        <v>74</v>
      </c>
      <c r="AC187" t="s">
        <v>3593</v>
      </c>
      <c r="AD187" t="s">
        <v>3594</v>
      </c>
      <c r="AE187" t="s">
        <v>3595</v>
      </c>
      <c r="AF187" t="s">
        <v>74</v>
      </c>
      <c r="AG187">
        <v>69</v>
      </c>
      <c r="AH187">
        <v>51</v>
      </c>
      <c r="AI187">
        <v>61</v>
      </c>
      <c r="AJ187">
        <v>0</v>
      </c>
      <c r="AK187">
        <v>46</v>
      </c>
      <c r="AL187" t="s">
        <v>3232</v>
      </c>
      <c r="AM187" t="s">
        <v>3233</v>
      </c>
      <c r="AN187" t="s">
        <v>3234</v>
      </c>
      <c r="AO187" t="s">
        <v>3235</v>
      </c>
      <c r="AP187" t="s">
        <v>3236</v>
      </c>
      <c r="AQ187" t="s">
        <v>74</v>
      </c>
      <c r="AR187" t="s">
        <v>3237</v>
      </c>
      <c r="AS187" t="s">
        <v>3238</v>
      </c>
      <c r="AT187" t="s">
        <v>74</v>
      </c>
      <c r="AU187">
        <v>2011</v>
      </c>
      <c r="AV187">
        <v>436</v>
      </c>
      <c r="AW187" t="s">
        <v>74</v>
      </c>
      <c r="AX187" t="s">
        <v>74</v>
      </c>
      <c r="AY187" t="s">
        <v>74</v>
      </c>
      <c r="AZ187" t="s">
        <v>74</v>
      </c>
      <c r="BA187" t="s">
        <v>74</v>
      </c>
      <c r="BB187">
        <v>273</v>
      </c>
      <c r="BC187">
        <v>289</v>
      </c>
      <c r="BD187" t="s">
        <v>74</v>
      </c>
      <c r="BE187" t="s">
        <v>3596</v>
      </c>
      <c r="BF187" t="str">
        <f>HYPERLINK("http://dx.doi.org/10.3354/meps09242","http://dx.doi.org/10.3354/meps09242")</f>
        <v>http://dx.doi.org/10.3354/meps09242</v>
      </c>
      <c r="BG187" t="s">
        <v>74</v>
      </c>
      <c r="BH187" t="s">
        <v>74</v>
      </c>
      <c r="BI187">
        <v>17</v>
      </c>
      <c r="BJ187" t="s">
        <v>3240</v>
      </c>
      <c r="BK187" t="s">
        <v>100</v>
      </c>
      <c r="BL187" t="s">
        <v>3241</v>
      </c>
      <c r="BM187" t="s">
        <v>3581</v>
      </c>
      <c r="BN187" t="s">
        <v>74</v>
      </c>
      <c r="BO187" t="s">
        <v>3320</v>
      </c>
      <c r="BP187" t="s">
        <v>74</v>
      </c>
      <c r="BQ187" t="s">
        <v>74</v>
      </c>
      <c r="BR187" t="s">
        <v>103</v>
      </c>
      <c r="BS187" t="s">
        <v>3597</v>
      </c>
      <c r="BT187" t="str">
        <f>HYPERLINK("https%3A%2F%2Fwww.webofscience.com%2Fwos%2Fwoscc%2Ffull-record%2FWOS:000294619800020","View Full Record in Web of Science")</f>
        <v>View Full Record in Web of Science</v>
      </c>
    </row>
    <row r="188" spans="1:72" x14ac:dyDescent="0.15">
      <c r="A188" t="s">
        <v>2363</v>
      </c>
      <c r="B188" t="s">
        <v>3598</v>
      </c>
      <c r="C188" t="s">
        <v>74</v>
      </c>
      <c r="D188" t="s">
        <v>3599</v>
      </c>
      <c r="E188" t="s">
        <v>74</v>
      </c>
      <c r="F188" t="s">
        <v>3600</v>
      </c>
      <c r="G188" t="s">
        <v>74</v>
      </c>
      <c r="H188" t="s">
        <v>74</v>
      </c>
      <c r="I188" t="s">
        <v>3601</v>
      </c>
      <c r="J188" t="s">
        <v>3602</v>
      </c>
      <c r="K188" t="s">
        <v>74</v>
      </c>
      <c r="L188" t="s">
        <v>74</v>
      </c>
      <c r="M188" t="s">
        <v>78</v>
      </c>
      <c r="N188" t="s">
        <v>2370</v>
      </c>
      <c r="O188" t="s">
        <v>74</v>
      </c>
      <c r="P188" t="s">
        <v>74</v>
      </c>
      <c r="Q188" t="s">
        <v>74</v>
      </c>
      <c r="R188" t="s">
        <v>74</v>
      </c>
      <c r="S188" t="s">
        <v>74</v>
      </c>
      <c r="T188" t="s">
        <v>74</v>
      </c>
      <c r="U188" t="s">
        <v>3603</v>
      </c>
      <c r="V188" t="s">
        <v>74</v>
      </c>
      <c r="W188" t="s">
        <v>3604</v>
      </c>
      <c r="X188" t="s">
        <v>3605</v>
      </c>
      <c r="Y188" t="s">
        <v>3606</v>
      </c>
      <c r="Z188" t="s">
        <v>3607</v>
      </c>
      <c r="AA188" t="s">
        <v>74</v>
      </c>
      <c r="AB188" t="s">
        <v>3608</v>
      </c>
      <c r="AC188" t="s">
        <v>74</v>
      </c>
      <c r="AD188" t="s">
        <v>74</v>
      </c>
      <c r="AE188" t="s">
        <v>74</v>
      </c>
      <c r="AF188" t="s">
        <v>74</v>
      </c>
      <c r="AG188">
        <v>127</v>
      </c>
      <c r="AH188">
        <v>23</v>
      </c>
      <c r="AI188">
        <v>26</v>
      </c>
      <c r="AJ188">
        <v>0</v>
      </c>
      <c r="AK188">
        <v>3</v>
      </c>
      <c r="AL188" t="s">
        <v>3375</v>
      </c>
      <c r="AM188" t="s">
        <v>3376</v>
      </c>
      <c r="AN188" t="s">
        <v>3377</v>
      </c>
      <c r="AO188" t="s">
        <v>74</v>
      </c>
      <c r="AP188" t="s">
        <v>74</v>
      </c>
      <c r="AQ188" t="s">
        <v>3609</v>
      </c>
      <c r="AR188" t="s">
        <v>74</v>
      </c>
      <c r="AS188" t="s">
        <v>74</v>
      </c>
      <c r="AT188" t="s">
        <v>74</v>
      </c>
      <c r="AU188">
        <v>2011</v>
      </c>
      <c r="AV188" t="s">
        <v>74</v>
      </c>
      <c r="AW188" t="s">
        <v>74</v>
      </c>
      <c r="AX188" t="s">
        <v>74</v>
      </c>
      <c r="AY188" t="s">
        <v>74</v>
      </c>
      <c r="AZ188" t="s">
        <v>74</v>
      </c>
      <c r="BA188" t="s">
        <v>74</v>
      </c>
      <c r="BB188">
        <v>182</v>
      </c>
      <c r="BC188">
        <v>204</v>
      </c>
      <c r="BD188" t="s">
        <v>74</v>
      </c>
      <c r="BE188" t="s">
        <v>74</v>
      </c>
      <c r="BF188" t="s">
        <v>74</v>
      </c>
      <c r="BG188" t="s">
        <v>3610</v>
      </c>
      <c r="BH188" t="s">
        <v>74</v>
      </c>
      <c r="BI188">
        <v>23</v>
      </c>
      <c r="BJ188" t="s">
        <v>3611</v>
      </c>
      <c r="BK188" t="s">
        <v>2384</v>
      </c>
      <c r="BL188" t="s">
        <v>3611</v>
      </c>
      <c r="BM188" t="s">
        <v>3612</v>
      </c>
      <c r="BN188" t="s">
        <v>74</v>
      </c>
      <c r="BO188" t="s">
        <v>74</v>
      </c>
      <c r="BP188" t="s">
        <v>74</v>
      </c>
      <c r="BQ188" t="s">
        <v>74</v>
      </c>
      <c r="BR188" t="s">
        <v>103</v>
      </c>
      <c r="BS188" t="s">
        <v>3613</v>
      </c>
      <c r="BT188" t="str">
        <f>HYPERLINK("https%3A%2F%2Fwww.webofscience.com%2Fwos%2Fwoscc%2Ffull-record%2FWOS:000293173700009","View Full Record in Web of Science")</f>
        <v>View Full Record in Web of Science</v>
      </c>
    </row>
    <row r="189" spans="1:72" x14ac:dyDescent="0.15">
      <c r="A189" t="s">
        <v>72</v>
      </c>
      <c r="B189" t="s">
        <v>3614</v>
      </c>
      <c r="C189" t="s">
        <v>74</v>
      </c>
      <c r="D189" t="s">
        <v>74</v>
      </c>
      <c r="E189" t="s">
        <v>74</v>
      </c>
      <c r="F189" t="s">
        <v>3615</v>
      </c>
      <c r="G189" t="s">
        <v>74</v>
      </c>
      <c r="H189" t="s">
        <v>74</v>
      </c>
      <c r="I189" t="s">
        <v>3616</v>
      </c>
      <c r="J189" t="s">
        <v>3617</v>
      </c>
      <c r="K189" t="s">
        <v>74</v>
      </c>
      <c r="L189" t="s">
        <v>74</v>
      </c>
      <c r="M189" t="s">
        <v>78</v>
      </c>
      <c r="N189" t="s">
        <v>79</v>
      </c>
      <c r="O189" t="s">
        <v>74</v>
      </c>
      <c r="P189" t="s">
        <v>74</v>
      </c>
      <c r="Q189" t="s">
        <v>74</v>
      </c>
      <c r="R189" t="s">
        <v>74</v>
      </c>
      <c r="S189" t="s">
        <v>74</v>
      </c>
      <c r="T189" t="s">
        <v>3618</v>
      </c>
      <c r="U189" t="s">
        <v>3619</v>
      </c>
      <c r="V189" t="s">
        <v>3620</v>
      </c>
      <c r="W189" t="s">
        <v>3621</v>
      </c>
      <c r="X189" t="s">
        <v>3622</v>
      </c>
      <c r="Y189" t="s">
        <v>3623</v>
      </c>
      <c r="Z189" t="s">
        <v>3624</v>
      </c>
      <c r="AA189" t="s">
        <v>74</v>
      </c>
      <c r="AB189" t="s">
        <v>74</v>
      </c>
      <c r="AC189" t="s">
        <v>3625</v>
      </c>
      <c r="AD189" t="s">
        <v>3626</v>
      </c>
      <c r="AE189" t="s">
        <v>3627</v>
      </c>
      <c r="AF189" t="s">
        <v>74</v>
      </c>
      <c r="AG189">
        <v>26</v>
      </c>
      <c r="AH189">
        <v>6</v>
      </c>
      <c r="AI189">
        <v>9</v>
      </c>
      <c r="AJ189">
        <v>1</v>
      </c>
      <c r="AK189">
        <v>5</v>
      </c>
      <c r="AL189" t="s">
        <v>366</v>
      </c>
      <c r="AM189" t="s">
        <v>367</v>
      </c>
      <c r="AN189" t="s">
        <v>368</v>
      </c>
      <c r="AO189" t="s">
        <v>3628</v>
      </c>
      <c r="AP189" t="s">
        <v>74</v>
      </c>
      <c r="AQ189" t="s">
        <v>74</v>
      </c>
      <c r="AR189" t="s">
        <v>3629</v>
      </c>
      <c r="AS189" t="s">
        <v>3630</v>
      </c>
      <c r="AT189" t="s">
        <v>74</v>
      </c>
      <c r="AU189">
        <v>2011</v>
      </c>
      <c r="AV189">
        <v>85</v>
      </c>
      <c r="AW189">
        <v>4</v>
      </c>
      <c r="AX189" t="s">
        <v>74</v>
      </c>
      <c r="AY189" t="s">
        <v>74</v>
      </c>
      <c r="AZ189" t="s">
        <v>74</v>
      </c>
      <c r="BA189" t="s">
        <v>74</v>
      </c>
      <c r="BB189">
        <v>814</v>
      </c>
      <c r="BC189">
        <v>825</v>
      </c>
      <c r="BD189" t="s">
        <v>74</v>
      </c>
      <c r="BE189" t="s">
        <v>3631</v>
      </c>
      <c r="BF189" t="str">
        <f>HYPERLINK("http://dx.doi.org/10.1111/j.1755-6724.2011.00487.x","http://dx.doi.org/10.1111/j.1755-6724.2011.00487.x")</f>
        <v>http://dx.doi.org/10.1111/j.1755-6724.2011.00487.x</v>
      </c>
      <c r="BG189" t="s">
        <v>74</v>
      </c>
      <c r="BH189" t="s">
        <v>74</v>
      </c>
      <c r="BI189">
        <v>12</v>
      </c>
      <c r="BJ189" t="s">
        <v>396</v>
      </c>
      <c r="BK189" t="s">
        <v>100</v>
      </c>
      <c r="BL189" t="s">
        <v>397</v>
      </c>
      <c r="BM189" t="s">
        <v>3632</v>
      </c>
      <c r="BN189" t="s">
        <v>74</v>
      </c>
      <c r="BO189" t="s">
        <v>3320</v>
      </c>
      <c r="BP189" t="s">
        <v>74</v>
      </c>
      <c r="BQ189" t="s">
        <v>74</v>
      </c>
      <c r="BR189" t="s">
        <v>103</v>
      </c>
      <c r="BS189" t="s">
        <v>3633</v>
      </c>
      <c r="BT189" t="str">
        <f>HYPERLINK("https%3A%2F%2Fwww.webofscience.com%2Fwos%2Fwoscc%2Ffull-record%2FWOS:000294521100010","View Full Record in Web of Science")</f>
        <v>View Full Record in Web of Science</v>
      </c>
    </row>
    <row r="190" spans="1:72" x14ac:dyDescent="0.15">
      <c r="A190" t="s">
        <v>72</v>
      </c>
      <c r="B190" t="s">
        <v>3634</v>
      </c>
      <c r="C190" t="s">
        <v>74</v>
      </c>
      <c r="D190" t="s">
        <v>74</v>
      </c>
      <c r="E190" t="s">
        <v>74</v>
      </c>
      <c r="F190" t="s">
        <v>3635</v>
      </c>
      <c r="G190" t="s">
        <v>74</v>
      </c>
      <c r="H190" t="s">
        <v>74</v>
      </c>
      <c r="I190" t="s">
        <v>3636</v>
      </c>
      <c r="J190" t="s">
        <v>3637</v>
      </c>
      <c r="K190" t="s">
        <v>74</v>
      </c>
      <c r="L190" t="s">
        <v>74</v>
      </c>
      <c r="M190" t="s">
        <v>78</v>
      </c>
      <c r="N190" t="s">
        <v>79</v>
      </c>
      <c r="O190" t="s">
        <v>74</v>
      </c>
      <c r="P190" t="s">
        <v>74</v>
      </c>
      <c r="Q190" t="s">
        <v>74</v>
      </c>
      <c r="R190" t="s">
        <v>74</v>
      </c>
      <c r="S190" t="s">
        <v>74</v>
      </c>
      <c r="T190" t="s">
        <v>3638</v>
      </c>
      <c r="U190" t="s">
        <v>3639</v>
      </c>
      <c r="V190" t="s">
        <v>3640</v>
      </c>
      <c r="W190" t="s">
        <v>3641</v>
      </c>
      <c r="X190" t="s">
        <v>3642</v>
      </c>
      <c r="Y190" t="s">
        <v>3643</v>
      </c>
      <c r="Z190" t="s">
        <v>3644</v>
      </c>
      <c r="AA190" t="s">
        <v>3645</v>
      </c>
      <c r="AB190" t="s">
        <v>3646</v>
      </c>
      <c r="AC190" t="s">
        <v>3647</v>
      </c>
      <c r="AD190" t="s">
        <v>3648</v>
      </c>
      <c r="AE190" t="s">
        <v>3649</v>
      </c>
      <c r="AF190" t="s">
        <v>74</v>
      </c>
      <c r="AG190">
        <v>30</v>
      </c>
      <c r="AH190">
        <v>8</v>
      </c>
      <c r="AI190">
        <v>9</v>
      </c>
      <c r="AJ190">
        <v>0</v>
      </c>
      <c r="AK190">
        <v>10</v>
      </c>
      <c r="AL190" t="s">
        <v>2955</v>
      </c>
      <c r="AM190" t="s">
        <v>2956</v>
      </c>
      <c r="AN190" t="s">
        <v>2957</v>
      </c>
      <c r="AO190" t="s">
        <v>3650</v>
      </c>
      <c r="AP190" t="s">
        <v>74</v>
      </c>
      <c r="AQ190" t="s">
        <v>74</v>
      </c>
      <c r="AR190" t="s">
        <v>3651</v>
      </c>
      <c r="AS190" t="s">
        <v>3652</v>
      </c>
      <c r="AT190" t="s">
        <v>74</v>
      </c>
      <c r="AU190">
        <v>2011</v>
      </c>
      <c r="AV190">
        <v>29</v>
      </c>
      <c r="AW190">
        <v>7</v>
      </c>
      <c r="AX190" t="s">
        <v>74</v>
      </c>
      <c r="AY190" t="s">
        <v>74</v>
      </c>
      <c r="AZ190" t="s">
        <v>74</v>
      </c>
      <c r="BA190" t="s">
        <v>74</v>
      </c>
      <c r="BB190">
        <v>1305</v>
      </c>
      <c r="BC190">
        <v>1315</v>
      </c>
      <c r="BD190" t="s">
        <v>74</v>
      </c>
      <c r="BE190" t="s">
        <v>3653</v>
      </c>
      <c r="BF190" t="str">
        <f>HYPERLINK("http://dx.doi.org/10.5194/angeo-29-1305-2011","http://dx.doi.org/10.5194/angeo-29-1305-2011")</f>
        <v>http://dx.doi.org/10.5194/angeo-29-1305-2011</v>
      </c>
      <c r="BG190" t="s">
        <v>74</v>
      </c>
      <c r="BH190" t="s">
        <v>74</v>
      </c>
      <c r="BI190">
        <v>11</v>
      </c>
      <c r="BJ190" t="s">
        <v>3654</v>
      </c>
      <c r="BK190" t="s">
        <v>100</v>
      </c>
      <c r="BL190" t="s">
        <v>3655</v>
      </c>
      <c r="BM190" t="s">
        <v>3656</v>
      </c>
      <c r="BN190" t="s">
        <v>74</v>
      </c>
      <c r="BO190" t="s">
        <v>3113</v>
      </c>
      <c r="BP190" t="s">
        <v>74</v>
      </c>
      <c r="BQ190" t="s">
        <v>74</v>
      </c>
      <c r="BR190" t="s">
        <v>103</v>
      </c>
      <c r="BS190" t="s">
        <v>3657</v>
      </c>
      <c r="BT190" t="str">
        <f>HYPERLINK("https%3A%2F%2Fwww.webofscience.com%2Fwos%2Fwoscc%2Ffull-record%2FWOS:000294455400011","View Full Record in Web of Science")</f>
        <v>View Full Record in Web of Science</v>
      </c>
    </row>
    <row r="191" spans="1:72" x14ac:dyDescent="0.15">
      <c r="A191" t="s">
        <v>72</v>
      </c>
      <c r="B191" t="s">
        <v>3658</v>
      </c>
      <c r="C191" t="s">
        <v>74</v>
      </c>
      <c r="D191" t="s">
        <v>74</v>
      </c>
      <c r="E191" t="s">
        <v>74</v>
      </c>
      <c r="F191" t="s">
        <v>3659</v>
      </c>
      <c r="G191" t="s">
        <v>74</v>
      </c>
      <c r="H191" t="s">
        <v>74</v>
      </c>
      <c r="I191" t="s">
        <v>3660</v>
      </c>
      <c r="J191" t="s">
        <v>3637</v>
      </c>
      <c r="K191" t="s">
        <v>74</v>
      </c>
      <c r="L191" t="s">
        <v>74</v>
      </c>
      <c r="M191" t="s">
        <v>78</v>
      </c>
      <c r="N191" t="s">
        <v>79</v>
      </c>
      <c r="O191" t="s">
        <v>74</v>
      </c>
      <c r="P191" t="s">
        <v>74</v>
      </c>
      <c r="Q191" t="s">
        <v>74</v>
      </c>
      <c r="R191" t="s">
        <v>74</v>
      </c>
      <c r="S191" t="s">
        <v>74</v>
      </c>
      <c r="T191" t="s">
        <v>3661</v>
      </c>
      <c r="U191" t="s">
        <v>3662</v>
      </c>
      <c r="V191" t="s">
        <v>3663</v>
      </c>
      <c r="W191" t="s">
        <v>3664</v>
      </c>
      <c r="X191" t="s">
        <v>3665</v>
      </c>
      <c r="Y191" t="s">
        <v>3666</v>
      </c>
      <c r="Z191" t="s">
        <v>3667</v>
      </c>
      <c r="AA191" t="s">
        <v>74</v>
      </c>
      <c r="AB191" t="s">
        <v>3668</v>
      </c>
      <c r="AC191" t="s">
        <v>3669</v>
      </c>
      <c r="AD191" t="s">
        <v>3670</v>
      </c>
      <c r="AE191" t="s">
        <v>3671</v>
      </c>
      <c r="AF191" t="s">
        <v>74</v>
      </c>
      <c r="AG191">
        <v>35</v>
      </c>
      <c r="AH191">
        <v>3</v>
      </c>
      <c r="AI191">
        <v>3</v>
      </c>
      <c r="AJ191">
        <v>1</v>
      </c>
      <c r="AK191">
        <v>6</v>
      </c>
      <c r="AL191" t="s">
        <v>2955</v>
      </c>
      <c r="AM191" t="s">
        <v>2956</v>
      </c>
      <c r="AN191" t="s">
        <v>2957</v>
      </c>
      <c r="AO191" t="s">
        <v>3650</v>
      </c>
      <c r="AP191" t="s">
        <v>74</v>
      </c>
      <c r="AQ191" t="s">
        <v>74</v>
      </c>
      <c r="AR191" t="s">
        <v>3651</v>
      </c>
      <c r="AS191" t="s">
        <v>3652</v>
      </c>
      <c r="AT191" t="s">
        <v>74</v>
      </c>
      <c r="AU191">
        <v>2011</v>
      </c>
      <c r="AV191">
        <v>29</v>
      </c>
      <c r="AW191">
        <v>7</v>
      </c>
      <c r="AX191" t="s">
        <v>74</v>
      </c>
      <c r="AY191" t="s">
        <v>74</v>
      </c>
      <c r="AZ191" t="s">
        <v>74</v>
      </c>
      <c r="BA191" t="s">
        <v>74</v>
      </c>
      <c r="BB191">
        <v>1317</v>
      </c>
      <c r="BC191">
        <v>1330</v>
      </c>
      <c r="BD191" t="s">
        <v>74</v>
      </c>
      <c r="BE191" t="s">
        <v>3672</v>
      </c>
      <c r="BF191" t="str">
        <f>HYPERLINK("http://dx.doi.org/10.5194/angeo-29-1317-2011","http://dx.doi.org/10.5194/angeo-29-1317-2011")</f>
        <v>http://dx.doi.org/10.5194/angeo-29-1317-2011</v>
      </c>
      <c r="BG191" t="s">
        <v>74</v>
      </c>
      <c r="BH191" t="s">
        <v>74</v>
      </c>
      <c r="BI191">
        <v>14</v>
      </c>
      <c r="BJ191" t="s">
        <v>3654</v>
      </c>
      <c r="BK191" t="s">
        <v>100</v>
      </c>
      <c r="BL191" t="s">
        <v>3655</v>
      </c>
      <c r="BM191" t="s">
        <v>3656</v>
      </c>
      <c r="BN191" t="s">
        <v>74</v>
      </c>
      <c r="BO191" t="s">
        <v>2456</v>
      </c>
      <c r="BP191" t="s">
        <v>74</v>
      </c>
      <c r="BQ191" t="s">
        <v>74</v>
      </c>
      <c r="BR191" t="s">
        <v>103</v>
      </c>
      <c r="BS191" t="s">
        <v>3673</v>
      </c>
      <c r="BT191" t="str">
        <f>HYPERLINK("https%3A%2F%2Fwww.webofscience.com%2Fwos%2Fwoscc%2Ffull-record%2FWOS:000294455400012","View Full Record in Web of Science")</f>
        <v>View Full Record in Web of Science</v>
      </c>
    </row>
    <row r="192" spans="1:72" x14ac:dyDescent="0.15">
      <c r="A192" t="s">
        <v>72</v>
      </c>
      <c r="B192" t="s">
        <v>3674</v>
      </c>
      <c r="C192" t="s">
        <v>74</v>
      </c>
      <c r="D192" t="s">
        <v>74</v>
      </c>
      <c r="E192" t="s">
        <v>74</v>
      </c>
      <c r="F192" t="s">
        <v>3675</v>
      </c>
      <c r="G192" t="s">
        <v>74</v>
      </c>
      <c r="H192" t="s">
        <v>74</v>
      </c>
      <c r="I192" t="s">
        <v>3676</v>
      </c>
      <c r="J192" t="s">
        <v>3637</v>
      </c>
      <c r="K192" t="s">
        <v>74</v>
      </c>
      <c r="L192" t="s">
        <v>74</v>
      </c>
      <c r="M192" t="s">
        <v>78</v>
      </c>
      <c r="N192" t="s">
        <v>79</v>
      </c>
      <c r="O192" t="s">
        <v>74</v>
      </c>
      <c r="P192" t="s">
        <v>74</v>
      </c>
      <c r="Q192" t="s">
        <v>74</v>
      </c>
      <c r="R192" t="s">
        <v>74</v>
      </c>
      <c r="S192" t="s">
        <v>74</v>
      </c>
      <c r="T192" t="s">
        <v>3677</v>
      </c>
      <c r="U192" t="s">
        <v>3678</v>
      </c>
      <c r="V192" t="s">
        <v>3679</v>
      </c>
      <c r="W192" t="s">
        <v>3680</v>
      </c>
      <c r="X192" t="s">
        <v>3681</v>
      </c>
      <c r="Y192" t="s">
        <v>3682</v>
      </c>
      <c r="Z192" t="s">
        <v>3683</v>
      </c>
      <c r="AA192" t="s">
        <v>74</v>
      </c>
      <c r="AB192" t="s">
        <v>74</v>
      </c>
      <c r="AC192" t="s">
        <v>74</v>
      </c>
      <c r="AD192" t="s">
        <v>74</v>
      </c>
      <c r="AE192" t="s">
        <v>74</v>
      </c>
      <c r="AF192" t="s">
        <v>74</v>
      </c>
      <c r="AG192">
        <v>15</v>
      </c>
      <c r="AH192">
        <v>19</v>
      </c>
      <c r="AI192">
        <v>19</v>
      </c>
      <c r="AJ192">
        <v>0</v>
      </c>
      <c r="AK192">
        <v>3</v>
      </c>
      <c r="AL192" t="s">
        <v>2955</v>
      </c>
      <c r="AM192" t="s">
        <v>2956</v>
      </c>
      <c r="AN192" t="s">
        <v>2957</v>
      </c>
      <c r="AO192" t="s">
        <v>3650</v>
      </c>
      <c r="AP192" t="s">
        <v>74</v>
      </c>
      <c r="AQ192" t="s">
        <v>74</v>
      </c>
      <c r="AR192" t="s">
        <v>3651</v>
      </c>
      <c r="AS192" t="s">
        <v>3652</v>
      </c>
      <c r="AT192" t="s">
        <v>74</v>
      </c>
      <c r="AU192">
        <v>2011</v>
      </c>
      <c r="AV192">
        <v>29</v>
      </c>
      <c r="AW192">
        <v>8</v>
      </c>
      <c r="AX192" t="s">
        <v>74</v>
      </c>
      <c r="AY192" t="s">
        <v>74</v>
      </c>
      <c r="AZ192" t="s">
        <v>74</v>
      </c>
      <c r="BA192" t="s">
        <v>74</v>
      </c>
      <c r="BB192">
        <v>1491</v>
      </c>
      <c r="BC192">
        <v>1500</v>
      </c>
      <c r="BD192" t="s">
        <v>74</v>
      </c>
      <c r="BE192" t="s">
        <v>3684</v>
      </c>
      <c r="BF192" t="str">
        <f>HYPERLINK("http://dx.doi.org/10.5194/angeo-29-1491-2011","http://dx.doi.org/10.5194/angeo-29-1491-2011")</f>
        <v>http://dx.doi.org/10.5194/angeo-29-1491-2011</v>
      </c>
      <c r="BG192" t="s">
        <v>74</v>
      </c>
      <c r="BH192" t="s">
        <v>74</v>
      </c>
      <c r="BI192">
        <v>10</v>
      </c>
      <c r="BJ192" t="s">
        <v>3654</v>
      </c>
      <c r="BK192" t="s">
        <v>100</v>
      </c>
      <c r="BL192" t="s">
        <v>3655</v>
      </c>
      <c r="BM192" t="s">
        <v>3685</v>
      </c>
      <c r="BN192" t="s">
        <v>74</v>
      </c>
      <c r="BO192" t="s">
        <v>2456</v>
      </c>
      <c r="BP192" t="s">
        <v>74</v>
      </c>
      <c r="BQ192" t="s">
        <v>74</v>
      </c>
      <c r="BR192" t="s">
        <v>103</v>
      </c>
      <c r="BS192" t="s">
        <v>3686</v>
      </c>
      <c r="BT192" t="str">
        <f>HYPERLINK("https%3A%2F%2Fwww.webofscience.com%2Fwos%2Fwoscc%2Ffull-record%2FWOS:000294455800015","View Full Record in Web of Science")</f>
        <v>View Full Record in Web of Science</v>
      </c>
    </row>
    <row r="193" spans="1:72" x14ac:dyDescent="0.15">
      <c r="A193" t="s">
        <v>72</v>
      </c>
      <c r="B193" t="s">
        <v>3687</v>
      </c>
      <c r="C193" t="s">
        <v>74</v>
      </c>
      <c r="D193" t="s">
        <v>74</v>
      </c>
      <c r="E193" t="s">
        <v>74</v>
      </c>
      <c r="F193" t="s">
        <v>3688</v>
      </c>
      <c r="G193" t="s">
        <v>74</v>
      </c>
      <c r="H193" t="s">
        <v>74</v>
      </c>
      <c r="I193" t="s">
        <v>3689</v>
      </c>
      <c r="J193" t="s">
        <v>2944</v>
      </c>
      <c r="K193" t="s">
        <v>74</v>
      </c>
      <c r="L193" t="s">
        <v>74</v>
      </c>
      <c r="M193" t="s">
        <v>78</v>
      </c>
      <c r="N193" t="s">
        <v>79</v>
      </c>
      <c r="O193" t="s">
        <v>74</v>
      </c>
      <c r="P193" t="s">
        <v>74</v>
      </c>
      <c r="Q193" t="s">
        <v>74</v>
      </c>
      <c r="R193" t="s">
        <v>74</v>
      </c>
      <c r="S193" t="s">
        <v>74</v>
      </c>
      <c r="T193" t="s">
        <v>74</v>
      </c>
      <c r="U193" t="s">
        <v>3690</v>
      </c>
      <c r="V193" t="s">
        <v>3691</v>
      </c>
      <c r="W193" t="s">
        <v>3692</v>
      </c>
      <c r="X193" t="s">
        <v>3693</v>
      </c>
      <c r="Y193" t="s">
        <v>3694</v>
      </c>
      <c r="Z193" t="s">
        <v>3695</v>
      </c>
      <c r="AA193" t="s">
        <v>3696</v>
      </c>
      <c r="AB193" t="s">
        <v>3697</v>
      </c>
      <c r="AC193" t="s">
        <v>3698</v>
      </c>
      <c r="AD193" t="s">
        <v>3699</v>
      </c>
      <c r="AE193" t="s">
        <v>3700</v>
      </c>
      <c r="AF193" t="s">
        <v>74</v>
      </c>
      <c r="AG193">
        <v>64</v>
      </c>
      <c r="AH193">
        <v>31</v>
      </c>
      <c r="AI193">
        <v>38</v>
      </c>
      <c r="AJ193">
        <v>1</v>
      </c>
      <c r="AK193">
        <v>46</v>
      </c>
      <c r="AL193" t="s">
        <v>2955</v>
      </c>
      <c r="AM193" t="s">
        <v>2956</v>
      </c>
      <c r="AN193" t="s">
        <v>2957</v>
      </c>
      <c r="AO193" t="s">
        <v>2958</v>
      </c>
      <c r="AP193" t="s">
        <v>74</v>
      </c>
      <c r="AQ193" t="s">
        <v>74</v>
      </c>
      <c r="AR193" t="s">
        <v>2960</v>
      </c>
      <c r="AS193" t="s">
        <v>2961</v>
      </c>
      <c r="AT193" t="s">
        <v>74</v>
      </c>
      <c r="AU193">
        <v>2011</v>
      </c>
      <c r="AV193">
        <v>11</v>
      </c>
      <c r="AW193">
        <v>16</v>
      </c>
      <c r="AX193" t="s">
        <v>74</v>
      </c>
      <c r="AY193" t="s">
        <v>74</v>
      </c>
      <c r="AZ193" t="s">
        <v>74</v>
      </c>
      <c r="BA193" t="s">
        <v>74</v>
      </c>
      <c r="BB193">
        <v>8577</v>
      </c>
      <c r="BC193">
        <v>8591</v>
      </c>
      <c r="BD193" t="s">
        <v>74</v>
      </c>
      <c r="BE193" t="s">
        <v>3701</v>
      </c>
      <c r="BF193" t="str">
        <f>HYPERLINK("http://dx.doi.org/10.5194/acp-11-8577-2011","http://dx.doi.org/10.5194/acp-11-8577-2011")</f>
        <v>http://dx.doi.org/10.5194/acp-11-8577-2011</v>
      </c>
      <c r="BG193" t="s">
        <v>74</v>
      </c>
      <c r="BH193" t="s">
        <v>74</v>
      </c>
      <c r="BI193">
        <v>15</v>
      </c>
      <c r="BJ193" t="s">
        <v>2963</v>
      </c>
      <c r="BK193" t="s">
        <v>100</v>
      </c>
      <c r="BL193" t="s">
        <v>2964</v>
      </c>
      <c r="BM193" t="s">
        <v>3702</v>
      </c>
      <c r="BN193" t="s">
        <v>74</v>
      </c>
      <c r="BO193" t="s">
        <v>3703</v>
      </c>
      <c r="BP193" t="s">
        <v>74</v>
      </c>
      <c r="BQ193" t="s">
        <v>74</v>
      </c>
      <c r="BR193" t="s">
        <v>103</v>
      </c>
      <c r="BS193" t="s">
        <v>3704</v>
      </c>
      <c r="BT193" t="str">
        <f>HYPERLINK("https%3A%2F%2Fwww.webofscience.com%2Fwos%2Fwoscc%2Ffull-record%2FWOS:000294406300022","View Full Record in Web of Science")</f>
        <v>View Full Record in Web of Science</v>
      </c>
    </row>
    <row r="194" spans="1:72" x14ac:dyDescent="0.15">
      <c r="A194" t="s">
        <v>72</v>
      </c>
      <c r="B194" t="s">
        <v>3705</v>
      </c>
      <c r="C194" t="s">
        <v>74</v>
      </c>
      <c r="D194" t="s">
        <v>74</v>
      </c>
      <c r="E194" t="s">
        <v>74</v>
      </c>
      <c r="F194" t="s">
        <v>3706</v>
      </c>
      <c r="G194" t="s">
        <v>74</v>
      </c>
      <c r="H194" t="s">
        <v>74</v>
      </c>
      <c r="I194" t="s">
        <v>3707</v>
      </c>
      <c r="J194" t="s">
        <v>3708</v>
      </c>
      <c r="K194" t="s">
        <v>74</v>
      </c>
      <c r="L194" t="s">
        <v>74</v>
      </c>
      <c r="M194" t="s">
        <v>78</v>
      </c>
      <c r="N194" t="s">
        <v>79</v>
      </c>
      <c r="O194" t="s">
        <v>74</v>
      </c>
      <c r="P194" t="s">
        <v>74</v>
      </c>
      <c r="Q194" t="s">
        <v>74</v>
      </c>
      <c r="R194" t="s">
        <v>74</v>
      </c>
      <c r="S194" t="s">
        <v>74</v>
      </c>
      <c r="T194" t="s">
        <v>74</v>
      </c>
      <c r="U194" t="s">
        <v>3709</v>
      </c>
      <c r="V194" t="s">
        <v>3710</v>
      </c>
      <c r="W194" t="s">
        <v>3711</v>
      </c>
      <c r="X194" t="s">
        <v>3712</v>
      </c>
      <c r="Y194" t="s">
        <v>3713</v>
      </c>
      <c r="Z194" t="s">
        <v>3714</v>
      </c>
      <c r="AA194" t="s">
        <v>3715</v>
      </c>
      <c r="AB194" t="s">
        <v>3716</v>
      </c>
      <c r="AC194" t="s">
        <v>3717</v>
      </c>
      <c r="AD194" t="s">
        <v>3718</v>
      </c>
      <c r="AE194" t="s">
        <v>3719</v>
      </c>
      <c r="AF194" t="s">
        <v>74</v>
      </c>
      <c r="AG194">
        <v>59</v>
      </c>
      <c r="AH194">
        <v>53</v>
      </c>
      <c r="AI194">
        <v>57</v>
      </c>
      <c r="AJ194">
        <v>1</v>
      </c>
      <c r="AK194">
        <v>9</v>
      </c>
      <c r="AL194" t="s">
        <v>2955</v>
      </c>
      <c r="AM194" t="s">
        <v>2956</v>
      </c>
      <c r="AN194" t="s">
        <v>2957</v>
      </c>
      <c r="AO194" t="s">
        <v>3720</v>
      </c>
      <c r="AP194" t="s">
        <v>74</v>
      </c>
      <c r="AQ194" t="s">
        <v>74</v>
      </c>
      <c r="AR194" t="s">
        <v>3721</v>
      </c>
      <c r="AS194" t="s">
        <v>3722</v>
      </c>
      <c r="AT194" t="s">
        <v>74</v>
      </c>
      <c r="AU194">
        <v>2011</v>
      </c>
      <c r="AV194">
        <v>7</v>
      </c>
      <c r="AW194">
        <v>4</v>
      </c>
      <c r="AX194" t="s">
        <v>74</v>
      </c>
      <c r="AY194" t="s">
        <v>74</v>
      </c>
      <c r="AZ194" t="s">
        <v>74</v>
      </c>
      <c r="BA194" t="s">
        <v>74</v>
      </c>
      <c r="BB194">
        <v>455</v>
      </c>
      <c r="BC194">
        <v>470</v>
      </c>
      <c r="BD194" t="s">
        <v>74</v>
      </c>
      <c r="BE194" t="s">
        <v>3723</v>
      </c>
      <c r="BF194" t="str">
        <f>HYPERLINK("http://dx.doi.org/10.5194/os-7-455-2011","http://dx.doi.org/10.5194/os-7-455-2011")</f>
        <v>http://dx.doi.org/10.5194/os-7-455-2011</v>
      </c>
      <c r="BG194" t="s">
        <v>74</v>
      </c>
      <c r="BH194" t="s">
        <v>74</v>
      </c>
      <c r="BI194">
        <v>16</v>
      </c>
      <c r="BJ194" t="s">
        <v>3724</v>
      </c>
      <c r="BK194" t="s">
        <v>100</v>
      </c>
      <c r="BL194" t="s">
        <v>3724</v>
      </c>
      <c r="BM194" t="s">
        <v>3725</v>
      </c>
      <c r="BN194" t="s">
        <v>74</v>
      </c>
      <c r="BO194" t="s">
        <v>1672</v>
      </c>
      <c r="BP194" t="s">
        <v>74</v>
      </c>
      <c r="BQ194" t="s">
        <v>74</v>
      </c>
      <c r="BR194" t="s">
        <v>103</v>
      </c>
      <c r="BS194" t="s">
        <v>3726</v>
      </c>
      <c r="BT194" t="str">
        <f>HYPERLINK("https%3A%2F%2Fwww.webofscience.com%2Fwos%2Fwoscc%2Ffull-record%2FWOS:000294456300002","View Full Record in Web of Science")</f>
        <v>View Full Record in Web of Science</v>
      </c>
    </row>
    <row r="195" spans="1:72" x14ac:dyDescent="0.15">
      <c r="A195" t="s">
        <v>72</v>
      </c>
      <c r="B195" t="s">
        <v>3727</v>
      </c>
      <c r="C195" t="s">
        <v>74</v>
      </c>
      <c r="D195" t="s">
        <v>74</v>
      </c>
      <c r="E195" t="s">
        <v>74</v>
      </c>
      <c r="F195" t="s">
        <v>3728</v>
      </c>
      <c r="G195" t="s">
        <v>74</v>
      </c>
      <c r="H195" t="s">
        <v>74</v>
      </c>
      <c r="I195" t="s">
        <v>3729</v>
      </c>
      <c r="J195" t="s">
        <v>3730</v>
      </c>
      <c r="K195" t="s">
        <v>74</v>
      </c>
      <c r="L195" t="s">
        <v>74</v>
      </c>
      <c r="M195" t="s">
        <v>78</v>
      </c>
      <c r="N195" t="s">
        <v>79</v>
      </c>
      <c r="O195" t="s">
        <v>74</v>
      </c>
      <c r="P195" t="s">
        <v>74</v>
      </c>
      <c r="Q195" t="s">
        <v>74</v>
      </c>
      <c r="R195" t="s">
        <v>74</v>
      </c>
      <c r="S195" t="s">
        <v>74</v>
      </c>
      <c r="T195" t="s">
        <v>3731</v>
      </c>
      <c r="U195" t="s">
        <v>3732</v>
      </c>
      <c r="V195" t="s">
        <v>3733</v>
      </c>
      <c r="W195" t="s">
        <v>3734</v>
      </c>
      <c r="X195" t="s">
        <v>3735</v>
      </c>
      <c r="Y195" t="s">
        <v>3736</v>
      </c>
      <c r="Z195" t="s">
        <v>3737</v>
      </c>
      <c r="AA195" t="s">
        <v>3738</v>
      </c>
      <c r="AB195" t="s">
        <v>3739</v>
      </c>
      <c r="AC195" t="s">
        <v>3740</v>
      </c>
      <c r="AD195" t="s">
        <v>3741</v>
      </c>
      <c r="AE195" t="s">
        <v>3742</v>
      </c>
      <c r="AF195" t="s">
        <v>74</v>
      </c>
      <c r="AG195">
        <v>42</v>
      </c>
      <c r="AH195">
        <v>13</v>
      </c>
      <c r="AI195">
        <v>13</v>
      </c>
      <c r="AJ195">
        <v>2</v>
      </c>
      <c r="AK195">
        <v>17</v>
      </c>
      <c r="AL195" t="s">
        <v>3743</v>
      </c>
      <c r="AM195" t="s">
        <v>3744</v>
      </c>
      <c r="AN195" t="s">
        <v>3745</v>
      </c>
      <c r="AO195" t="s">
        <v>3746</v>
      </c>
      <c r="AP195" t="s">
        <v>3747</v>
      </c>
      <c r="AQ195" t="s">
        <v>74</v>
      </c>
      <c r="AR195" t="s">
        <v>3748</v>
      </c>
      <c r="AS195" t="s">
        <v>3749</v>
      </c>
      <c r="AT195" t="s">
        <v>74</v>
      </c>
      <c r="AU195">
        <v>2011</v>
      </c>
      <c r="AV195">
        <v>46</v>
      </c>
      <c r="AW195">
        <v>2</v>
      </c>
      <c r="AX195" t="s">
        <v>74</v>
      </c>
      <c r="AY195" t="s">
        <v>74</v>
      </c>
      <c r="AZ195" t="s">
        <v>74</v>
      </c>
      <c r="BA195" t="s">
        <v>74</v>
      </c>
      <c r="BB195">
        <v>177</v>
      </c>
      <c r="BC195">
        <v>188</v>
      </c>
      <c r="BD195" t="s">
        <v>74</v>
      </c>
      <c r="BE195" t="s">
        <v>3750</v>
      </c>
      <c r="BF195" t="str">
        <f>HYPERLINK("http://dx.doi.org/10.4067/S0718-19572011000200007","http://dx.doi.org/10.4067/S0718-19572011000200007")</f>
        <v>http://dx.doi.org/10.4067/S0718-19572011000200007</v>
      </c>
      <c r="BG195" t="s">
        <v>74</v>
      </c>
      <c r="BH195" t="s">
        <v>74</v>
      </c>
      <c r="BI195">
        <v>12</v>
      </c>
      <c r="BJ195" t="s">
        <v>3751</v>
      </c>
      <c r="BK195" t="s">
        <v>100</v>
      </c>
      <c r="BL195" t="s">
        <v>3751</v>
      </c>
      <c r="BM195" t="s">
        <v>3752</v>
      </c>
      <c r="BN195" t="s">
        <v>74</v>
      </c>
      <c r="BO195" t="s">
        <v>3113</v>
      </c>
      <c r="BP195" t="s">
        <v>74</v>
      </c>
      <c r="BQ195" t="s">
        <v>74</v>
      </c>
      <c r="BR195" t="s">
        <v>103</v>
      </c>
      <c r="BS195" t="s">
        <v>3753</v>
      </c>
      <c r="BT195" t="str">
        <f>HYPERLINK("https%3A%2F%2Fwww.webofscience.com%2Fwos%2Fwoscc%2Ffull-record%2FWOS:000294420600007","View Full Record in Web of Science")</f>
        <v>View Full Record in Web of Science</v>
      </c>
    </row>
    <row r="196" spans="1:72" x14ac:dyDescent="0.15">
      <c r="A196" t="s">
        <v>2017</v>
      </c>
      <c r="B196" t="s">
        <v>3754</v>
      </c>
      <c r="C196" t="s">
        <v>3755</v>
      </c>
      <c r="D196" t="s">
        <v>3756</v>
      </c>
      <c r="E196" t="s">
        <v>74</v>
      </c>
      <c r="F196" t="s">
        <v>3757</v>
      </c>
      <c r="G196" t="s">
        <v>3755</v>
      </c>
      <c r="H196" t="s">
        <v>74</v>
      </c>
      <c r="I196" t="s">
        <v>3758</v>
      </c>
      <c r="J196" t="s">
        <v>3759</v>
      </c>
      <c r="K196" t="s">
        <v>2488</v>
      </c>
      <c r="L196" t="s">
        <v>74</v>
      </c>
      <c r="M196" t="s">
        <v>78</v>
      </c>
      <c r="N196" t="s">
        <v>2370</v>
      </c>
      <c r="O196" t="s">
        <v>74</v>
      </c>
      <c r="P196" t="s">
        <v>74</v>
      </c>
      <c r="Q196" t="s">
        <v>74</v>
      </c>
      <c r="R196" t="s">
        <v>74</v>
      </c>
      <c r="S196" t="s">
        <v>74</v>
      </c>
      <c r="T196" t="s">
        <v>74</v>
      </c>
      <c r="U196" t="s">
        <v>3760</v>
      </c>
      <c r="V196" t="s">
        <v>3761</v>
      </c>
      <c r="W196" t="s">
        <v>3762</v>
      </c>
      <c r="X196" t="s">
        <v>3763</v>
      </c>
      <c r="Y196" t="s">
        <v>3764</v>
      </c>
      <c r="Z196" t="s">
        <v>3765</v>
      </c>
      <c r="AA196" t="s">
        <v>3766</v>
      </c>
      <c r="AB196" t="s">
        <v>3767</v>
      </c>
      <c r="AC196" t="s">
        <v>3768</v>
      </c>
      <c r="AD196" t="s">
        <v>3769</v>
      </c>
      <c r="AE196" t="s">
        <v>74</v>
      </c>
      <c r="AF196" t="s">
        <v>74</v>
      </c>
      <c r="AG196">
        <v>55</v>
      </c>
      <c r="AH196">
        <v>4</v>
      </c>
      <c r="AI196">
        <v>4</v>
      </c>
      <c r="AJ196">
        <v>0</v>
      </c>
      <c r="AK196">
        <v>7</v>
      </c>
      <c r="AL196" t="s">
        <v>240</v>
      </c>
      <c r="AM196" t="s">
        <v>241</v>
      </c>
      <c r="AN196" t="s">
        <v>242</v>
      </c>
      <c r="AO196" t="s">
        <v>2497</v>
      </c>
      <c r="AP196" t="s">
        <v>74</v>
      </c>
      <c r="AQ196" t="s">
        <v>3770</v>
      </c>
      <c r="AR196" t="s">
        <v>2499</v>
      </c>
      <c r="AS196" t="s">
        <v>74</v>
      </c>
      <c r="AT196" t="s">
        <v>74</v>
      </c>
      <c r="AU196">
        <v>2011</v>
      </c>
      <c r="AV196">
        <v>192</v>
      </c>
      <c r="AW196" t="s">
        <v>74</v>
      </c>
      <c r="AX196" t="s">
        <v>74</v>
      </c>
      <c r="AY196" t="s">
        <v>74</v>
      </c>
      <c r="AZ196" t="s">
        <v>74</v>
      </c>
      <c r="BA196" t="s">
        <v>74</v>
      </c>
      <c r="BB196">
        <v>111</v>
      </c>
      <c r="BC196">
        <v>127</v>
      </c>
      <c r="BD196" t="s">
        <v>74</v>
      </c>
      <c r="BE196" t="s">
        <v>3771</v>
      </c>
      <c r="BF196" t="str">
        <f>HYPERLINK("http://dx.doi.org/10.1029/2010GM000943","http://dx.doi.org/10.1029/2010GM000943")</f>
        <v>http://dx.doi.org/10.1029/2010GM000943</v>
      </c>
      <c r="BG196" t="s">
        <v>3772</v>
      </c>
      <c r="BH196" t="s">
        <v>74</v>
      </c>
      <c r="BI196">
        <v>17</v>
      </c>
      <c r="BJ196" t="s">
        <v>3773</v>
      </c>
      <c r="BK196" t="s">
        <v>2384</v>
      </c>
      <c r="BL196" t="s">
        <v>3774</v>
      </c>
      <c r="BM196" t="s">
        <v>3775</v>
      </c>
      <c r="BN196" t="s">
        <v>74</v>
      </c>
      <c r="BO196" t="s">
        <v>74</v>
      </c>
      <c r="BP196" t="s">
        <v>74</v>
      </c>
      <c r="BQ196" t="s">
        <v>74</v>
      </c>
      <c r="BR196" t="s">
        <v>103</v>
      </c>
      <c r="BS196" t="s">
        <v>3776</v>
      </c>
      <c r="BT196" t="str">
        <f>HYPERLINK("https%3A%2F%2Fwww.webofscience.com%2Fwos%2Fwoscc%2Ffull-record%2FWOS:000290418300007","View Full Record in Web of Science")</f>
        <v>View Full Record in Web of Science</v>
      </c>
    </row>
    <row r="197" spans="1:72" x14ac:dyDescent="0.15">
      <c r="A197" t="s">
        <v>2017</v>
      </c>
      <c r="B197" t="s">
        <v>3777</v>
      </c>
      <c r="C197" t="s">
        <v>3755</v>
      </c>
      <c r="D197" t="s">
        <v>3756</v>
      </c>
      <c r="E197" t="s">
        <v>74</v>
      </c>
      <c r="F197" t="s">
        <v>3778</v>
      </c>
      <c r="G197" t="s">
        <v>3755</v>
      </c>
      <c r="H197" t="s">
        <v>74</v>
      </c>
      <c r="I197" t="s">
        <v>3779</v>
      </c>
      <c r="J197" t="s">
        <v>3759</v>
      </c>
      <c r="K197" t="s">
        <v>2488</v>
      </c>
      <c r="L197" t="s">
        <v>74</v>
      </c>
      <c r="M197" t="s">
        <v>78</v>
      </c>
      <c r="N197" t="s">
        <v>2370</v>
      </c>
      <c r="O197" t="s">
        <v>74</v>
      </c>
      <c r="P197" t="s">
        <v>74</v>
      </c>
      <c r="Q197" t="s">
        <v>74</v>
      </c>
      <c r="R197" t="s">
        <v>74</v>
      </c>
      <c r="S197" t="s">
        <v>74</v>
      </c>
      <c r="T197" t="s">
        <v>74</v>
      </c>
      <c r="U197" t="s">
        <v>2737</v>
      </c>
      <c r="V197" t="s">
        <v>3780</v>
      </c>
      <c r="W197" t="s">
        <v>3781</v>
      </c>
      <c r="X197" t="s">
        <v>3782</v>
      </c>
      <c r="Y197" t="s">
        <v>3783</v>
      </c>
      <c r="Z197" t="s">
        <v>3784</v>
      </c>
      <c r="AA197" t="s">
        <v>3785</v>
      </c>
      <c r="AB197" t="s">
        <v>3786</v>
      </c>
      <c r="AC197" t="s">
        <v>74</v>
      </c>
      <c r="AD197" t="s">
        <v>74</v>
      </c>
      <c r="AE197" t="s">
        <v>74</v>
      </c>
      <c r="AF197" t="s">
        <v>74</v>
      </c>
      <c r="AG197">
        <v>11</v>
      </c>
      <c r="AH197">
        <v>18</v>
      </c>
      <c r="AI197">
        <v>18</v>
      </c>
      <c r="AJ197">
        <v>0</v>
      </c>
      <c r="AK197">
        <v>1</v>
      </c>
      <c r="AL197" t="s">
        <v>240</v>
      </c>
      <c r="AM197" t="s">
        <v>241</v>
      </c>
      <c r="AN197" t="s">
        <v>242</v>
      </c>
      <c r="AO197" t="s">
        <v>2497</v>
      </c>
      <c r="AP197" t="s">
        <v>74</v>
      </c>
      <c r="AQ197" t="s">
        <v>3770</v>
      </c>
      <c r="AR197" t="s">
        <v>2499</v>
      </c>
      <c r="AS197" t="s">
        <v>74</v>
      </c>
      <c r="AT197" t="s">
        <v>74</v>
      </c>
      <c r="AU197">
        <v>2011</v>
      </c>
      <c r="AV197">
        <v>192</v>
      </c>
      <c r="AW197" t="s">
        <v>74</v>
      </c>
      <c r="AX197" t="s">
        <v>74</v>
      </c>
      <c r="AY197" t="s">
        <v>74</v>
      </c>
      <c r="AZ197" t="s">
        <v>74</v>
      </c>
      <c r="BA197" t="s">
        <v>74</v>
      </c>
      <c r="BB197">
        <v>149</v>
      </c>
      <c r="BC197">
        <v>157</v>
      </c>
      <c r="BD197" t="s">
        <v>74</v>
      </c>
      <c r="BE197" t="s">
        <v>3787</v>
      </c>
      <c r="BF197" t="str">
        <f>HYPERLINK("http://dx.doi.org/10.1029/2010GM000947","http://dx.doi.org/10.1029/2010GM000947")</f>
        <v>http://dx.doi.org/10.1029/2010GM000947</v>
      </c>
      <c r="BG197" t="s">
        <v>3772</v>
      </c>
      <c r="BH197" t="s">
        <v>74</v>
      </c>
      <c r="BI197">
        <v>9</v>
      </c>
      <c r="BJ197" t="s">
        <v>3773</v>
      </c>
      <c r="BK197" t="s">
        <v>2384</v>
      </c>
      <c r="BL197" t="s">
        <v>3774</v>
      </c>
      <c r="BM197" t="s">
        <v>3775</v>
      </c>
      <c r="BN197" t="s">
        <v>74</v>
      </c>
      <c r="BO197" t="s">
        <v>74</v>
      </c>
      <c r="BP197" t="s">
        <v>74</v>
      </c>
      <c r="BQ197" t="s">
        <v>74</v>
      </c>
      <c r="BR197" t="s">
        <v>103</v>
      </c>
      <c r="BS197" t="s">
        <v>3788</v>
      </c>
      <c r="BT197" t="str">
        <f>HYPERLINK("https%3A%2F%2Fwww.webofscience.com%2Fwos%2Fwoscc%2Ffull-record%2FWOS:000290418300009","View Full Record in Web of Science")</f>
        <v>View Full Record in Web of Science</v>
      </c>
    </row>
    <row r="198" spans="1:72" x14ac:dyDescent="0.15">
      <c r="A198" t="s">
        <v>72</v>
      </c>
      <c r="B198" t="s">
        <v>3789</v>
      </c>
      <c r="C198" t="s">
        <v>74</v>
      </c>
      <c r="D198" t="s">
        <v>74</v>
      </c>
      <c r="E198" t="s">
        <v>74</v>
      </c>
      <c r="F198" t="s">
        <v>3790</v>
      </c>
      <c r="G198" t="s">
        <v>74</v>
      </c>
      <c r="H198" t="s">
        <v>74</v>
      </c>
      <c r="I198" t="s">
        <v>3791</v>
      </c>
      <c r="J198" t="s">
        <v>3158</v>
      </c>
      <c r="K198" t="s">
        <v>74</v>
      </c>
      <c r="L198" t="s">
        <v>74</v>
      </c>
      <c r="M198" t="s">
        <v>78</v>
      </c>
      <c r="N198" t="s">
        <v>79</v>
      </c>
      <c r="O198" t="s">
        <v>74</v>
      </c>
      <c r="P198" t="s">
        <v>74</v>
      </c>
      <c r="Q198" t="s">
        <v>74</v>
      </c>
      <c r="R198" t="s">
        <v>74</v>
      </c>
      <c r="S198" t="s">
        <v>74</v>
      </c>
      <c r="T198" t="s">
        <v>74</v>
      </c>
      <c r="U198" t="s">
        <v>74</v>
      </c>
      <c r="V198" t="s">
        <v>3792</v>
      </c>
      <c r="W198" t="s">
        <v>3793</v>
      </c>
      <c r="X198" t="s">
        <v>3794</v>
      </c>
      <c r="Y198" t="s">
        <v>3795</v>
      </c>
      <c r="Z198" t="s">
        <v>3796</v>
      </c>
      <c r="AA198" t="s">
        <v>3797</v>
      </c>
      <c r="AB198" t="s">
        <v>3798</v>
      </c>
      <c r="AC198" t="s">
        <v>3799</v>
      </c>
      <c r="AD198" t="s">
        <v>3800</v>
      </c>
      <c r="AE198" t="s">
        <v>3801</v>
      </c>
      <c r="AF198" t="s">
        <v>74</v>
      </c>
      <c r="AG198">
        <v>8</v>
      </c>
      <c r="AH198">
        <v>2</v>
      </c>
      <c r="AI198">
        <v>2</v>
      </c>
      <c r="AJ198">
        <v>1</v>
      </c>
      <c r="AK198">
        <v>5</v>
      </c>
      <c r="AL198" t="s">
        <v>3169</v>
      </c>
      <c r="AM198" t="s">
        <v>2335</v>
      </c>
      <c r="AN198" t="s">
        <v>3170</v>
      </c>
      <c r="AO198" t="s">
        <v>3171</v>
      </c>
      <c r="AP198" t="s">
        <v>74</v>
      </c>
      <c r="AQ198" t="s">
        <v>74</v>
      </c>
      <c r="AR198" t="s">
        <v>3172</v>
      </c>
      <c r="AS198" t="s">
        <v>3173</v>
      </c>
      <c r="AT198" t="s">
        <v>74</v>
      </c>
      <c r="AU198">
        <v>2011</v>
      </c>
      <c r="AV198">
        <v>57</v>
      </c>
      <c r="AW198">
        <v>202</v>
      </c>
      <c r="AX198" t="s">
        <v>74</v>
      </c>
      <c r="AY198" t="s">
        <v>74</v>
      </c>
      <c r="AZ198" t="s">
        <v>74</v>
      </c>
      <c r="BA198" t="s">
        <v>74</v>
      </c>
      <c r="BB198">
        <v>337</v>
      </c>
      <c r="BC198">
        <v>344</v>
      </c>
      <c r="BD198" t="s">
        <v>74</v>
      </c>
      <c r="BE198" t="s">
        <v>3802</v>
      </c>
      <c r="BF198" t="str">
        <f>HYPERLINK("http://dx.doi.org/10.3189/002214311796405960","http://dx.doi.org/10.3189/002214311796405960")</f>
        <v>http://dx.doi.org/10.3189/002214311796405960</v>
      </c>
      <c r="BG198" t="s">
        <v>74</v>
      </c>
      <c r="BH198" t="s">
        <v>74</v>
      </c>
      <c r="BI198">
        <v>8</v>
      </c>
      <c r="BJ198" t="s">
        <v>222</v>
      </c>
      <c r="BK198" t="s">
        <v>100</v>
      </c>
      <c r="BL198" t="s">
        <v>223</v>
      </c>
      <c r="BM198" t="s">
        <v>3803</v>
      </c>
      <c r="BN198" t="s">
        <v>74</v>
      </c>
      <c r="BO198" t="s">
        <v>252</v>
      </c>
      <c r="BP198" t="s">
        <v>74</v>
      </c>
      <c r="BQ198" t="s">
        <v>74</v>
      </c>
      <c r="BR198" t="s">
        <v>103</v>
      </c>
      <c r="BS198" t="s">
        <v>3804</v>
      </c>
      <c r="BT198" t="str">
        <f>HYPERLINK("https%3A%2F%2Fwww.webofscience.com%2Fwos%2Fwoscc%2Ffull-record%2FWOS:000294083700015","View Full Record in Web of Science")</f>
        <v>View Full Record in Web of Science</v>
      </c>
    </row>
    <row r="199" spans="1:72" x14ac:dyDescent="0.15">
      <c r="A199" t="s">
        <v>72</v>
      </c>
      <c r="B199" t="s">
        <v>3805</v>
      </c>
      <c r="C199" t="s">
        <v>74</v>
      </c>
      <c r="D199" t="s">
        <v>74</v>
      </c>
      <c r="E199" t="s">
        <v>74</v>
      </c>
      <c r="F199" t="s">
        <v>3806</v>
      </c>
      <c r="G199" t="s">
        <v>74</v>
      </c>
      <c r="H199" t="s">
        <v>74</v>
      </c>
      <c r="I199" t="s">
        <v>3807</v>
      </c>
      <c r="J199" t="s">
        <v>3808</v>
      </c>
      <c r="K199" t="s">
        <v>74</v>
      </c>
      <c r="L199" t="s">
        <v>74</v>
      </c>
      <c r="M199" t="s">
        <v>78</v>
      </c>
      <c r="N199" t="s">
        <v>2000</v>
      </c>
      <c r="O199" t="s">
        <v>3809</v>
      </c>
      <c r="P199">
        <v>2009</v>
      </c>
      <c r="Q199" t="s">
        <v>3810</v>
      </c>
      <c r="R199" t="s">
        <v>74</v>
      </c>
      <c r="S199" t="s">
        <v>74</v>
      </c>
      <c r="T199" t="s">
        <v>3811</v>
      </c>
      <c r="U199" t="s">
        <v>3812</v>
      </c>
      <c r="V199" t="s">
        <v>3813</v>
      </c>
      <c r="W199" t="s">
        <v>3814</v>
      </c>
      <c r="X199" t="s">
        <v>3815</v>
      </c>
      <c r="Y199" t="s">
        <v>3816</v>
      </c>
      <c r="Z199" t="s">
        <v>3817</v>
      </c>
      <c r="AA199" t="s">
        <v>3818</v>
      </c>
      <c r="AB199" t="s">
        <v>3819</v>
      </c>
      <c r="AC199" t="s">
        <v>74</v>
      </c>
      <c r="AD199" t="s">
        <v>74</v>
      </c>
      <c r="AE199" t="s">
        <v>74</v>
      </c>
      <c r="AF199" t="s">
        <v>74</v>
      </c>
      <c r="AG199">
        <v>19</v>
      </c>
      <c r="AH199">
        <v>4</v>
      </c>
      <c r="AI199">
        <v>4</v>
      </c>
      <c r="AJ199">
        <v>0</v>
      </c>
      <c r="AK199">
        <v>7</v>
      </c>
      <c r="AL199" t="s">
        <v>270</v>
      </c>
      <c r="AM199" t="s">
        <v>91</v>
      </c>
      <c r="AN199" t="s">
        <v>296</v>
      </c>
      <c r="AO199" t="s">
        <v>74</v>
      </c>
      <c r="AP199" t="s">
        <v>3820</v>
      </c>
      <c r="AQ199" t="s">
        <v>74</v>
      </c>
      <c r="AR199" t="s">
        <v>3821</v>
      </c>
      <c r="AS199" t="s">
        <v>3822</v>
      </c>
      <c r="AT199" t="s">
        <v>74</v>
      </c>
      <c r="AU199">
        <v>2011</v>
      </c>
      <c r="AV199">
        <v>63</v>
      </c>
      <c r="AW199">
        <v>4</v>
      </c>
      <c r="AX199" t="s">
        <v>74</v>
      </c>
      <c r="AY199" t="s">
        <v>74</v>
      </c>
      <c r="AZ199" t="s">
        <v>74</v>
      </c>
      <c r="BA199" t="s">
        <v>74</v>
      </c>
      <c r="BB199">
        <v>327</v>
      </c>
      <c r="BC199">
        <v>333</v>
      </c>
      <c r="BD199" t="s">
        <v>74</v>
      </c>
      <c r="BE199" t="s">
        <v>3823</v>
      </c>
      <c r="BF199" t="str">
        <f>HYPERLINK("http://dx.doi.org/10.5047/eps.2011.01.006","http://dx.doi.org/10.5047/eps.2011.01.006")</f>
        <v>http://dx.doi.org/10.5047/eps.2011.01.006</v>
      </c>
      <c r="BG199" t="s">
        <v>74</v>
      </c>
      <c r="BH199" t="s">
        <v>74</v>
      </c>
      <c r="BI199">
        <v>7</v>
      </c>
      <c r="BJ199" t="s">
        <v>396</v>
      </c>
      <c r="BK199" t="s">
        <v>2022</v>
      </c>
      <c r="BL199" t="s">
        <v>397</v>
      </c>
      <c r="BM199" t="s">
        <v>3824</v>
      </c>
      <c r="BN199" t="s">
        <v>74</v>
      </c>
      <c r="BO199" t="s">
        <v>3825</v>
      </c>
      <c r="BP199" t="s">
        <v>74</v>
      </c>
      <c r="BQ199" t="s">
        <v>74</v>
      </c>
      <c r="BR199" t="s">
        <v>103</v>
      </c>
      <c r="BS199" t="s">
        <v>3826</v>
      </c>
      <c r="BT199" t="str">
        <f>HYPERLINK("https%3A%2F%2Fwww.webofscience.com%2Fwos%2Fwoscc%2Ffull-record%2FWOS:000293454500002","View Full Record in Web of Science")</f>
        <v>View Full Record in Web of Science</v>
      </c>
    </row>
    <row r="200" spans="1:72" x14ac:dyDescent="0.15">
      <c r="A200" t="s">
        <v>72</v>
      </c>
      <c r="B200" t="s">
        <v>3827</v>
      </c>
      <c r="C200" t="s">
        <v>74</v>
      </c>
      <c r="D200" t="s">
        <v>74</v>
      </c>
      <c r="E200" t="s">
        <v>74</v>
      </c>
      <c r="F200" t="s">
        <v>3828</v>
      </c>
      <c r="G200" t="s">
        <v>74</v>
      </c>
      <c r="H200" t="s">
        <v>74</v>
      </c>
      <c r="I200" t="s">
        <v>3829</v>
      </c>
      <c r="J200" t="s">
        <v>3830</v>
      </c>
      <c r="K200" t="s">
        <v>74</v>
      </c>
      <c r="L200" t="s">
        <v>74</v>
      </c>
      <c r="M200" t="s">
        <v>78</v>
      </c>
      <c r="N200" t="s">
        <v>79</v>
      </c>
      <c r="O200" t="s">
        <v>74</v>
      </c>
      <c r="P200" t="s">
        <v>74</v>
      </c>
      <c r="Q200" t="s">
        <v>74</v>
      </c>
      <c r="R200" t="s">
        <v>74</v>
      </c>
      <c r="S200" t="s">
        <v>74</v>
      </c>
      <c r="T200" t="s">
        <v>3831</v>
      </c>
      <c r="U200" t="s">
        <v>3832</v>
      </c>
      <c r="V200" t="s">
        <v>3833</v>
      </c>
      <c r="W200" t="s">
        <v>3834</v>
      </c>
      <c r="X200" t="s">
        <v>3835</v>
      </c>
      <c r="Y200" t="s">
        <v>3836</v>
      </c>
      <c r="Z200" t="s">
        <v>3837</v>
      </c>
      <c r="AA200" t="s">
        <v>3838</v>
      </c>
      <c r="AB200" t="s">
        <v>3839</v>
      </c>
      <c r="AC200" t="s">
        <v>3840</v>
      </c>
      <c r="AD200" t="s">
        <v>3841</v>
      </c>
      <c r="AE200" t="s">
        <v>3842</v>
      </c>
      <c r="AF200" t="s">
        <v>74</v>
      </c>
      <c r="AG200">
        <v>42</v>
      </c>
      <c r="AH200">
        <v>7</v>
      </c>
      <c r="AI200">
        <v>9</v>
      </c>
      <c r="AJ200">
        <v>0</v>
      </c>
      <c r="AK200">
        <v>20</v>
      </c>
      <c r="AL200" t="s">
        <v>1457</v>
      </c>
      <c r="AM200" t="s">
        <v>719</v>
      </c>
      <c r="AN200" t="s">
        <v>1458</v>
      </c>
      <c r="AO200" t="s">
        <v>3843</v>
      </c>
      <c r="AP200" t="s">
        <v>3844</v>
      </c>
      <c r="AQ200" t="s">
        <v>74</v>
      </c>
      <c r="AR200" t="s">
        <v>3845</v>
      </c>
      <c r="AS200" t="s">
        <v>3846</v>
      </c>
      <c r="AT200" t="s">
        <v>74</v>
      </c>
      <c r="AU200">
        <v>2011</v>
      </c>
      <c r="AV200">
        <v>39</v>
      </c>
      <c r="AW200" t="s">
        <v>2089</v>
      </c>
      <c r="AX200" t="s">
        <v>74</v>
      </c>
      <c r="AY200" t="s">
        <v>74</v>
      </c>
      <c r="AZ200" t="s">
        <v>967</v>
      </c>
      <c r="BA200" t="s">
        <v>74</v>
      </c>
      <c r="BB200">
        <v>170</v>
      </c>
      <c r="BC200">
        <v>182</v>
      </c>
      <c r="BD200" t="s">
        <v>74</v>
      </c>
      <c r="BE200" t="s">
        <v>3847</v>
      </c>
      <c r="BF200" t="str">
        <f>HYPERLINK("http://dx.doi.org/10.1016/j.ocemod.2010.12.004","http://dx.doi.org/10.1016/j.ocemod.2010.12.004")</f>
        <v>http://dx.doi.org/10.1016/j.ocemod.2010.12.004</v>
      </c>
      <c r="BG200" t="s">
        <v>74</v>
      </c>
      <c r="BH200" t="s">
        <v>74</v>
      </c>
      <c r="BI200">
        <v>13</v>
      </c>
      <c r="BJ200" t="s">
        <v>3724</v>
      </c>
      <c r="BK200" t="s">
        <v>100</v>
      </c>
      <c r="BL200" t="s">
        <v>3724</v>
      </c>
      <c r="BM200" t="s">
        <v>3848</v>
      </c>
      <c r="BN200" t="s">
        <v>74</v>
      </c>
      <c r="BO200" t="s">
        <v>74</v>
      </c>
      <c r="BP200" t="s">
        <v>74</v>
      </c>
      <c r="BQ200" t="s">
        <v>74</v>
      </c>
      <c r="BR200" t="s">
        <v>103</v>
      </c>
      <c r="BS200" t="s">
        <v>3849</v>
      </c>
      <c r="BT200" t="str">
        <f>HYPERLINK("https%3A%2F%2Fwww.webofscience.com%2Fwos%2Fwoscc%2Ffull-record%2FWOS:000293323100014","View Full Record in Web of Science")</f>
        <v>View Full Record in Web of Science</v>
      </c>
    </row>
    <row r="201" spans="1:72" x14ac:dyDescent="0.15">
      <c r="A201" t="s">
        <v>72</v>
      </c>
      <c r="B201" t="s">
        <v>3850</v>
      </c>
      <c r="C201" t="s">
        <v>74</v>
      </c>
      <c r="D201" t="s">
        <v>74</v>
      </c>
      <c r="E201" t="s">
        <v>74</v>
      </c>
      <c r="F201" t="s">
        <v>3851</v>
      </c>
      <c r="G201" t="s">
        <v>74</v>
      </c>
      <c r="H201" t="s">
        <v>74</v>
      </c>
      <c r="I201" t="s">
        <v>3852</v>
      </c>
      <c r="J201" t="s">
        <v>3853</v>
      </c>
      <c r="K201" t="s">
        <v>74</v>
      </c>
      <c r="L201" t="s">
        <v>74</v>
      </c>
      <c r="M201" t="s">
        <v>78</v>
      </c>
      <c r="N201" t="s">
        <v>79</v>
      </c>
      <c r="O201" t="s">
        <v>74</v>
      </c>
      <c r="P201" t="s">
        <v>74</v>
      </c>
      <c r="Q201" t="s">
        <v>74</v>
      </c>
      <c r="R201" t="s">
        <v>74</v>
      </c>
      <c r="S201" t="s">
        <v>74</v>
      </c>
      <c r="T201" t="s">
        <v>74</v>
      </c>
      <c r="U201" t="s">
        <v>74</v>
      </c>
      <c r="V201" t="s">
        <v>3854</v>
      </c>
      <c r="W201" t="s">
        <v>3855</v>
      </c>
      <c r="X201" t="s">
        <v>3856</v>
      </c>
      <c r="Y201" t="s">
        <v>3857</v>
      </c>
      <c r="Z201" t="s">
        <v>3858</v>
      </c>
      <c r="AA201" t="s">
        <v>3859</v>
      </c>
      <c r="AB201" t="s">
        <v>3860</v>
      </c>
      <c r="AC201" t="s">
        <v>74</v>
      </c>
      <c r="AD201" t="s">
        <v>74</v>
      </c>
      <c r="AE201" t="s">
        <v>74</v>
      </c>
      <c r="AF201" t="s">
        <v>74</v>
      </c>
      <c r="AG201">
        <v>13</v>
      </c>
      <c r="AH201">
        <v>7</v>
      </c>
      <c r="AI201">
        <v>7</v>
      </c>
      <c r="AJ201">
        <v>0</v>
      </c>
      <c r="AK201">
        <v>8</v>
      </c>
      <c r="AL201" t="s">
        <v>474</v>
      </c>
      <c r="AM201" t="s">
        <v>475</v>
      </c>
      <c r="AN201" t="s">
        <v>3861</v>
      </c>
      <c r="AO201" t="s">
        <v>3862</v>
      </c>
      <c r="AP201" t="s">
        <v>74</v>
      </c>
      <c r="AQ201" t="s">
        <v>74</v>
      </c>
      <c r="AR201" t="s">
        <v>3863</v>
      </c>
      <c r="AS201" t="s">
        <v>3864</v>
      </c>
      <c r="AT201" t="s">
        <v>74</v>
      </c>
      <c r="AU201">
        <v>2011</v>
      </c>
      <c r="AV201">
        <v>32</v>
      </c>
      <c r="AW201">
        <v>11</v>
      </c>
      <c r="AX201" t="s">
        <v>74</v>
      </c>
      <c r="AY201" t="s">
        <v>74</v>
      </c>
      <c r="AZ201" t="s">
        <v>967</v>
      </c>
      <c r="BA201" t="s">
        <v>74</v>
      </c>
      <c r="BB201">
        <v>3005</v>
      </c>
      <c r="BC201">
        <v>3017</v>
      </c>
      <c r="BD201" t="s">
        <v>74</v>
      </c>
      <c r="BE201" t="s">
        <v>3865</v>
      </c>
      <c r="BF201" t="str">
        <f>HYPERLINK("http://dx.doi.org/10.1080/01431161.2010.541512","http://dx.doi.org/10.1080/01431161.2010.541512")</f>
        <v>http://dx.doi.org/10.1080/01431161.2010.541512</v>
      </c>
      <c r="BG201" t="s">
        <v>74</v>
      </c>
      <c r="BH201" t="s">
        <v>74</v>
      </c>
      <c r="BI201">
        <v>13</v>
      </c>
      <c r="BJ201" t="s">
        <v>3866</v>
      </c>
      <c r="BK201" t="s">
        <v>100</v>
      </c>
      <c r="BL201" t="s">
        <v>3866</v>
      </c>
      <c r="BM201" t="s">
        <v>3867</v>
      </c>
      <c r="BN201" t="s">
        <v>74</v>
      </c>
      <c r="BO201" t="s">
        <v>74</v>
      </c>
      <c r="BP201" t="s">
        <v>74</v>
      </c>
      <c r="BQ201" t="s">
        <v>74</v>
      </c>
      <c r="BR201" t="s">
        <v>103</v>
      </c>
      <c r="BS201" t="s">
        <v>3868</v>
      </c>
      <c r="BT201" t="str">
        <f>HYPERLINK("https%3A%2F%2Fwww.webofscience.com%2Fwos%2Fwoscc%2Ffull-record%2FWOS:000293223900005","View Full Record in Web of Science")</f>
        <v>View Full Record in Web of Science</v>
      </c>
    </row>
    <row r="202" spans="1:72" x14ac:dyDescent="0.15">
      <c r="A202" t="s">
        <v>72</v>
      </c>
      <c r="B202" t="s">
        <v>3869</v>
      </c>
      <c r="C202" t="s">
        <v>74</v>
      </c>
      <c r="D202" t="s">
        <v>74</v>
      </c>
      <c r="E202" t="s">
        <v>74</v>
      </c>
      <c r="F202" t="s">
        <v>3870</v>
      </c>
      <c r="G202" t="s">
        <v>74</v>
      </c>
      <c r="H202" t="s">
        <v>74</v>
      </c>
      <c r="I202" t="s">
        <v>3871</v>
      </c>
      <c r="J202" t="s">
        <v>3853</v>
      </c>
      <c r="K202" t="s">
        <v>74</v>
      </c>
      <c r="L202" t="s">
        <v>74</v>
      </c>
      <c r="M202" t="s">
        <v>78</v>
      </c>
      <c r="N202" t="s">
        <v>79</v>
      </c>
      <c r="O202" t="s">
        <v>74</v>
      </c>
      <c r="P202" t="s">
        <v>74</v>
      </c>
      <c r="Q202" t="s">
        <v>74</v>
      </c>
      <c r="R202" t="s">
        <v>74</v>
      </c>
      <c r="S202" t="s">
        <v>74</v>
      </c>
      <c r="T202" t="s">
        <v>74</v>
      </c>
      <c r="U202" t="s">
        <v>3872</v>
      </c>
      <c r="V202" t="s">
        <v>3873</v>
      </c>
      <c r="W202" t="s">
        <v>3874</v>
      </c>
      <c r="X202" t="s">
        <v>3875</v>
      </c>
      <c r="Y202" t="s">
        <v>3876</v>
      </c>
      <c r="Z202" t="s">
        <v>3877</v>
      </c>
      <c r="AA202" t="s">
        <v>3878</v>
      </c>
      <c r="AB202" t="s">
        <v>3879</v>
      </c>
      <c r="AC202" t="s">
        <v>74</v>
      </c>
      <c r="AD202" t="s">
        <v>74</v>
      </c>
      <c r="AE202" t="s">
        <v>74</v>
      </c>
      <c r="AF202" t="s">
        <v>74</v>
      </c>
      <c r="AG202">
        <v>30</v>
      </c>
      <c r="AH202">
        <v>3</v>
      </c>
      <c r="AI202">
        <v>3</v>
      </c>
      <c r="AJ202">
        <v>0</v>
      </c>
      <c r="AK202">
        <v>4</v>
      </c>
      <c r="AL202" t="s">
        <v>474</v>
      </c>
      <c r="AM202" t="s">
        <v>475</v>
      </c>
      <c r="AN202" t="s">
        <v>3861</v>
      </c>
      <c r="AO202" t="s">
        <v>3862</v>
      </c>
      <c r="AP202" t="s">
        <v>74</v>
      </c>
      <c r="AQ202" t="s">
        <v>74</v>
      </c>
      <c r="AR202" t="s">
        <v>3863</v>
      </c>
      <c r="AS202" t="s">
        <v>3864</v>
      </c>
      <c r="AT202" t="s">
        <v>74</v>
      </c>
      <c r="AU202">
        <v>2011</v>
      </c>
      <c r="AV202">
        <v>32</v>
      </c>
      <c r="AW202">
        <v>11</v>
      </c>
      <c r="AX202" t="s">
        <v>74</v>
      </c>
      <c r="AY202" t="s">
        <v>74</v>
      </c>
      <c r="AZ202" t="s">
        <v>967</v>
      </c>
      <c r="BA202" t="s">
        <v>74</v>
      </c>
      <c r="BB202">
        <v>3139</v>
      </c>
      <c r="BC202">
        <v>3151</v>
      </c>
      <c r="BD202" t="s">
        <v>74</v>
      </c>
      <c r="BE202" t="s">
        <v>3880</v>
      </c>
      <c r="BF202" t="str">
        <f>HYPERLINK("http://dx.doi.org/10.1080/01431161.2010.541518","http://dx.doi.org/10.1080/01431161.2010.541518")</f>
        <v>http://dx.doi.org/10.1080/01431161.2010.541518</v>
      </c>
      <c r="BG202" t="s">
        <v>74</v>
      </c>
      <c r="BH202" t="s">
        <v>74</v>
      </c>
      <c r="BI202">
        <v>13</v>
      </c>
      <c r="BJ202" t="s">
        <v>3866</v>
      </c>
      <c r="BK202" t="s">
        <v>100</v>
      </c>
      <c r="BL202" t="s">
        <v>3866</v>
      </c>
      <c r="BM202" t="s">
        <v>3867</v>
      </c>
      <c r="BN202" t="s">
        <v>74</v>
      </c>
      <c r="BO202" t="s">
        <v>74</v>
      </c>
      <c r="BP202" t="s">
        <v>74</v>
      </c>
      <c r="BQ202" t="s">
        <v>74</v>
      </c>
      <c r="BR202" t="s">
        <v>103</v>
      </c>
      <c r="BS202" t="s">
        <v>3881</v>
      </c>
      <c r="BT202" t="str">
        <f>HYPERLINK("https%3A%2F%2Fwww.webofscience.com%2Fwos%2Fwoscc%2Ffull-record%2FWOS:000293223900015","View Full Record in Web of Science")</f>
        <v>View Full Record in Web of Science</v>
      </c>
    </row>
    <row r="203" spans="1:72" x14ac:dyDescent="0.15">
      <c r="A203" t="s">
        <v>72</v>
      </c>
      <c r="B203" t="s">
        <v>3882</v>
      </c>
      <c r="C203" t="s">
        <v>74</v>
      </c>
      <c r="D203" t="s">
        <v>74</v>
      </c>
      <c r="E203" t="s">
        <v>74</v>
      </c>
      <c r="F203" t="s">
        <v>3883</v>
      </c>
      <c r="G203" t="s">
        <v>74</v>
      </c>
      <c r="H203" t="s">
        <v>74</v>
      </c>
      <c r="I203" t="s">
        <v>3884</v>
      </c>
      <c r="J203" t="s">
        <v>3853</v>
      </c>
      <c r="K203" t="s">
        <v>74</v>
      </c>
      <c r="L203" t="s">
        <v>74</v>
      </c>
      <c r="M203" t="s">
        <v>78</v>
      </c>
      <c r="N203" t="s">
        <v>79</v>
      </c>
      <c r="O203" t="s">
        <v>74</v>
      </c>
      <c r="P203" t="s">
        <v>74</v>
      </c>
      <c r="Q203" t="s">
        <v>74</v>
      </c>
      <c r="R203" t="s">
        <v>74</v>
      </c>
      <c r="S203" t="s">
        <v>74</v>
      </c>
      <c r="T203" t="s">
        <v>74</v>
      </c>
      <c r="U203" t="s">
        <v>3885</v>
      </c>
      <c r="V203" t="s">
        <v>3886</v>
      </c>
      <c r="W203" t="s">
        <v>3887</v>
      </c>
      <c r="X203" t="s">
        <v>3888</v>
      </c>
      <c r="Y203" t="s">
        <v>3889</v>
      </c>
      <c r="Z203" t="s">
        <v>3890</v>
      </c>
      <c r="AA203" t="s">
        <v>3891</v>
      </c>
      <c r="AB203" t="s">
        <v>3892</v>
      </c>
      <c r="AC203" t="s">
        <v>74</v>
      </c>
      <c r="AD203" t="s">
        <v>74</v>
      </c>
      <c r="AE203" t="s">
        <v>74</v>
      </c>
      <c r="AF203" t="s">
        <v>74</v>
      </c>
      <c r="AG203">
        <v>28</v>
      </c>
      <c r="AH203">
        <v>3</v>
      </c>
      <c r="AI203">
        <v>5</v>
      </c>
      <c r="AJ203">
        <v>0</v>
      </c>
      <c r="AK203">
        <v>15</v>
      </c>
      <c r="AL203" t="s">
        <v>474</v>
      </c>
      <c r="AM203" t="s">
        <v>475</v>
      </c>
      <c r="AN203" t="s">
        <v>476</v>
      </c>
      <c r="AO203" t="s">
        <v>3862</v>
      </c>
      <c r="AP203" t="s">
        <v>3893</v>
      </c>
      <c r="AQ203" t="s">
        <v>74</v>
      </c>
      <c r="AR203" t="s">
        <v>3863</v>
      </c>
      <c r="AS203" t="s">
        <v>3864</v>
      </c>
      <c r="AT203" t="s">
        <v>74</v>
      </c>
      <c r="AU203">
        <v>2011</v>
      </c>
      <c r="AV203">
        <v>32</v>
      </c>
      <c r="AW203">
        <v>11</v>
      </c>
      <c r="AX203" t="s">
        <v>74</v>
      </c>
      <c r="AY203" t="s">
        <v>74</v>
      </c>
      <c r="AZ203" t="s">
        <v>967</v>
      </c>
      <c r="BA203" t="s">
        <v>74</v>
      </c>
      <c r="BB203">
        <v>3153</v>
      </c>
      <c r="BC203">
        <v>3164</v>
      </c>
      <c r="BD203" t="s">
        <v>74</v>
      </c>
      <c r="BE203" t="s">
        <v>3894</v>
      </c>
      <c r="BF203" t="str">
        <f>HYPERLINK("http://dx.doi.org/10.1080/01431161.2010.541515","http://dx.doi.org/10.1080/01431161.2010.541515")</f>
        <v>http://dx.doi.org/10.1080/01431161.2010.541515</v>
      </c>
      <c r="BG203" t="s">
        <v>74</v>
      </c>
      <c r="BH203" t="s">
        <v>74</v>
      </c>
      <c r="BI203">
        <v>12</v>
      </c>
      <c r="BJ203" t="s">
        <v>3866</v>
      </c>
      <c r="BK203" t="s">
        <v>100</v>
      </c>
      <c r="BL203" t="s">
        <v>3866</v>
      </c>
      <c r="BM203" t="s">
        <v>3867</v>
      </c>
      <c r="BN203" t="s">
        <v>74</v>
      </c>
      <c r="BO203" t="s">
        <v>74</v>
      </c>
      <c r="BP203" t="s">
        <v>74</v>
      </c>
      <c r="BQ203" t="s">
        <v>74</v>
      </c>
      <c r="BR203" t="s">
        <v>103</v>
      </c>
      <c r="BS203" t="s">
        <v>3895</v>
      </c>
      <c r="BT203" t="str">
        <f>HYPERLINK("https%3A%2F%2Fwww.webofscience.com%2Fwos%2Fwoscc%2Ffull-record%2FWOS:000293223900016","View Full Record in Web of Science")</f>
        <v>View Full Record in Web of Science</v>
      </c>
    </row>
    <row r="204" spans="1:72" x14ac:dyDescent="0.15">
      <c r="A204" t="s">
        <v>72</v>
      </c>
      <c r="B204" t="s">
        <v>3896</v>
      </c>
      <c r="C204" t="s">
        <v>74</v>
      </c>
      <c r="D204" t="s">
        <v>74</v>
      </c>
      <c r="E204" t="s">
        <v>74</v>
      </c>
      <c r="F204" t="s">
        <v>3897</v>
      </c>
      <c r="G204" t="s">
        <v>74</v>
      </c>
      <c r="H204" t="s">
        <v>74</v>
      </c>
      <c r="I204" t="s">
        <v>3898</v>
      </c>
      <c r="J204" t="s">
        <v>3853</v>
      </c>
      <c r="K204" t="s">
        <v>74</v>
      </c>
      <c r="L204" t="s">
        <v>74</v>
      </c>
      <c r="M204" t="s">
        <v>78</v>
      </c>
      <c r="N204" t="s">
        <v>79</v>
      </c>
      <c r="O204" t="s">
        <v>74</v>
      </c>
      <c r="P204" t="s">
        <v>74</v>
      </c>
      <c r="Q204" t="s">
        <v>74</v>
      </c>
      <c r="R204" t="s">
        <v>74</v>
      </c>
      <c r="S204" t="s">
        <v>74</v>
      </c>
      <c r="T204" t="s">
        <v>74</v>
      </c>
      <c r="U204" t="s">
        <v>3899</v>
      </c>
      <c r="V204" t="s">
        <v>3900</v>
      </c>
      <c r="W204" t="s">
        <v>3901</v>
      </c>
      <c r="X204" t="s">
        <v>3888</v>
      </c>
      <c r="Y204" t="s">
        <v>3889</v>
      </c>
      <c r="Z204" t="s">
        <v>3890</v>
      </c>
      <c r="AA204" t="s">
        <v>3902</v>
      </c>
      <c r="AB204" t="s">
        <v>3903</v>
      </c>
      <c r="AC204" t="s">
        <v>74</v>
      </c>
      <c r="AD204" t="s">
        <v>74</v>
      </c>
      <c r="AE204" t="s">
        <v>74</v>
      </c>
      <c r="AF204" t="s">
        <v>74</v>
      </c>
      <c r="AG204">
        <v>12</v>
      </c>
      <c r="AH204">
        <v>4</v>
      </c>
      <c r="AI204">
        <v>4</v>
      </c>
      <c r="AJ204">
        <v>0</v>
      </c>
      <c r="AK204">
        <v>7</v>
      </c>
      <c r="AL204" t="s">
        <v>474</v>
      </c>
      <c r="AM204" t="s">
        <v>475</v>
      </c>
      <c r="AN204" t="s">
        <v>3861</v>
      </c>
      <c r="AO204" t="s">
        <v>3862</v>
      </c>
      <c r="AP204" t="s">
        <v>74</v>
      </c>
      <c r="AQ204" t="s">
        <v>74</v>
      </c>
      <c r="AR204" t="s">
        <v>3863</v>
      </c>
      <c r="AS204" t="s">
        <v>3864</v>
      </c>
      <c r="AT204" t="s">
        <v>74</v>
      </c>
      <c r="AU204">
        <v>2011</v>
      </c>
      <c r="AV204">
        <v>32</v>
      </c>
      <c r="AW204">
        <v>11</v>
      </c>
      <c r="AX204" t="s">
        <v>74</v>
      </c>
      <c r="AY204" t="s">
        <v>74</v>
      </c>
      <c r="AZ204" t="s">
        <v>967</v>
      </c>
      <c r="BA204" t="s">
        <v>74</v>
      </c>
      <c r="BB204">
        <v>3179</v>
      </c>
      <c r="BC204">
        <v>3186</v>
      </c>
      <c r="BD204" t="s">
        <v>74</v>
      </c>
      <c r="BE204" t="s">
        <v>3904</v>
      </c>
      <c r="BF204" t="str">
        <f>HYPERLINK("http://dx.doi.org/10.1080/01431161.2010.541519","http://dx.doi.org/10.1080/01431161.2010.541519")</f>
        <v>http://dx.doi.org/10.1080/01431161.2010.541519</v>
      </c>
      <c r="BG204" t="s">
        <v>74</v>
      </c>
      <c r="BH204" t="s">
        <v>74</v>
      </c>
      <c r="BI204">
        <v>8</v>
      </c>
      <c r="BJ204" t="s">
        <v>3866</v>
      </c>
      <c r="BK204" t="s">
        <v>100</v>
      </c>
      <c r="BL204" t="s">
        <v>3866</v>
      </c>
      <c r="BM204" t="s">
        <v>3867</v>
      </c>
      <c r="BN204" t="s">
        <v>74</v>
      </c>
      <c r="BO204" t="s">
        <v>74</v>
      </c>
      <c r="BP204" t="s">
        <v>74</v>
      </c>
      <c r="BQ204" t="s">
        <v>74</v>
      </c>
      <c r="BR204" t="s">
        <v>103</v>
      </c>
      <c r="BS204" t="s">
        <v>3905</v>
      </c>
      <c r="BT204" t="str">
        <f>HYPERLINK("https%3A%2F%2Fwww.webofscience.com%2Fwos%2Fwoscc%2Ffull-record%2FWOS:000293223900018","View Full Record in Web of Science")</f>
        <v>View Full Record in Web of Science</v>
      </c>
    </row>
    <row r="205" spans="1:72" x14ac:dyDescent="0.15">
      <c r="A205" t="s">
        <v>72</v>
      </c>
      <c r="B205" t="s">
        <v>3906</v>
      </c>
      <c r="C205" t="s">
        <v>74</v>
      </c>
      <c r="D205" t="s">
        <v>74</v>
      </c>
      <c r="E205" t="s">
        <v>74</v>
      </c>
      <c r="F205" t="s">
        <v>3907</v>
      </c>
      <c r="G205" t="s">
        <v>74</v>
      </c>
      <c r="H205" t="s">
        <v>74</v>
      </c>
      <c r="I205" t="s">
        <v>3908</v>
      </c>
      <c r="J205" t="s">
        <v>3853</v>
      </c>
      <c r="K205" t="s">
        <v>74</v>
      </c>
      <c r="L205" t="s">
        <v>74</v>
      </c>
      <c r="M205" t="s">
        <v>78</v>
      </c>
      <c r="N205" t="s">
        <v>79</v>
      </c>
      <c r="O205" t="s">
        <v>74</v>
      </c>
      <c r="P205" t="s">
        <v>74</v>
      </c>
      <c r="Q205" t="s">
        <v>74</v>
      </c>
      <c r="R205" t="s">
        <v>74</v>
      </c>
      <c r="S205" t="s">
        <v>74</v>
      </c>
      <c r="T205" t="s">
        <v>74</v>
      </c>
      <c r="U205" t="s">
        <v>3909</v>
      </c>
      <c r="V205" t="s">
        <v>3910</v>
      </c>
      <c r="W205" t="s">
        <v>3911</v>
      </c>
      <c r="X205" t="s">
        <v>3912</v>
      </c>
      <c r="Y205" t="s">
        <v>3913</v>
      </c>
      <c r="Z205" t="s">
        <v>3914</v>
      </c>
      <c r="AA205" t="s">
        <v>3915</v>
      </c>
      <c r="AB205" t="s">
        <v>3916</v>
      </c>
      <c r="AC205" t="s">
        <v>74</v>
      </c>
      <c r="AD205" t="s">
        <v>74</v>
      </c>
      <c r="AE205" t="s">
        <v>74</v>
      </c>
      <c r="AF205" t="s">
        <v>74</v>
      </c>
      <c r="AG205">
        <v>21</v>
      </c>
      <c r="AH205">
        <v>2</v>
      </c>
      <c r="AI205">
        <v>2</v>
      </c>
      <c r="AJ205">
        <v>0</v>
      </c>
      <c r="AK205">
        <v>8</v>
      </c>
      <c r="AL205" t="s">
        <v>474</v>
      </c>
      <c r="AM205" t="s">
        <v>475</v>
      </c>
      <c r="AN205" t="s">
        <v>3861</v>
      </c>
      <c r="AO205" t="s">
        <v>3862</v>
      </c>
      <c r="AP205" t="s">
        <v>74</v>
      </c>
      <c r="AQ205" t="s">
        <v>74</v>
      </c>
      <c r="AR205" t="s">
        <v>3863</v>
      </c>
      <c r="AS205" t="s">
        <v>3864</v>
      </c>
      <c r="AT205" t="s">
        <v>74</v>
      </c>
      <c r="AU205">
        <v>2011</v>
      </c>
      <c r="AV205">
        <v>32</v>
      </c>
      <c r="AW205">
        <v>11</v>
      </c>
      <c r="AX205" t="s">
        <v>74</v>
      </c>
      <c r="AY205" t="s">
        <v>74</v>
      </c>
      <c r="AZ205" t="s">
        <v>967</v>
      </c>
      <c r="BA205" t="s">
        <v>74</v>
      </c>
      <c r="BB205">
        <v>3187</v>
      </c>
      <c r="BC205">
        <v>3197</v>
      </c>
      <c r="BD205" t="s">
        <v>74</v>
      </c>
      <c r="BE205" t="s">
        <v>3917</v>
      </c>
      <c r="BF205" t="str">
        <f>HYPERLINK("http://dx.doi.org/10.1080/01431161.2010.541511","http://dx.doi.org/10.1080/01431161.2010.541511")</f>
        <v>http://dx.doi.org/10.1080/01431161.2010.541511</v>
      </c>
      <c r="BG205" t="s">
        <v>74</v>
      </c>
      <c r="BH205" t="s">
        <v>74</v>
      </c>
      <c r="BI205">
        <v>11</v>
      </c>
      <c r="BJ205" t="s">
        <v>3866</v>
      </c>
      <c r="BK205" t="s">
        <v>100</v>
      </c>
      <c r="BL205" t="s">
        <v>3866</v>
      </c>
      <c r="BM205" t="s">
        <v>3867</v>
      </c>
      <c r="BN205" t="s">
        <v>74</v>
      </c>
      <c r="BO205" t="s">
        <v>74</v>
      </c>
      <c r="BP205" t="s">
        <v>74</v>
      </c>
      <c r="BQ205" t="s">
        <v>74</v>
      </c>
      <c r="BR205" t="s">
        <v>103</v>
      </c>
      <c r="BS205" t="s">
        <v>3918</v>
      </c>
      <c r="BT205" t="str">
        <f>HYPERLINK("https%3A%2F%2Fwww.webofscience.com%2Fwos%2Fwoscc%2Ffull-record%2FWOS:000293223900019","View Full Record in Web of Science")</f>
        <v>View Full Record in Web of Science</v>
      </c>
    </row>
    <row r="206" spans="1:72" x14ac:dyDescent="0.15">
      <c r="A206" t="s">
        <v>72</v>
      </c>
      <c r="B206" t="s">
        <v>3919</v>
      </c>
      <c r="C206" t="s">
        <v>74</v>
      </c>
      <c r="D206" t="s">
        <v>74</v>
      </c>
      <c r="E206" t="s">
        <v>74</v>
      </c>
      <c r="F206" t="s">
        <v>3920</v>
      </c>
      <c r="G206" t="s">
        <v>74</v>
      </c>
      <c r="H206" t="s">
        <v>74</v>
      </c>
      <c r="I206" t="s">
        <v>3921</v>
      </c>
      <c r="J206" t="s">
        <v>705</v>
      </c>
      <c r="K206" t="s">
        <v>74</v>
      </c>
      <c r="L206" t="s">
        <v>74</v>
      </c>
      <c r="M206" t="s">
        <v>78</v>
      </c>
      <c r="N206" t="s">
        <v>79</v>
      </c>
      <c r="O206" t="s">
        <v>74</v>
      </c>
      <c r="P206" t="s">
        <v>74</v>
      </c>
      <c r="Q206" t="s">
        <v>74</v>
      </c>
      <c r="R206" t="s">
        <v>74</v>
      </c>
      <c r="S206" t="s">
        <v>74</v>
      </c>
      <c r="T206" t="s">
        <v>3922</v>
      </c>
      <c r="U206" t="s">
        <v>3923</v>
      </c>
      <c r="V206" t="s">
        <v>3924</v>
      </c>
      <c r="W206" t="s">
        <v>3925</v>
      </c>
      <c r="X206" t="s">
        <v>3926</v>
      </c>
      <c r="Y206" t="s">
        <v>3927</v>
      </c>
      <c r="Z206" t="s">
        <v>3928</v>
      </c>
      <c r="AA206" t="s">
        <v>3929</v>
      </c>
      <c r="AB206" t="s">
        <v>3930</v>
      </c>
      <c r="AC206" t="s">
        <v>3931</v>
      </c>
      <c r="AD206" t="s">
        <v>3932</v>
      </c>
      <c r="AE206" t="s">
        <v>3933</v>
      </c>
      <c r="AF206" t="s">
        <v>74</v>
      </c>
      <c r="AG206">
        <v>114</v>
      </c>
      <c r="AH206">
        <v>47</v>
      </c>
      <c r="AI206">
        <v>50</v>
      </c>
      <c r="AJ206">
        <v>3</v>
      </c>
      <c r="AK206">
        <v>51</v>
      </c>
      <c r="AL206" t="s">
        <v>718</v>
      </c>
      <c r="AM206" t="s">
        <v>719</v>
      </c>
      <c r="AN206" t="s">
        <v>720</v>
      </c>
      <c r="AO206" t="s">
        <v>721</v>
      </c>
      <c r="AP206" t="s">
        <v>3934</v>
      </c>
      <c r="AQ206" t="s">
        <v>74</v>
      </c>
      <c r="AR206" t="s">
        <v>722</v>
      </c>
      <c r="AS206" t="s">
        <v>723</v>
      </c>
      <c r="AT206" t="s">
        <v>3935</v>
      </c>
      <c r="AU206">
        <v>2011</v>
      </c>
      <c r="AV206">
        <v>58</v>
      </c>
      <c r="AW206">
        <v>1</v>
      </c>
      <c r="AX206" t="s">
        <v>74</v>
      </c>
      <c r="AY206" t="s">
        <v>74</v>
      </c>
      <c r="AZ206" t="s">
        <v>74</v>
      </c>
      <c r="BA206" t="s">
        <v>74</v>
      </c>
      <c r="BB206">
        <v>72</v>
      </c>
      <c r="BC206">
        <v>85</v>
      </c>
      <c r="BD206" t="s">
        <v>74</v>
      </c>
      <c r="BE206" t="s">
        <v>3936</v>
      </c>
      <c r="BF206" t="str">
        <f>HYPERLINK("http://dx.doi.org/10.1016/j.dsr.2010.11.010","http://dx.doi.org/10.1016/j.dsr.2010.11.010")</f>
        <v>http://dx.doi.org/10.1016/j.dsr.2010.11.010</v>
      </c>
      <c r="BG206" t="s">
        <v>74</v>
      </c>
      <c r="BH206" t="s">
        <v>74</v>
      </c>
      <c r="BI206">
        <v>14</v>
      </c>
      <c r="BJ206" t="s">
        <v>250</v>
      </c>
      <c r="BK206" t="s">
        <v>100</v>
      </c>
      <c r="BL206" t="s">
        <v>250</v>
      </c>
      <c r="BM206" t="s">
        <v>3937</v>
      </c>
      <c r="BN206" t="s">
        <v>74</v>
      </c>
      <c r="BO206" t="s">
        <v>74</v>
      </c>
      <c r="BP206" t="s">
        <v>74</v>
      </c>
      <c r="BQ206" t="s">
        <v>74</v>
      </c>
      <c r="BR206" t="s">
        <v>103</v>
      </c>
      <c r="BS206" t="s">
        <v>3938</v>
      </c>
      <c r="BT206" t="str">
        <f>HYPERLINK("https%3A%2F%2Fwww.webofscience.com%2Fwos%2Fwoscc%2Ffull-record%2FWOS:000287565900007","View Full Record in Web of Science")</f>
        <v>View Full Record in Web of Science</v>
      </c>
    </row>
    <row r="207" spans="1:72" x14ac:dyDescent="0.15">
      <c r="A207" t="s">
        <v>2363</v>
      </c>
      <c r="B207" t="s">
        <v>3939</v>
      </c>
      <c r="C207" t="s">
        <v>74</v>
      </c>
      <c r="D207" t="s">
        <v>3940</v>
      </c>
      <c r="E207" t="s">
        <v>74</v>
      </c>
      <c r="F207" t="s">
        <v>3941</v>
      </c>
      <c r="G207" t="s">
        <v>74</v>
      </c>
      <c r="H207" t="s">
        <v>74</v>
      </c>
      <c r="I207" t="s">
        <v>3942</v>
      </c>
      <c r="J207" t="s">
        <v>3943</v>
      </c>
      <c r="K207" t="s">
        <v>74</v>
      </c>
      <c r="L207" t="s">
        <v>74</v>
      </c>
      <c r="M207" t="s">
        <v>78</v>
      </c>
      <c r="N207" t="s">
        <v>2370</v>
      </c>
      <c r="O207" t="s">
        <v>74</v>
      </c>
      <c r="P207" t="s">
        <v>74</v>
      </c>
      <c r="Q207" t="s">
        <v>74</v>
      </c>
      <c r="R207" t="s">
        <v>74</v>
      </c>
      <c r="S207" t="s">
        <v>74</v>
      </c>
      <c r="T207" t="s">
        <v>74</v>
      </c>
      <c r="U207" t="s">
        <v>74</v>
      </c>
      <c r="V207" t="s">
        <v>3944</v>
      </c>
      <c r="W207" t="s">
        <v>3945</v>
      </c>
      <c r="X207" t="s">
        <v>3946</v>
      </c>
      <c r="Y207" t="s">
        <v>3947</v>
      </c>
      <c r="Z207" t="s">
        <v>3948</v>
      </c>
      <c r="AA207" t="s">
        <v>74</v>
      </c>
      <c r="AB207" t="s">
        <v>74</v>
      </c>
      <c r="AC207" t="s">
        <v>74</v>
      </c>
      <c r="AD207" t="s">
        <v>74</v>
      </c>
      <c r="AE207" t="s">
        <v>74</v>
      </c>
      <c r="AF207" t="s">
        <v>74</v>
      </c>
      <c r="AG207">
        <v>13</v>
      </c>
      <c r="AH207">
        <v>0</v>
      </c>
      <c r="AI207">
        <v>0</v>
      </c>
      <c r="AJ207">
        <v>0</v>
      </c>
      <c r="AK207">
        <v>2</v>
      </c>
      <c r="AL207" t="s">
        <v>3949</v>
      </c>
      <c r="AM207" t="s">
        <v>1196</v>
      </c>
      <c r="AN207" t="s">
        <v>3950</v>
      </c>
      <c r="AO207" t="s">
        <v>74</v>
      </c>
      <c r="AP207" t="s">
        <v>74</v>
      </c>
      <c r="AQ207" t="s">
        <v>3951</v>
      </c>
      <c r="AR207" t="s">
        <v>74</v>
      </c>
      <c r="AS207" t="s">
        <v>74</v>
      </c>
      <c r="AT207" t="s">
        <v>74</v>
      </c>
      <c r="AU207">
        <v>2011</v>
      </c>
      <c r="AV207" t="s">
        <v>74</v>
      </c>
      <c r="AW207" t="s">
        <v>74</v>
      </c>
      <c r="AX207" t="s">
        <v>74</v>
      </c>
      <c r="AY207" t="s">
        <v>74</v>
      </c>
      <c r="AZ207" t="s">
        <v>74</v>
      </c>
      <c r="BA207" t="s">
        <v>74</v>
      </c>
      <c r="BB207">
        <v>27</v>
      </c>
      <c r="BC207">
        <v>50</v>
      </c>
      <c r="BD207" t="s">
        <v>74</v>
      </c>
      <c r="BE207" t="s">
        <v>3952</v>
      </c>
      <c r="BF207" t="str">
        <f>HYPERLINK("http://dx.doi.org/10.1007/978-3-7908-2628-9_3","http://dx.doi.org/10.1007/978-3-7908-2628-9_3")</f>
        <v>http://dx.doi.org/10.1007/978-3-7908-2628-9_3</v>
      </c>
      <c r="BG207" t="s">
        <v>3953</v>
      </c>
      <c r="BH207" t="s">
        <v>74</v>
      </c>
      <c r="BI207">
        <v>24</v>
      </c>
      <c r="BJ207" t="s">
        <v>3954</v>
      </c>
      <c r="BK207" t="s">
        <v>2384</v>
      </c>
      <c r="BL207" t="s">
        <v>3955</v>
      </c>
      <c r="BM207" t="s">
        <v>3956</v>
      </c>
      <c r="BN207" t="s">
        <v>74</v>
      </c>
      <c r="BO207" t="s">
        <v>74</v>
      </c>
      <c r="BP207" t="s">
        <v>74</v>
      </c>
      <c r="BQ207" t="s">
        <v>74</v>
      </c>
      <c r="BR207" t="s">
        <v>103</v>
      </c>
      <c r="BS207" t="s">
        <v>3957</v>
      </c>
      <c r="BT207" t="str">
        <f>HYPERLINK("https%3A%2F%2Fwww.webofscience.com%2Fwos%2Fwoscc%2Ffull-record%2FWOS:000284726800003","View Full Record in Web of Science")</f>
        <v>View Full Record in Web of Science</v>
      </c>
    </row>
    <row r="208" spans="1:72" x14ac:dyDescent="0.15">
      <c r="A208" t="s">
        <v>72</v>
      </c>
      <c r="B208" t="s">
        <v>3958</v>
      </c>
      <c r="C208" t="s">
        <v>74</v>
      </c>
      <c r="D208" t="s">
        <v>74</v>
      </c>
      <c r="E208" t="s">
        <v>74</v>
      </c>
      <c r="F208" t="s">
        <v>3959</v>
      </c>
      <c r="G208" t="s">
        <v>74</v>
      </c>
      <c r="H208" t="s">
        <v>74</v>
      </c>
      <c r="I208" t="s">
        <v>3960</v>
      </c>
      <c r="J208" t="s">
        <v>3961</v>
      </c>
      <c r="K208" t="s">
        <v>74</v>
      </c>
      <c r="L208" t="s">
        <v>74</v>
      </c>
      <c r="M208" t="s">
        <v>78</v>
      </c>
      <c r="N208" t="s">
        <v>79</v>
      </c>
      <c r="O208" t="s">
        <v>74</v>
      </c>
      <c r="P208" t="s">
        <v>74</v>
      </c>
      <c r="Q208" t="s">
        <v>74</v>
      </c>
      <c r="R208" t="s">
        <v>74</v>
      </c>
      <c r="S208" t="s">
        <v>74</v>
      </c>
      <c r="T208" t="s">
        <v>3962</v>
      </c>
      <c r="U208" t="s">
        <v>3963</v>
      </c>
      <c r="V208" t="s">
        <v>3964</v>
      </c>
      <c r="W208" t="s">
        <v>3965</v>
      </c>
      <c r="X208" t="s">
        <v>3966</v>
      </c>
      <c r="Y208" t="s">
        <v>3967</v>
      </c>
      <c r="Z208" t="s">
        <v>3968</v>
      </c>
      <c r="AA208" t="s">
        <v>3969</v>
      </c>
      <c r="AB208" t="s">
        <v>3970</v>
      </c>
      <c r="AC208" t="s">
        <v>3971</v>
      </c>
      <c r="AD208" t="s">
        <v>3971</v>
      </c>
      <c r="AE208" t="s">
        <v>3972</v>
      </c>
      <c r="AF208" t="s">
        <v>74</v>
      </c>
      <c r="AG208">
        <v>18</v>
      </c>
      <c r="AH208">
        <v>0</v>
      </c>
      <c r="AI208">
        <v>0</v>
      </c>
      <c r="AJ208">
        <v>0</v>
      </c>
      <c r="AK208">
        <v>7</v>
      </c>
      <c r="AL208" t="s">
        <v>3973</v>
      </c>
      <c r="AM208" t="s">
        <v>3974</v>
      </c>
      <c r="AN208" t="s">
        <v>3975</v>
      </c>
      <c r="AO208" t="s">
        <v>3976</v>
      </c>
      <c r="AP208" t="s">
        <v>3977</v>
      </c>
      <c r="AQ208" t="s">
        <v>74</v>
      </c>
      <c r="AR208" t="s">
        <v>3978</v>
      </c>
      <c r="AS208" t="s">
        <v>3979</v>
      </c>
      <c r="AT208" t="s">
        <v>74</v>
      </c>
      <c r="AU208">
        <v>2011</v>
      </c>
      <c r="AV208">
        <v>35</v>
      </c>
      <c r="AW208">
        <v>4</v>
      </c>
      <c r="AX208" t="s">
        <v>74</v>
      </c>
      <c r="AY208" t="s">
        <v>74</v>
      </c>
      <c r="AZ208" t="s">
        <v>74</v>
      </c>
      <c r="BA208" t="s">
        <v>74</v>
      </c>
      <c r="BB208">
        <v>611</v>
      </c>
      <c r="BC208">
        <v>614</v>
      </c>
      <c r="BD208" t="s">
        <v>74</v>
      </c>
      <c r="BE208" t="s">
        <v>3980</v>
      </c>
      <c r="BF208" t="str">
        <f>HYPERLINK("http://dx.doi.org/10.3906/zoo-0911-118","http://dx.doi.org/10.3906/zoo-0911-118")</f>
        <v>http://dx.doi.org/10.3906/zoo-0911-118</v>
      </c>
      <c r="BG208" t="s">
        <v>74</v>
      </c>
      <c r="BH208" t="s">
        <v>74</v>
      </c>
      <c r="BI208">
        <v>4</v>
      </c>
      <c r="BJ208" t="s">
        <v>674</v>
      </c>
      <c r="BK208" t="s">
        <v>100</v>
      </c>
      <c r="BL208" t="s">
        <v>674</v>
      </c>
      <c r="BM208" t="s">
        <v>3981</v>
      </c>
      <c r="BN208" t="s">
        <v>74</v>
      </c>
      <c r="BO208" t="s">
        <v>252</v>
      </c>
      <c r="BP208" t="s">
        <v>74</v>
      </c>
      <c r="BQ208" t="s">
        <v>74</v>
      </c>
      <c r="BR208" t="s">
        <v>103</v>
      </c>
      <c r="BS208" t="s">
        <v>3982</v>
      </c>
      <c r="BT208" t="str">
        <f>HYPERLINK("https%3A%2F%2Fwww.webofscience.com%2Fwos%2Fwoscc%2Ffull-record%2FWOS:000292629800018","View Full Record in Web of Science")</f>
        <v>View Full Record in Web of Science</v>
      </c>
    </row>
    <row r="209" spans="1:72" x14ac:dyDescent="0.15">
      <c r="A209" t="s">
        <v>72</v>
      </c>
      <c r="B209" t="s">
        <v>3983</v>
      </c>
      <c r="C209" t="s">
        <v>74</v>
      </c>
      <c r="D209" t="s">
        <v>74</v>
      </c>
      <c r="E209" t="s">
        <v>74</v>
      </c>
      <c r="F209" t="s">
        <v>3984</v>
      </c>
      <c r="G209" t="s">
        <v>74</v>
      </c>
      <c r="H209" t="s">
        <v>74</v>
      </c>
      <c r="I209" t="s">
        <v>3985</v>
      </c>
      <c r="J209" t="s">
        <v>3986</v>
      </c>
      <c r="K209" t="s">
        <v>74</v>
      </c>
      <c r="L209" t="s">
        <v>74</v>
      </c>
      <c r="M209" t="s">
        <v>78</v>
      </c>
      <c r="N209" t="s">
        <v>79</v>
      </c>
      <c r="O209" t="s">
        <v>74</v>
      </c>
      <c r="P209" t="s">
        <v>74</v>
      </c>
      <c r="Q209" t="s">
        <v>74</v>
      </c>
      <c r="R209" t="s">
        <v>74</v>
      </c>
      <c r="S209" t="s">
        <v>74</v>
      </c>
      <c r="T209" t="s">
        <v>74</v>
      </c>
      <c r="U209" t="s">
        <v>74</v>
      </c>
      <c r="V209" t="s">
        <v>3987</v>
      </c>
      <c r="W209" t="s">
        <v>3988</v>
      </c>
      <c r="X209" t="s">
        <v>3989</v>
      </c>
      <c r="Y209" t="s">
        <v>3990</v>
      </c>
      <c r="Z209" t="s">
        <v>3991</v>
      </c>
      <c r="AA209" t="s">
        <v>74</v>
      </c>
      <c r="AB209" t="s">
        <v>3992</v>
      </c>
      <c r="AC209" t="s">
        <v>3993</v>
      </c>
      <c r="AD209" t="s">
        <v>3993</v>
      </c>
      <c r="AE209" t="s">
        <v>3994</v>
      </c>
      <c r="AF209" t="s">
        <v>74</v>
      </c>
      <c r="AG209">
        <v>25</v>
      </c>
      <c r="AH209">
        <v>15</v>
      </c>
      <c r="AI209">
        <v>15</v>
      </c>
      <c r="AJ209">
        <v>0</v>
      </c>
      <c r="AK209">
        <v>21</v>
      </c>
      <c r="AL209" t="s">
        <v>3995</v>
      </c>
      <c r="AM209" t="s">
        <v>3996</v>
      </c>
      <c r="AN209" t="s">
        <v>3997</v>
      </c>
      <c r="AO209" t="s">
        <v>3998</v>
      </c>
      <c r="AP209" t="s">
        <v>74</v>
      </c>
      <c r="AQ209" t="s">
        <v>74</v>
      </c>
      <c r="AR209" t="s">
        <v>3999</v>
      </c>
      <c r="AS209" t="s">
        <v>4000</v>
      </c>
      <c r="AT209" t="s">
        <v>74</v>
      </c>
      <c r="AU209">
        <v>2011</v>
      </c>
      <c r="AV209">
        <v>38</v>
      </c>
      <c r="AW209">
        <v>3</v>
      </c>
      <c r="AX209" t="s">
        <v>74</v>
      </c>
      <c r="AY209" t="s">
        <v>74</v>
      </c>
      <c r="AZ209" t="s">
        <v>74</v>
      </c>
      <c r="BA209" t="s">
        <v>74</v>
      </c>
      <c r="BB209">
        <v>196</v>
      </c>
      <c r="BC209">
        <v>203</v>
      </c>
      <c r="BD209" t="s">
        <v>74</v>
      </c>
      <c r="BE209" t="s">
        <v>4001</v>
      </c>
      <c r="BF209" t="str">
        <f>HYPERLINK("http://dx.doi.org/10.1071/WR11016","http://dx.doi.org/10.1071/WR11016")</f>
        <v>http://dx.doi.org/10.1071/WR11016</v>
      </c>
      <c r="BG209" t="s">
        <v>74</v>
      </c>
      <c r="BH209" t="s">
        <v>74</v>
      </c>
      <c r="BI209">
        <v>8</v>
      </c>
      <c r="BJ209" t="s">
        <v>4002</v>
      </c>
      <c r="BK209" t="s">
        <v>100</v>
      </c>
      <c r="BL209" t="s">
        <v>4003</v>
      </c>
      <c r="BM209" t="s">
        <v>4004</v>
      </c>
      <c r="BN209" t="s">
        <v>74</v>
      </c>
      <c r="BO209" t="s">
        <v>74</v>
      </c>
      <c r="BP209" t="s">
        <v>74</v>
      </c>
      <c r="BQ209" t="s">
        <v>74</v>
      </c>
      <c r="BR209" t="s">
        <v>103</v>
      </c>
      <c r="BS209" t="s">
        <v>4005</v>
      </c>
      <c r="BT209" t="str">
        <f>HYPERLINK("https%3A%2F%2Fwww.webofscience.com%2Fwos%2Fwoscc%2Ffull-record%2FWOS:000292686300003","View Full Record in Web of Science")</f>
        <v>View Full Record in Web of Science</v>
      </c>
    </row>
    <row r="210" spans="1:72" x14ac:dyDescent="0.15">
      <c r="A210" t="s">
        <v>2017</v>
      </c>
      <c r="B210" t="s">
        <v>4006</v>
      </c>
      <c r="C210" t="s">
        <v>74</v>
      </c>
      <c r="D210" t="s">
        <v>4007</v>
      </c>
      <c r="E210" t="s">
        <v>74</v>
      </c>
      <c r="F210" t="s">
        <v>4008</v>
      </c>
      <c r="G210" t="s">
        <v>74</v>
      </c>
      <c r="H210" t="s">
        <v>74</v>
      </c>
      <c r="I210" t="s">
        <v>4009</v>
      </c>
      <c r="J210" t="s">
        <v>4010</v>
      </c>
      <c r="K210" t="s">
        <v>4011</v>
      </c>
      <c r="L210" t="s">
        <v>74</v>
      </c>
      <c r="M210" t="s">
        <v>78</v>
      </c>
      <c r="N210" t="s">
        <v>2533</v>
      </c>
      <c r="O210" t="s">
        <v>74</v>
      </c>
      <c r="P210" t="s">
        <v>74</v>
      </c>
      <c r="Q210" t="s">
        <v>74</v>
      </c>
      <c r="R210" t="s">
        <v>74</v>
      </c>
      <c r="S210" t="s">
        <v>74</v>
      </c>
      <c r="T210" t="s">
        <v>4012</v>
      </c>
      <c r="U210" t="s">
        <v>4013</v>
      </c>
      <c r="V210" t="s">
        <v>4014</v>
      </c>
      <c r="W210" t="s">
        <v>4015</v>
      </c>
      <c r="X210" t="s">
        <v>4016</v>
      </c>
      <c r="Y210" t="s">
        <v>4017</v>
      </c>
      <c r="Z210" t="s">
        <v>4018</v>
      </c>
      <c r="AA210" t="s">
        <v>74</v>
      </c>
      <c r="AB210" t="s">
        <v>74</v>
      </c>
      <c r="AC210" t="s">
        <v>74</v>
      </c>
      <c r="AD210" t="s">
        <v>74</v>
      </c>
      <c r="AE210" t="s">
        <v>74</v>
      </c>
      <c r="AF210" t="s">
        <v>74</v>
      </c>
      <c r="AG210">
        <v>70</v>
      </c>
      <c r="AH210">
        <v>44</v>
      </c>
      <c r="AI210">
        <v>48</v>
      </c>
      <c r="AJ210">
        <v>0</v>
      </c>
      <c r="AK210">
        <v>33</v>
      </c>
      <c r="AL210" t="s">
        <v>4019</v>
      </c>
      <c r="AM210" t="s">
        <v>4020</v>
      </c>
      <c r="AN210" t="s">
        <v>4021</v>
      </c>
      <c r="AO210" t="s">
        <v>4022</v>
      </c>
      <c r="AP210" t="s">
        <v>4023</v>
      </c>
      <c r="AQ210" t="s">
        <v>4024</v>
      </c>
      <c r="AR210" t="s">
        <v>4025</v>
      </c>
      <c r="AS210" t="s">
        <v>4026</v>
      </c>
      <c r="AT210" t="s">
        <v>74</v>
      </c>
      <c r="AU210">
        <v>2011</v>
      </c>
      <c r="AV210">
        <v>39</v>
      </c>
      <c r="AW210" t="s">
        <v>74</v>
      </c>
      <c r="AX210" t="s">
        <v>74</v>
      </c>
      <c r="AY210" t="s">
        <v>74</v>
      </c>
      <c r="AZ210" t="s">
        <v>74</v>
      </c>
      <c r="BA210" t="s">
        <v>74</v>
      </c>
      <c r="BB210">
        <v>577</v>
      </c>
      <c r="BC210">
        <v>616</v>
      </c>
      <c r="BD210" t="s">
        <v>74</v>
      </c>
      <c r="BE210" t="s">
        <v>4027</v>
      </c>
      <c r="BF210" t="str">
        <f>HYPERLINK("http://dx.doi.org/10.1146/annurev-earth-040610-133404","http://dx.doi.org/10.1146/annurev-earth-040610-133404")</f>
        <v>http://dx.doi.org/10.1146/annurev-earth-040610-133404</v>
      </c>
      <c r="BG210" t="s">
        <v>74</v>
      </c>
      <c r="BH210" t="s">
        <v>74</v>
      </c>
      <c r="BI210">
        <v>40</v>
      </c>
      <c r="BJ210" t="s">
        <v>4028</v>
      </c>
      <c r="BK210" t="s">
        <v>2551</v>
      </c>
      <c r="BL210" t="s">
        <v>4029</v>
      </c>
      <c r="BM210" t="s">
        <v>4030</v>
      </c>
      <c r="BN210" t="s">
        <v>74</v>
      </c>
      <c r="BO210" t="s">
        <v>74</v>
      </c>
      <c r="BP210" t="s">
        <v>74</v>
      </c>
      <c r="BQ210" t="s">
        <v>74</v>
      </c>
      <c r="BR210" t="s">
        <v>103</v>
      </c>
      <c r="BS210" t="s">
        <v>4031</v>
      </c>
      <c r="BT210" t="str">
        <f>HYPERLINK("https%3A%2F%2Fwww.webofscience.com%2Fwos%2Fwoscc%2Ffull-record%2FWOS:000291366800020","View Full Record in Web of Science")</f>
        <v>View Full Record in Web of Science</v>
      </c>
    </row>
    <row r="211" spans="1:72" x14ac:dyDescent="0.15">
      <c r="A211" t="s">
        <v>72</v>
      </c>
      <c r="B211" t="s">
        <v>4032</v>
      </c>
      <c r="C211" t="s">
        <v>74</v>
      </c>
      <c r="D211" t="s">
        <v>74</v>
      </c>
      <c r="E211" t="s">
        <v>74</v>
      </c>
      <c r="F211" t="s">
        <v>4033</v>
      </c>
      <c r="G211" t="s">
        <v>74</v>
      </c>
      <c r="H211" t="s">
        <v>74</v>
      </c>
      <c r="I211" t="s">
        <v>4034</v>
      </c>
      <c r="J211" t="s">
        <v>4035</v>
      </c>
      <c r="K211" t="s">
        <v>74</v>
      </c>
      <c r="L211" t="s">
        <v>74</v>
      </c>
      <c r="M211" t="s">
        <v>78</v>
      </c>
      <c r="N211" t="s">
        <v>79</v>
      </c>
      <c r="O211" t="s">
        <v>74</v>
      </c>
      <c r="P211" t="s">
        <v>74</v>
      </c>
      <c r="Q211" t="s">
        <v>74</v>
      </c>
      <c r="R211" t="s">
        <v>74</v>
      </c>
      <c r="S211" t="s">
        <v>74</v>
      </c>
      <c r="T211" t="s">
        <v>4036</v>
      </c>
      <c r="U211" t="s">
        <v>4037</v>
      </c>
      <c r="V211" t="s">
        <v>4038</v>
      </c>
      <c r="W211" t="s">
        <v>4039</v>
      </c>
      <c r="X211" t="s">
        <v>74</v>
      </c>
      <c r="Y211" t="s">
        <v>4040</v>
      </c>
      <c r="Z211" t="s">
        <v>4041</v>
      </c>
      <c r="AA211" t="s">
        <v>4042</v>
      </c>
      <c r="AB211" t="s">
        <v>4043</v>
      </c>
      <c r="AC211" t="s">
        <v>4044</v>
      </c>
      <c r="AD211" t="s">
        <v>4044</v>
      </c>
      <c r="AE211" t="s">
        <v>4045</v>
      </c>
      <c r="AF211" t="s">
        <v>74</v>
      </c>
      <c r="AG211">
        <v>50</v>
      </c>
      <c r="AH211">
        <v>13</v>
      </c>
      <c r="AI211">
        <v>14</v>
      </c>
      <c r="AJ211">
        <v>0</v>
      </c>
      <c r="AK211">
        <v>50</v>
      </c>
      <c r="AL211" t="s">
        <v>3995</v>
      </c>
      <c r="AM211" t="s">
        <v>4046</v>
      </c>
      <c r="AN211" t="s">
        <v>4047</v>
      </c>
      <c r="AO211" t="s">
        <v>4048</v>
      </c>
      <c r="AP211" t="s">
        <v>4049</v>
      </c>
      <c r="AQ211" t="s">
        <v>74</v>
      </c>
      <c r="AR211" t="s">
        <v>4050</v>
      </c>
      <c r="AS211" t="s">
        <v>4051</v>
      </c>
      <c r="AT211" t="s">
        <v>74</v>
      </c>
      <c r="AU211">
        <v>2011</v>
      </c>
      <c r="AV211">
        <v>59</v>
      </c>
      <c r="AW211">
        <v>1</v>
      </c>
      <c r="AX211" t="s">
        <v>74</v>
      </c>
      <c r="AY211" t="s">
        <v>74</v>
      </c>
      <c r="AZ211" t="s">
        <v>74</v>
      </c>
      <c r="BA211" t="s">
        <v>74</v>
      </c>
      <c r="BB211">
        <v>54</v>
      </c>
      <c r="BC211">
        <v>62</v>
      </c>
      <c r="BD211" t="s">
        <v>74</v>
      </c>
      <c r="BE211" t="s">
        <v>4052</v>
      </c>
      <c r="BF211" t="str">
        <f>HYPERLINK("http://dx.doi.org/10.1071/ZO11025","http://dx.doi.org/10.1071/ZO11025")</f>
        <v>http://dx.doi.org/10.1071/ZO11025</v>
      </c>
      <c r="BG211" t="s">
        <v>74</v>
      </c>
      <c r="BH211" t="s">
        <v>74</v>
      </c>
      <c r="BI211">
        <v>9</v>
      </c>
      <c r="BJ211" t="s">
        <v>674</v>
      </c>
      <c r="BK211" t="s">
        <v>100</v>
      </c>
      <c r="BL211" t="s">
        <v>674</v>
      </c>
      <c r="BM211" t="s">
        <v>4053</v>
      </c>
      <c r="BN211" t="s">
        <v>74</v>
      </c>
      <c r="BO211" t="s">
        <v>74</v>
      </c>
      <c r="BP211" t="s">
        <v>74</v>
      </c>
      <c r="BQ211" t="s">
        <v>74</v>
      </c>
      <c r="BR211" t="s">
        <v>103</v>
      </c>
      <c r="BS211" t="s">
        <v>4054</v>
      </c>
      <c r="BT211" t="str">
        <f>HYPERLINK("https%3A%2F%2Fwww.webofscience.com%2Fwos%2Fwoscc%2Ffull-record%2FWOS:000292514100008","View Full Record in Web of Science")</f>
        <v>View Full Record in Web of Science</v>
      </c>
    </row>
    <row r="212" spans="1:72" x14ac:dyDescent="0.15">
      <c r="A212" t="s">
        <v>2363</v>
      </c>
      <c r="B212" t="s">
        <v>4055</v>
      </c>
      <c r="C212" t="s">
        <v>74</v>
      </c>
      <c r="D212" t="s">
        <v>4056</v>
      </c>
      <c r="E212" t="s">
        <v>74</v>
      </c>
      <c r="F212" t="s">
        <v>4057</v>
      </c>
      <c r="G212" t="s">
        <v>74</v>
      </c>
      <c r="H212" t="s">
        <v>74</v>
      </c>
      <c r="I212" t="s">
        <v>4058</v>
      </c>
      <c r="J212" t="s">
        <v>4059</v>
      </c>
      <c r="K212" t="s">
        <v>74</v>
      </c>
      <c r="L212" t="s">
        <v>74</v>
      </c>
      <c r="M212" t="s">
        <v>78</v>
      </c>
      <c r="N212" t="s">
        <v>2370</v>
      </c>
      <c r="O212" t="s">
        <v>74</v>
      </c>
      <c r="P212" t="s">
        <v>74</v>
      </c>
      <c r="Q212" t="s">
        <v>74</v>
      </c>
      <c r="R212" t="s">
        <v>74</v>
      </c>
      <c r="S212" t="s">
        <v>74</v>
      </c>
      <c r="T212" t="s">
        <v>74</v>
      </c>
      <c r="U212" t="s">
        <v>4060</v>
      </c>
      <c r="V212" t="s">
        <v>4061</v>
      </c>
      <c r="W212" t="s">
        <v>4062</v>
      </c>
      <c r="X212" t="s">
        <v>4063</v>
      </c>
      <c r="Y212" t="s">
        <v>4064</v>
      </c>
      <c r="Z212" t="s">
        <v>4065</v>
      </c>
      <c r="AA212" t="s">
        <v>4066</v>
      </c>
      <c r="AB212" t="s">
        <v>74</v>
      </c>
      <c r="AC212" t="s">
        <v>74</v>
      </c>
      <c r="AD212" t="s">
        <v>74</v>
      </c>
      <c r="AE212" t="s">
        <v>74</v>
      </c>
      <c r="AF212" t="s">
        <v>74</v>
      </c>
      <c r="AG212">
        <v>86</v>
      </c>
      <c r="AH212">
        <v>5</v>
      </c>
      <c r="AI212">
        <v>5</v>
      </c>
      <c r="AJ212">
        <v>1</v>
      </c>
      <c r="AK212">
        <v>11</v>
      </c>
      <c r="AL212" t="s">
        <v>270</v>
      </c>
      <c r="AM212" t="s">
        <v>91</v>
      </c>
      <c r="AN212" t="s">
        <v>4067</v>
      </c>
      <c r="AO212" t="s">
        <v>74</v>
      </c>
      <c r="AP212" t="s">
        <v>74</v>
      </c>
      <c r="AQ212" t="s">
        <v>4068</v>
      </c>
      <c r="AR212" t="s">
        <v>74</v>
      </c>
      <c r="AS212" t="s">
        <v>74</v>
      </c>
      <c r="AT212" t="s">
        <v>74</v>
      </c>
      <c r="AU212">
        <v>2011</v>
      </c>
      <c r="AV212" t="s">
        <v>74</v>
      </c>
      <c r="AW212" t="s">
        <v>74</v>
      </c>
      <c r="AX212" t="s">
        <v>74</v>
      </c>
      <c r="AY212" t="s">
        <v>74</v>
      </c>
      <c r="AZ212" t="s">
        <v>74</v>
      </c>
      <c r="BA212" t="s">
        <v>74</v>
      </c>
      <c r="BB212">
        <v>237</v>
      </c>
      <c r="BC212">
        <v>268</v>
      </c>
      <c r="BD212" t="s">
        <v>74</v>
      </c>
      <c r="BE212" t="s">
        <v>4069</v>
      </c>
      <c r="BF212" t="str">
        <f>HYPERLINK("http://dx.doi.org/10.1007/978-90-481-9118-5_10","http://dx.doi.org/10.1007/978-90-481-9118-5_10")</f>
        <v>http://dx.doi.org/10.1007/978-90-481-9118-5_10</v>
      </c>
      <c r="BG212" t="s">
        <v>4070</v>
      </c>
      <c r="BH212" t="s">
        <v>74</v>
      </c>
      <c r="BI212">
        <v>32</v>
      </c>
      <c r="BJ212" t="s">
        <v>603</v>
      </c>
      <c r="BK212" t="s">
        <v>2384</v>
      </c>
      <c r="BL212" t="s">
        <v>603</v>
      </c>
      <c r="BM212" t="s">
        <v>4071</v>
      </c>
      <c r="BN212" t="s">
        <v>74</v>
      </c>
      <c r="BO212" t="s">
        <v>74</v>
      </c>
      <c r="BP212" t="s">
        <v>74</v>
      </c>
      <c r="BQ212" t="s">
        <v>74</v>
      </c>
      <c r="BR212" t="s">
        <v>103</v>
      </c>
      <c r="BS212" t="s">
        <v>4072</v>
      </c>
      <c r="BT212" t="str">
        <f>HYPERLINK("https%3A%2F%2Fwww.webofscience.com%2Fwos%2Fwoscc%2Ffull-record%2FWOS:000284236100010","View Full Record in Web of Science")</f>
        <v>View Full Record in Web of Science</v>
      </c>
    </row>
    <row r="213" spans="1:72" x14ac:dyDescent="0.15">
      <c r="A213" t="s">
        <v>72</v>
      </c>
      <c r="B213" t="s">
        <v>4073</v>
      </c>
      <c r="C213" t="s">
        <v>74</v>
      </c>
      <c r="D213" t="s">
        <v>74</v>
      </c>
      <c r="E213" t="s">
        <v>74</v>
      </c>
      <c r="F213" t="s">
        <v>4074</v>
      </c>
      <c r="G213" t="s">
        <v>74</v>
      </c>
      <c r="H213" t="s">
        <v>74</v>
      </c>
      <c r="I213" t="s">
        <v>4075</v>
      </c>
      <c r="J213" t="s">
        <v>4076</v>
      </c>
      <c r="K213" t="s">
        <v>74</v>
      </c>
      <c r="L213" t="s">
        <v>74</v>
      </c>
      <c r="M213" t="s">
        <v>78</v>
      </c>
      <c r="N213" t="s">
        <v>79</v>
      </c>
      <c r="O213" t="s">
        <v>74</v>
      </c>
      <c r="P213" t="s">
        <v>74</v>
      </c>
      <c r="Q213" t="s">
        <v>74</v>
      </c>
      <c r="R213" t="s">
        <v>74</v>
      </c>
      <c r="S213" t="s">
        <v>74</v>
      </c>
      <c r="T213" t="s">
        <v>4077</v>
      </c>
      <c r="U213" t="s">
        <v>4078</v>
      </c>
      <c r="V213" t="s">
        <v>4079</v>
      </c>
      <c r="W213" t="s">
        <v>4080</v>
      </c>
      <c r="X213" t="s">
        <v>4081</v>
      </c>
      <c r="Y213" t="s">
        <v>4082</v>
      </c>
      <c r="Z213" t="s">
        <v>4083</v>
      </c>
      <c r="AA213" t="s">
        <v>4084</v>
      </c>
      <c r="AB213" t="s">
        <v>4085</v>
      </c>
      <c r="AC213" t="s">
        <v>4086</v>
      </c>
      <c r="AD213" t="s">
        <v>4087</v>
      </c>
      <c r="AE213" t="s">
        <v>4088</v>
      </c>
      <c r="AF213" t="s">
        <v>74</v>
      </c>
      <c r="AG213">
        <v>49</v>
      </c>
      <c r="AH213">
        <v>8</v>
      </c>
      <c r="AI213">
        <v>9</v>
      </c>
      <c r="AJ213">
        <v>1</v>
      </c>
      <c r="AK213">
        <v>13</v>
      </c>
      <c r="AL213" t="s">
        <v>4089</v>
      </c>
      <c r="AM213" t="s">
        <v>4090</v>
      </c>
      <c r="AN213" t="s">
        <v>4091</v>
      </c>
      <c r="AO213" t="s">
        <v>4092</v>
      </c>
      <c r="AP213" t="s">
        <v>4093</v>
      </c>
      <c r="AQ213" t="s">
        <v>74</v>
      </c>
      <c r="AR213" t="s">
        <v>4094</v>
      </c>
      <c r="AS213" t="s">
        <v>4095</v>
      </c>
      <c r="AT213" t="s">
        <v>74</v>
      </c>
      <c r="AU213">
        <v>2011</v>
      </c>
      <c r="AV213">
        <v>33</v>
      </c>
      <c r="AW213">
        <v>1</v>
      </c>
      <c r="AX213" t="s">
        <v>74</v>
      </c>
      <c r="AY213" t="s">
        <v>74</v>
      </c>
      <c r="AZ213" t="s">
        <v>74</v>
      </c>
      <c r="BA213" t="s">
        <v>74</v>
      </c>
      <c r="BB213">
        <v>91</v>
      </c>
      <c r="BC213">
        <v>97</v>
      </c>
      <c r="BD213" t="s">
        <v>74</v>
      </c>
      <c r="BE213" t="s">
        <v>4096</v>
      </c>
      <c r="BF213" t="str">
        <f>HYPERLINK("http://dx.doi.org/10.2989/1814232X.2011.572353","http://dx.doi.org/10.2989/1814232X.2011.572353")</f>
        <v>http://dx.doi.org/10.2989/1814232X.2011.572353</v>
      </c>
      <c r="BG213" t="s">
        <v>74</v>
      </c>
      <c r="BH213" t="s">
        <v>74</v>
      </c>
      <c r="BI213">
        <v>7</v>
      </c>
      <c r="BJ213" t="s">
        <v>893</v>
      </c>
      <c r="BK213" t="s">
        <v>100</v>
      </c>
      <c r="BL213" t="s">
        <v>893</v>
      </c>
      <c r="BM213" t="s">
        <v>4097</v>
      </c>
      <c r="BN213" t="s">
        <v>74</v>
      </c>
      <c r="BO213" t="s">
        <v>726</v>
      </c>
      <c r="BP213" t="s">
        <v>74</v>
      </c>
      <c r="BQ213" t="s">
        <v>74</v>
      </c>
      <c r="BR213" t="s">
        <v>103</v>
      </c>
      <c r="BS213" t="s">
        <v>4098</v>
      </c>
      <c r="BT213" t="str">
        <f>HYPERLINK("https%3A%2F%2Fwww.webofscience.com%2Fwos%2Fwoscc%2Ffull-record%2FWOS:000291498700008","View Full Record in Web of Science")</f>
        <v>View Full Record in Web of Science</v>
      </c>
    </row>
    <row r="214" spans="1:72" x14ac:dyDescent="0.15">
      <c r="A214" t="s">
        <v>72</v>
      </c>
      <c r="B214" t="s">
        <v>4099</v>
      </c>
      <c r="C214" t="s">
        <v>74</v>
      </c>
      <c r="D214" t="s">
        <v>74</v>
      </c>
      <c r="E214" t="s">
        <v>74</v>
      </c>
      <c r="F214" t="s">
        <v>4100</v>
      </c>
      <c r="G214" t="s">
        <v>74</v>
      </c>
      <c r="H214" t="s">
        <v>74</v>
      </c>
      <c r="I214" t="s">
        <v>4101</v>
      </c>
      <c r="J214" t="s">
        <v>4102</v>
      </c>
      <c r="K214" t="s">
        <v>74</v>
      </c>
      <c r="L214" t="s">
        <v>74</v>
      </c>
      <c r="M214" t="s">
        <v>78</v>
      </c>
      <c r="N214" t="s">
        <v>79</v>
      </c>
      <c r="O214" t="s">
        <v>74</v>
      </c>
      <c r="P214" t="s">
        <v>74</v>
      </c>
      <c r="Q214" t="s">
        <v>74</v>
      </c>
      <c r="R214" t="s">
        <v>74</v>
      </c>
      <c r="S214" t="s">
        <v>74</v>
      </c>
      <c r="T214" t="s">
        <v>4103</v>
      </c>
      <c r="U214" t="s">
        <v>4104</v>
      </c>
      <c r="V214" t="s">
        <v>4105</v>
      </c>
      <c r="W214" t="s">
        <v>4106</v>
      </c>
      <c r="X214" t="s">
        <v>4107</v>
      </c>
      <c r="Y214" t="s">
        <v>4108</v>
      </c>
      <c r="Z214" t="s">
        <v>4109</v>
      </c>
      <c r="AA214" t="s">
        <v>4110</v>
      </c>
      <c r="AB214" t="s">
        <v>74</v>
      </c>
      <c r="AC214" t="s">
        <v>4111</v>
      </c>
      <c r="AD214" t="s">
        <v>4112</v>
      </c>
      <c r="AE214" t="s">
        <v>4113</v>
      </c>
      <c r="AF214" t="s">
        <v>74</v>
      </c>
      <c r="AG214">
        <v>25</v>
      </c>
      <c r="AH214">
        <v>1</v>
      </c>
      <c r="AI214">
        <v>1</v>
      </c>
      <c r="AJ214">
        <v>0</v>
      </c>
      <c r="AK214">
        <v>25</v>
      </c>
      <c r="AL214" t="s">
        <v>4114</v>
      </c>
      <c r="AM214" t="s">
        <v>4115</v>
      </c>
      <c r="AN214" t="s">
        <v>4116</v>
      </c>
      <c r="AO214" t="s">
        <v>4117</v>
      </c>
      <c r="AP214" t="s">
        <v>4118</v>
      </c>
      <c r="AQ214" t="s">
        <v>74</v>
      </c>
      <c r="AR214" t="s">
        <v>4119</v>
      </c>
      <c r="AS214" t="s">
        <v>4120</v>
      </c>
      <c r="AT214" t="s">
        <v>74</v>
      </c>
      <c r="AU214">
        <v>2011</v>
      </c>
      <c r="AV214">
        <v>20</v>
      </c>
      <c r="AW214">
        <v>6</v>
      </c>
      <c r="AX214" t="s">
        <v>74</v>
      </c>
      <c r="AY214" t="s">
        <v>74</v>
      </c>
      <c r="AZ214" t="s">
        <v>74</v>
      </c>
      <c r="BA214" t="s">
        <v>74</v>
      </c>
      <c r="BB214">
        <v>1346</v>
      </c>
      <c r="BC214">
        <v>1351</v>
      </c>
      <c r="BD214" t="s">
        <v>74</v>
      </c>
      <c r="BE214" t="s">
        <v>74</v>
      </c>
      <c r="BF214" t="s">
        <v>74</v>
      </c>
      <c r="BG214" t="s">
        <v>74</v>
      </c>
      <c r="BH214" t="s">
        <v>74</v>
      </c>
      <c r="BI214">
        <v>6</v>
      </c>
      <c r="BJ214" t="s">
        <v>4121</v>
      </c>
      <c r="BK214" t="s">
        <v>100</v>
      </c>
      <c r="BL214" t="s">
        <v>822</v>
      </c>
      <c r="BM214" t="s">
        <v>4122</v>
      </c>
      <c r="BN214" t="s">
        <v>74</v>
      </c>
      <c r="BO214" t="s">
        <v>74</v>
      </c>
      <c r="BP214" t="s">
        <v>74</v>
      </c>
      <c r="BQ214" t="s">
        <v>74</v>
      </c>
      <c r="BR214" t="s">
        <v>103</v>
      </c>
      <c r="BS214" t="s">
        <v>4123</v>
      </c>
      <c r="BT214" t="str">
        <f>HYPERLINK("https%3A%2F%2Fwww.webofscience.com%2Fwos%2Fwoscc%2Ffull-record%2FWOS:000291840200002","View Full Record in Web of Science")</f>
        <v>View Full Record in Web of Science</v>
      </c>
    </row>
    <row r="215" spans="1:72" x14ac:dyDescent="0.15">
      <c r="A215" t="s">
        <v>2268</v>
      </c>
      <c r="B215" t="s">
        <v>4124</v>
      </c>
      <c r="C215" t="s">
        <v>74</v>
      </c>
      <c r="D215" t="s">
        <v>4125</v>
      </c>
      <c r="E215" t="s">
        <v>74</v>
      </c>
      <c r="F215" t="s">
        <v>4126</v>
      </c>
      <c r="G215" t="s">
        <v>74</v>
      </c>
      <c r="H215" t="s">
        <v>74</v>
      </c>
      <c r="I215" t="s">
        <v>4127</v>
      </c>
      <c r="J215" t="s">
        <v>4128</v>
      </c>
      <c r="K215" t="s">
        <v>4129</v>
      </c>
      <c r="L215" t="s">
        <v>74</v>
      </c>
      <c r="M215" t="s">
        <v>78</v>
      </c>
      <c r="N215" t="s">
        <v>2275</v>
      </c>
      <c r="O215" t="s">
        <v>4130</v>
      </c>
      <c r="P215" t="s">
        <v>4131</v>
      </c>
      <c r="Q215" t="s">
        <v>4132</v>
      </c>
      <c r="R215" t="s">
        <v>74</v>
      </c>
      <c r="S215" t="s">
        <v>4133</v>
      </c>
      <c r="T215" t="s">
        <v>4134</v>
      </c>
      <c r="U215" t="s">
        <v>4135</v>
      </c>
      <c r="V215" t="s">
        <v>4136</v>
      </c>
      <c r="W215" t="s">
        <v>4137</v>
      </c>
      <c r="X215" t="s">
        <v>3735</v>
      </c>
      <c r="Y215" t="s">
        <v>4138</v>
      </c>
      <c r="Z215" t="s">
        <v>74</v>
      </c>
      <c r="AA215" t="s">
        <v>74</v>
      </c>
      <c r="AB215" t="s">
        <v>74</v>
      </c>
      <c r="AC215" t="s">
        <v>74</v>
      </c>
      <c r="AD215" t="s">
        <v>74</v>
      </c>
      <c r="AE215" t="s">
        <v>74</v>
      </c>
      <c r="AF215" t="s">
        <v>74</v>
      </c>
      <c r="AG215">
        <v>16</v>
      </c>
      <c r="AH215">
        <v>0</v>
      </c>
      <c r="AI215">
        <v>0</v>
      </c>
      <c r="AJ215">
        <v>0</v>
      </c>
      <c r="AK215">
        <v>4</v>
      </c>
      <c r="AL215" t="s">
        <v>4139</v>
      </c>
      <c r="AM215" t="s">
        <v>4140</v>
      </c>
      <c r="AN215" t="s">
        <v>4141</v>
      </c>
      <c r="AO215" t="s">
        <v>4142</v>
      </c>
      <c r="AP215" t="s">
        <v>74</v>
      </c>
      <c r="AQ215" t="s">
        <v>4143</v>
      </c>
      <c r="AR215" t="s">
        <v>4144</v>
      </c>
      <c r="AS215" t="s">
        <v>74</v>
      </c>
      <c r="AT215" t="s">
        <v>74</v>
      </c>
      <c r="AU215">
        <v>2011</v>
      </c>
      <c r="AV215">
        <v>1330</v>
      </c>
      <c r="AW215" t="s">
        <v>74</v>
      </c>
      <c r="AX215" t="s">
        <v>74</v>
      </c>
      <c r="AY215" t="s">
        <v>74</v>
      </c>
      <c r="AZ215" t="s">
        <v>74</v>
      </c>
      <c r="BA215" t="s">
        <v>74</v>
      </c>
      <c r="BB215">
        <v>113</v>
      </c>
      <c r="BC215">
        <v>116</v>
      </c>
      <c r="BD215" t="s">
        <v>74</v>
      </c>
      <c r="BE215" t="s">
        <v>4145</v>
      </c>
      <c r="BF215" t="str">
        <f>HYPERLINK("http://dx.doi.org/10.1063/1.3562246","http://dx.doi.org/10.1063/1.3562246")</f>
        <v>http://dx.doi.org/10.1063/1.3562246</v>
      </c>
      <c r="BG215" t="s">
        <v>74</v>
      </c>
      <c r="BH215" t="s">
        <v>74</v>
      </c>
      <c r="BI215">
        <v>4</v>
      </c>
      <c r="BJ215" t="s">
        <v>4146</v>
      </c>
      <c r="BK215" t="s">
        <v>2292</v>
      </c>
      <c r="BL215" t="s">
        <v>4147</v>
      </c>
      <c r="BM215" t="s">
        <v>4148</v>
      </c>
      <c r="BN215" t="s">
        <v>74</v>
      </c>
      <c r="BO215" t="s">
        <v>74</v>
      </c>
      <c r="BP215" t="s">
        <v>74</v>
      </c>
      <c r="BQ215" t="s">
        <v>74</v>
      </c>
      <c r="BR215" t="s">
        <v>103</v>
      </c>
      <c r="BS215" t="s">
        <v>4149</v>
      </c>
      <c r="BT215" t="str">
        <f>HYPERLINK("https%3A%2F%2Fwww.webofscience.com%2Fwos%2Fwoscc%2Ffull-record%2FWOS:000291632100026","View Full Record in Web of Science")</f>
        <v>View Full Record in Web of Science</v>
      </c>
    </row>
    <row r="216" spans="1:72" x14ac:dyDescent="0.15">
      <c r="A216" t="s">
        <v>2268</v>
      </c>
      <c r="B216" t="s">
        <v>4150</v>
      </c>
      <c r="C216" t="s">
        <v>74</v>
      </c>
      <c r="D216" t="s">
        <v>4151</v>
      </c>
      <c r="E216" t="s">
        <v>74</v>
      </c>
      <c r="F216" t="s">
        <v>4152</v>
      </c>
      <c r="G216" t="s">
        <v>74</v>
      </c>
      <c r="H216" t="s">
        <v>74</v>
      </c>
      <c r="I216" t="s">
        <v>4153</v>
      </c>
      <c r="J216" t="s">
        <v>4154</v>
      </c>
      <c r="K216" t="s">
        <v>4155</v>
      </c>
      <c r="L216" t="s">
        <v>74</v>
      </c>
      <c r="M216" t="s">
        <v>78</v>
      </c>
      <c r="N216" t="s">
        <v>2275</v>
      </c>
      <c r="O216" t="s">
        <v>4156</v>
      </c>
      <c r="P216" t="s">
        <v>4157</v>
      </c>
      <c r="Q216" t="s">
        <v>4158</v>
      </c>
      <c r="R216" t="s">
        <v>74</v>
      </c>
      <c r="S216" t="s">
        <v>4159</v>
      </c>
      <c r="T216" t="s">
        <v>74</v>
      </c>
      <c r="U216" t="s">
        <v>4160</v>
      </c>
      <c r="V216" t="s">
        <v>4161</v>
      </c>
      <c r="W216" t="s">
        <v>4162</v>
      </c>
      <c r="X216" t="s">
        <v>4163</v>
      </c>
      <c r="Y216" t="s">
        <v>4164</v>
      </c>
      <c r="Z216" t="s">
        <v>74</v>
      </c>
      <c r="AA216" t="s">
        <v>74</v>
      </c>
      <c r="AB216" t="s">
        <v>74</v>
      </c>
      <c r="AC216" t="s">
        <v>74</v>
      </c>
      <c r="AD216" t="s">
        <v>74</v>
      </c>
      <c r="AE216" t="s">
        <v>74</v>
      </c>
      <c r="AF216" t="s">
        <v>74</v>
      </c>
      <c r="AG216">
        <v>21</v>
      </c>
      <c r="AH216">
        <v>0</v>
      </c>
      <c r="AI216">
        <v>0</v>
      </c>
      <c r="AJ216">
        <v>0</v>
      </c>
      <c r="AK216">
        <v>3</v>
      </c>
      <c r="AL216" t="s">
        <v>4165</v>
      </c>
      <c r="AM216" t="s">
        <v>4166</v>
      </c>
      <c r="AN216" t="s">
        <v>4167</v>
      </c>
      <c r="AO216" t="s">
        <v>4168</v>
      </c>
      <c r="AP216" t="s">
        <v>74</v>
      </c>
      <c r="AQ216" t="s">
        <v>4169</v>
      </c>
      <c r="AR216" t="s">
        <v>4170</v>
      </c>
      <c r="AS216" t="s">
        <v>74</v>
      </c>
      <c r="AT216" t="s">
        <v>74</v>
      </c>
      <c r="AU216">
        <v>2011</v>
      </c>
      <c r="AV216">
        <v>46</v>
      </c>
      <c r="AW216" t="s">
        <v>74</v>
      </c>
      <c r="AX216" t="s">
        <v>74</v>
      </c>
      <c r="AY216" t="s">
        <v>74</v>
      </c>
      <c r="AZ216" t="s">
        <v>74</v>
      </c>
      <c r="BA216" t="s">
        <v>74</v>
      </c>
      <c r="BB216">
        <v>319</v>
      </c>
      <c r="BC216">
        <v>326</v>
      </c>
      <c r="BD216" t="s">
        <v>74</v>
      </c>
      <c r="BE216" t="s">
        <v>4171</v>
      </c>
      <c r="BF216" t="str">
        <f>HYPERLINK("http://dx.doi.org/10.1051/eas/1146033","http://dx.doi.org/10.1051/eas/1146033")</f>
        <v>http://dx.doi.org/10.1051/eas/1146033</v>
      </c>
      <c r="BG216" t="s">
        <v>74</v>
      </c>
      <c r="BH216" t="s">
        <v>74</v>
      </c>
      <c r="BI216">
        <v>8</v>
      </c>
      <c r="BJ216" t="s">
        <v>373</v>
      </c>
      <c r="BK216" t="s">
        <v>2292</v>
      </c>
      <c r="BL216" t="s">
        <v>373</v>
      </c>
      <c r="BM216" t="s">
        <v>4172</v>
      </c>
      <c r="BN216" t="s">
        <v>74</v>
      </c>
      <c r="BO216" t="s">
        <v>375</v>
      </c>
      <c r="BP216" t="s">
        <v>74</v>
      </c>
      <c r="BQ216" t="s">
        <v>74</v>
      </c>
      <c r="BR216" t="s">
        <v>103</v>
      </c>
      <c r="BS216" t="s">
        <v>4173</v>
      </c>
      <c r="BT216" t="str">
        <f>HYPERLINK("https%3A%2F%2Fwww.webofscience.com%2Fwos%2Fwoscc%2Ffull-record%2FWOS:000291672700033","View Full Record in Web of Science")</f>
        <v>View Full Record in Web of Science</v>
      </c>
    </row>
    <row r="217" spans="1:72" x14ac:dyDescent="0.15">
      <c r="A217" t="s">
        <v>2268</v>
      </c>
      <c r="B217" t="s">
        <v>4174</v>
      </c>
      <c r="C217" t="s">
        <v>74</v>
      </c>
      <c r="D217" t="s">
        <v>4175</v>
      </c>
      <c r="E217" t="s">
        <v>74</v>
      </c>
      <c r="F217" t="s">
        <v>4176</v>
      </c>
      <c r="G217" t="s">
        <v>74</v>
      </c>
      <c r="H217" t="s">
        <v>74</v>
      </c>
      <c r="I217" t="s">
        <v>4177</v>
      </c>
      <c r="J217" t="s">
        <v>4178</v>
      </c>
      <c r="K217" t="s">
        <v>4179</v>
      </c>
      <c r="L217" t="s">
        <v>74</v>
      </c>
      <c r="M217" t="s">
        <v>78</v>
      </c>
      <c r="N217" t="s">
        <v>2275</v>
      </c>
      <c r="O217" t="s">
        <v>4180</v>
      </c>
      <c r="P217" t="s">
        <v>4181</v>
      </c>
      <c r="Q217" t="s">
        <v>4182</v>
      </c>
      <c r="R217" t="s">
        <v>74</v>
      </c>
      <c r="S217" t="s">
        <v>4183</v>
      </c>
      <c r="T217" t="s">
        <v>74</v>
      </c>
      <c r="U217" t="s">
        <v>4184</v>
      </c>
      <c r="V217" t="s">
        <v>74</v>
      </c>
      <c r="W217" t="s">
        <v>4185</v>
      </c>
      <c r="X217" t="s">
        <v>2510</v>
      </c>
      <c r="Y217" t="s">
        <v>4186</v>
      </c>
      <c r="Z217" t="s">
        <v>4187</v>
      </c>
      <c r="AA217" t="s">
        <v>1106</v>
      </c>
      <c r="AB217" t="s">
        <v>74</v>
      </c>
      <c r="AC217" t="s">
        <v>4188</v>
      </c>
      <c r="AD217" t="s">
        <v>4189</v>
      </c>
      <c r="AE217" t="s">
        <v>4190</v>
      </c>
      <c r="AF217" t="s">
        <v>74</v>
      </c>
      <c r="AG217">
        <v>17</v>
      </c>
      <c r="AH217">
        <v>0</v>
      </c>
      <c r="AI217">
        <v>0</v>
      </c>
      <c r="AJ217">
        <v>0</v>
      </c>
      <c r="AK217">
        <v>6</v>
      </c>
      <c r="AL217" t="s">
        <v>270</v>
      </c>
      <c r="AM217" t="s">
        <v>91</v>
      </c>
      <c r="AN217" t="s">
        <v>4067</v>
      </c>
      <c r="AO217" t="s">
        <v>4191</v>
      </c>
      <c r="AP217" t="s">
        <v>74</v>
      </c>
      <c r="AQ217" t="s">
        <v>4192</v>
      </c>
      <c r="AR217" t="s">
        <v>4193</v>
      </c>
      <c r="AS217" t="s">
        <v>4194</v>
      </c>
      <c r="AT217" t="s">
        <v>74</v>
      </c>
      <c r="AU217">
        <v>2011</v>
      </c>
      <c r="AV217">
        <v>41</v>
      </c>
      <c r="AW217" t="s">
        <v>74</v>
      </c>
      <c r="AX217" t="s">
        <v>74</v>
      </c>
      <c r="AY217" t="s">
        <v>74</v>
      </c>
      <c r="AZ217" t="s">
        <v>74</v>
      </c>
      <c r="BA217" t="s">
        <v>74</v>
      </c>
      <c r="BB217">
        <v>1</v>
      </c>
      <c r="BC217" t="s">
        <v>1316</v>
      </c>
      <c r="BD217" t="s">
        <v>74</v>
      </c>
      <c r="BE217" t="s">
        <v>4195</v>
      </c>
      <c r="BF217" t="str">
        <f>HYPERLINK("http://dx.doi.org/10.1007/978-1-4419-7299-6_1","http://dx.doi.org/10.1007/978-1-4419-7299-6_1")</f>
        <v>http://dx.doi.org/10.1007/978-1-4419-7299-6_1</v>
      </c>
      <c r="BG217" t="s">
        <v>74</v>
      </c>
      <c r="BH217" t="s">
        <v>74</v>
      </c>
      <c r="BI217">
        <v>3</v>
      </c>
      <c r="BJ217" t="s">
        <v>4196</v>
      </c>
      <c r="BK217" t="s">
        <v>2292</v>
      </c>
      <c r="BL217" t="s">
        <v>4196</v>
      </c>
      <c r="BM217" t="s">
        <v>4197</v>
      </c>
      <c r="BN217" t="s">
        <v>74</v>
      </c>
      <c r="BO217" t="s">
        <v>74</v>
      </c>
      <c r="BP217" t="s">
        <v>74</v>
      </c>
      <c r="BQ217" t="s">
        <v>74</v>
      </c>
      <c r="BR217" t="s">
        <v>103</v>
      </c>
      <c r="BS217" t="s">
        <v>4198</v>
      </c>
      <c r="BT217" t="str">
        <f>HYPERLINK("https%3A%2F%2Fwww.webofscience.com%2Fwos%2Fwoscc%2Ffull-record%2FWOS:000291369200001","View Full Record in Web of Science")</f>
        <v>View Full Record in Web of Science</v>
      </c>
    </row>
    <row r="218" spans="1:72" x14ac:dyDescent="0.15">
      <c r="A218" t="s">
        <v>2268</v>
      </c>
      <c r="B218" t="s">
        <v>4199</v>
      </c>
      <c r="C218" t="s">
        <v>74</v>
      </c>
      <c r="D218" t="s">
        <v>4200</v>
      </c>
      <c r="E218" t="s">
        <v>74</v>
      </c>
      <c r="F218" t="s">
        <v>4201</v>
      </c>
      <c r="G218" t="s">
        <v>74</v>
      </c>
      <c r="H218" t="s">
        <v>74</v>
      </c>
      <c r="I218" t="s">
        <v>4202</v>
      </c>
      <c r="J218" t="s">
        <v>4203</v>
      </c>
      <c r="K218" t="s">
        <v>4204</v>
      </c>
      <c r="L218" t="s">
        <v>74</v>
      </c>
      <c r="M218" t="s">
        <v>78</v>
      </c>
      <c r="N218" t="s">
        <v>2275</v>
      </c>
      <c r="O218" t="s">
        <v>4205</v>
      </c>
      <c r="P218" t="s">
        <v>4206</v>
      </c>
      <c r="Q218" t="s">
        <v>4207</v>
      </c>
      <c r="R218" t="s">
        <v>74</v>
      </c>
      <c r="S218" t="s">
        <v>74</v>
      </c>
      <c r="T218" t="s">
        <v>4208</v>
      </c>
      <c r="U218" t="s">
        <v>74</v>
      </c>
      <c r="V218" t="s">
        <v>4209</v>
      </c>
      <c r="W218" t="s">
        <v>4210</v>
      </c>
      <c r="X218" t="s">
        <v>4211</v>
      </c>
      <c r="Y218" t="s">
        <v>4212</v>
      </c>
      <c r="Z218" t="s">
        <v>4213</v>
      </c>
      <c r="AA218" t="s">
        <v>74</v>
      </c>
      <c r="AB218" t="s">
        <v>74</v>
      </c>
      <c r="AC218" t="s">
        <v>74</v>
      </c>
      <c r="AD218" t="s">
        <v>74</v>
      </c>
      <c r="AE218" t="s">
        <v>74</v>
      </c>
      <c r="AF218" t="s">
        <v>74</v>
      </c>
      <c r="AG218">
        <v>10</v>
      </c>
      <c r="AH218">
        <v>0</v>
      </c>
      <c r="AI218">
        <v>0</v>
      </c>
      <c r="AJ218">
        <v>1</v>
      </c>
      <c r="AK218">
        <v>15</v>
      </c>
      <c r="AL218" t="s">
        <v>4214</v>
      </c>
      <c r="AM218" t="s">
        <v>4215</v>
      </c>
      <c r="AN218" t="s">
        <v>4216</v>
      </c>
      <c r="AO218" t="s">
        <v>4217</v>
      </c>
      <c r="AP218" t="s">
        <v>74</v>
      </c>
      <c r="AQ218" t="s">
        <v>4218</v>
      </c>
      <c r="AR218" t="s">
        <v>4219</v>
      </c>
      <c r="AS218" t="s">
        <v>74</v>
      </c>
      <c r="AT218" t="s">
        <v>74</v>
      </c>
      <c r="AU218">
        <v>2011</v>
      </c>
      <c r="AV218">
        <v>8030</v>
      </c>
      <c r="AW218" t="s">
        <v>74</v>
      </c>
      <c r="AX218" t="s">
        <v>74</v>
      </c>
      <c r="AY218" t="s">
        <v>74</v>
      </c>
      <c r="AZ218" t="s">
        <v>74</v>
      </c>
      <c r="BA218" t="s">
        <v>74</v>
      </c>
      <c r="BB218" t="s">
        <v>74</v>
      </c>
      <c r="BC218" t="s">
        <v>74</v>
      </c>
      <c r="BD218" t="s">
        <v>4220</v>
      </c>
      <c r="BE218" t="s">
        <v>4221</v>
      </c>
      <c r="BF218" t="str">
        <f>HYPERLINK("http://dx.doi.org/10.1117/12.887623","http://dx.doi.org/10.1117/12.887623")</f>
        <v>http://dx.doi.org/10.1117/12.887623</v>
      </c>
      <c r="BG218" t="s">
        <v>74</v>
      </c>
      <c r="BH218" t="s">
        <v>74</v>
      </c>
      <c r="BI218">
        <v>12</v>
      </c>
      <c r="BJ218" t="s">
        <v>4222</v>
      </c>
      <c r="BK218" t="s">
        <v>2292</v>
      </c>
      <c r="BL218" t="s">
        <v>4223</v>
      </c>
      <c r="BM218" t="s">
        <v>4224</v>
      </c>
      <c r="BN218" t="s">
        <v>74</v>
      </c>
      <c r="BO218" t="s">
        <v>74</v>
      </c>
      <c r="BP218" t="s">
        <v>74</v>
      </c>
      <c r="BQ218" t="s">
        <v>74</v>
      </c>
      <c r="BR218" t="s">
        <v>103</v>
      </c>
      <c r="BS218" t="s">
        <v>4225</v>
      </c>
      <c r="BT218" t="str">
        <f>HYPERLINK("https%3A%2F%2Fwww.webofscience.com%2Fwos%2Fwoscc%2Ffull-record%2FWOS:000291442200014","View Full Record in Web of Science")</f>
        <v>View Full Record in Web of Science</v>
      </c>
    </row>
    <row r="219" spans="1:72" x14ac:dyDescent="0.15">
      <c r="A219" t="s">
        <v>72</v>
      </c>
      <c r="B219" t="s">
        <v>4226</v>
      </c>
      <c r="C219" t="s">
        <v>74</v>
      </c>
      <c r="D219" t="s">
        <v>74</v>
      </c>
      <c r="E219" t="s">
        <v>74</v>
      </c>
      <c r="F219" t="s">
        <v>4227</v>
      </c>
      <c r="G219" t="s">
        <v>74</v>
      </c>
      <c r="H219" t="s">
        <v>74</v>
      </c>
      <c r="I219" t="s">
        <v>4228</v>
      </c>
      <c r="J219" t="s">
        <v>4229</v>
      </c>
      <c r="K219" t="s">
        <v>74</v>
      </c>
      <c r="L219" t="s">
        <v>74</v>
      </c>
      <c r="M219" t="s">
        <v>78</v>
      </c>
      <c r="N219" t="s">
        <v>79</v>
      </c>
      <c r="O219" t="s">
        <v>74</v>
      </c>
      <c r="P219" t="s">
        <v>74</v>
      </c>
      <c r="Q219" t="s">
        <v>74</v>
      </c>
      <c r="R219" t="s">
        <v>74</v>
      </c>
      <c r="S219" t="s">
        <v>74</v>
      </c>
      <c r="T219" t="s">
        <v>4230</v>
      </c>
      <c r="U219" t="s">
        <v>4231</v>
      </c>
      <c r="V219" t="s">
        <v>4232</v>
      </c>
      <c r="W219" t="s">
        <v>4233</v>
      </c>
      <c r="X219" t="s">
        <v>4234</v>
      </c>
      <c r="Y219" t="s">
        <v>4235</v>
      </c>
      <c r="Z219" t="s">
        <v>4236</v>
      </c>
      <c r="AA219" t="s">
        <v>4237</v>
      </c>
      <c r="AB219" t="s">
        <v>4238</v>
      </c>
      <c r="AC219" t="s">
        <v>74</v>
      </c>
      <c r="AD219" t="s">
        <v>74</v>
      </c>
      <c r="AE219" t="s">
        <v>74</v>
      </c>
      <c r="AF219" t="s">
        <v>74</v>
      </c>
      <c r="AG219">
        <v>74</v>
      </c>
      <c r="AH219">
        <v>13</v>
      </c>
      <c r="AI219">
        <v>13</v>
      </c>
      <c r="AJ219">
        <v>2</v>
      </c>
      <c r="AK219">
        <v>34</v>
      </c>
      <c r="AL219" t="s">
        <v>4239</v>
      </c>
      <c r="AM219" t="s">
        <v>475</v>
      </c>
      <c r="AN219" t="s">
        <v>4240</v>
      </c>
      <c r="AO219" t="s">
        <v>4241</v>
      </c>
      <c r="AP219" t="s">
        <v>4242</v>
      </c>
      <c r="AQ219" t="s">
        <v>74</v>
      </c>
      <c r="AR219" t="s">
        <v>4243</v>
      </c>
      <c r="AS219" t="s">
        <v>4244</v>
      </c>
      <c r="AT219" t="s">
        <v>74</v>
      </c>
      <c r="AU219">
        <v>2011</v>
      </c>
      <c r="AV219">
        <v>14</v>
      </c>
      <c r="AW219">
        <v>4</v>
      </c>
      <c r="AX219" t="s">
        <v>74</v>
      </c>
      <c r="AY219" t="s">
        <v>74</v>
      </c>
      <c r="AZ219" t="s">
        <v>74</v>
      </c>
      <c r="BA219" t="s">
        <v>74</v>
      </c>
      <c r="BB219">
        <v>387</v>
      </c>
      <c r="BC219">
        <v>399</v>
      </c>
      <c r="BD219" t="s">
        <v>4245</v>
      </c>
      <c r="BE219" t="s">
        <v>4246</v>
      </c>
      <c r="BF219" t="str">
        <f>HYPERLINK("http://dx.doi.org/10.1080/13683500.2010.491896","http://dx.doi.org/10.1080/13683500.2010.491896")</f>
        <v>http://dx.doi.org/10.1080/13683500.2010.491896</v>
      </c>
      <c r="BG219" t="s">
        <v>74</v>
      </c>
      <c r="BH219" t="s">
        <v>74</v>
      </c>
      <c r="BI219">
        <v>13</v>
      </c>
      <c r="BJ219" t="s">
        <v>3395</v>
      </c>
      <c r="BK219" t="s">
        <v>1318</v>
      </c>
      <c r="BL219" t="s">
        <v>3396</v>
      </c>
      <c r="BM219" t="s">
        <v>4247</v>
      </c>
      <c r="BN219" t="s">
        <v>74</v>
      </c>
      <c r="BO219" t="s">
        <v>74</v>
      </c>
      <c r="BP219" t="s">
        <v>74</v>
      </c>
      <c r="BQ219" t="s">
        <v>74</v>
      </c>
      <c r="BR219" t="s">
        <v>103</v>
      </c>
      <c r="BS219" t="s">
        <v>4248</v>
      </c>
      <c r="BT219" t="str">
        <f>HYPERLINK("https%3A%2F%2Fwww.webofscience.com%2Fwos%2Fwoscc%2Ffull-record%2FWOS:000290044600007","View Full Record in Web of Science")</f>
        <v>View Full Record in Web of Science</v>
      </c>
    </row>
    <row r="220" spans="1:72" x14ac:dyDescent="0.15">
      <c r="A220" t="s">
        <v>72</v>
      </c>
      <c r="B220" t="s">
        <v>4249</v>
      </c>
      <c r="C220" t="s">
        <v>74</v>
      </c>
      <c r="D220" t="s">
        <v>74</v>
      </c>
      <c r="E220" t="s">
        <v>74</v>
      </c>
      <c r="F220" t="s">
        <v>4250</v>
      </c>
      <c r="G220" t="s">
        <v>74</v>
      </c>
      <c r="H220" t="s">
        <v>74</v>
      </c>
      <c r="I220" t="s">
        <v>4251</v>
      </c>
      <c r="J220" t="s">
        <v>3221</v>
      </c>
      <c r="K220" t="s">
        <v>74</v>
      </c>
      <c r="L220" t="s">
        <v>74</v>
      </c>
      <c r="M220" t="s">
        <v>78</v>
      </c>
      <c r="N220" t="s">
        <v>79</v>
      </c>
      <c r="O220" t="s">
        <v>74</v>
      </c>
      <c r="P220" t="s">
        <v>74</v>
      </c>
      <c r="Q220" t="s">
        <v>74</v>
      </c>
      <c r="R220" t="s">
        <v>74</v>
      </c>
      <c r="S220" t="s">
        <v>74</v>
      </c>
      <c r="T220" t="s">
        <v>4252</v>
      </c>
      <c r="U220" t="s">
        <v>4253</v>
      </c>
      <c r="V220" t="s">
        <v>4254</v>
      </c>
      <c r="W220" t="s">
        <v>4255</v>
      </c>
      <c r="X220" t="s">
        <v>4256</v>
      </c>
      <c r="Y220" t="s">
        <v>4257</v>
      </c>
      <c r="Z220" t="s">
        <v>4258</v>
      </c>
      <c r="AA220" t="s">
        <v>4259</v>
      </c>
      <c r="AB220" t="s">
        <v>4260</v>
      </c>
      <c r="AC220" t="s">
        <v>4261</v>
      </c>
      <c r="AD220" t="s">
        <v>4262</v>
      </c>
      <c r="AE220" t="s">
        <v>4263</v>
      </c>
      <c r="AF220" t="s">
        <v>74</v>
      </c>
      <c r="AG220">
        <v>35</v>
      </c>
      <c r="AH220">
        <v>49</v>
      </c>
      <c r="AI220">
        <v>53</v>
      </c>
      <c r="AJ220">
        <v>1</v>
      </c>
      <c r="AK220">
        <v>38</v>
      </c>
      <c r="AL220" t="s">
        <v>3232</v>
      </c>
      <c r="AM220" t="s">
        <v>3233</v>
      </c>
      <c r="AN220" t="s">
        <v>3234</v>
      </c>
      <c r="AO220" t="s">
        <v>3235</v>
      </c>
      <c r="AP220" t="s">
        <v>74</v>
      </c>
      <c r="AQ220" t="s">
        <v>74</v>
      </c>
      <c r="AR220" t="s">
        <v>3237</v>
      </c>
      <c r="AS220" t="s">
        <v>3238</v>
      </c>
      <c r="AT220" t="s">
        <v>74</v>
      </c>
      <c r="AU220">
        <v>2011</v>
      </c>
      <c r="AV220">
        <v>428</v>
      </c>
      <c r="AW220" t="s">
        <v>74</v>
      </c>
      <c r="AX220" t="s">
        <v>74</v>
      </c>
      <c r="AY220" t="s">
        <v>74</v>
      </c>
      <c r="AZ220" t="s">
        <v>74</v>
      </c>
      <c r="BA220" t="s">
        <v>74</v>
      </c>
      <c r="BB220">
        <v>289</v>
      </c>
      <c r="BC220">
        <v>301</v>
      </c>
      <c r="BD220" t="s">
        <v>74</v>
      </c>
      <c r="BE220" t="s">
        <v>4264</v>
      </c>
      <c r="BF220" t="str">
        <f>HYPERLINK("http://dx.doi.org/10.3354/meps09068","http://dx.doi.org/10.3354/meps09068")</f>
        <v>http://dx.doi.org/10.3354/meps09068</v>
      </c>
      <c r="BG220" t="s">
        <v>74</v>
      </c>
      <c r="BH220" t="s">
        <v>74</v>
      </c>
      <c r="BI220">
        <v>13</v>
      </c>
      <c r="BJ220" t="s">
        <v>3240</v>
      </c>
      <c r="BK220" t="s">
        <v>100</v>
      </c>
      <c r="BL220" t="s">
        <v>3241</v>
      </c>
      <c r="BM220" t="s">
        <v>4265</v>
      </c>
      <c r="BN220" t="s">
        <v>74</v>
      </c>
      <c r="BO220" t="s">
        <v>252</v>
      </c>
      <c r="BP220" t="s">
        <v>74</v>
      </c>
      <c r="BQ220" t="s">
        <v>74</v>
      </c>
      <c r="BR220" t="s">
        <v>103</v>
      </c>
      <c r="BS220" t="s">
        <v>4266</v>
      </c>
      <c r="BT220" t="str">
        <f>HYPERLINK("https%3A%2F%2Fwww.webofscience.com%2Fwos%2Fwoscc%2Ffull-record%2FWOS:000290248800021","View Full Record in Web of Science")</f>
        <v>View Full Record in Web of Science</v>
      </c>
    </row>
    <row r="221" spans="1:72" x14ac:dyDescent="0.15">
      <c r="A221" t="s">
        <v>72</v>
      </c>
      <c r="B221" t="s">
        <v>4267</v>
      </c>
      <c r="C221" t="s">
        <v>74</v>
      </c>
      <c r="D221" t="s">
        <v>74</v>
      </c>
      <c r="E221" t="s">
        <v>74</v>
      </c>
      <c r="F221" t="s">
        <v>4268</v>
      </c>
      <c r="G221" t="s">
        <v>74</v>
      </c>
      <c r="H221" t="s">
        <v>74</v>
      </c>
      <c r="I221" t="s">
        <v>4269</v>
      </c>
      <c r="J221" t="s">
        <v>4270</v>
      </c>
      <c r="K221" t="s">
        <v>74</v>
      </c>
      <c r="L221" t="s">
        <v>74</v>
      </c>
      <c r="M221" t="s">
        <v>78</v>
      </c>
      <c r="N221" t="s">
        <v>79</v>
      </c>
      <c r="O221" t="s">
        <v>74</v>
      </c>
      <c r="P221" t="s">
        <v>74</v>
      </c>
      <c r="Q221" t="s">
        <v>74</v>
      </c>
      <c r="R221" t="s">
        <v>74</v>
      </c>
      <c r="S221" t="s">
        <v>74</v>
      </c>
      <c r="T221" t="s">
        <v>4271</v>
      </c>
      <c r="U221" t="s">
        <v>4272</v>
      </c>
      <c r="V221" t="s">
        <v>4273</v>
      </c>
      <c r="W221" t="s">
        <v>4274</v>
      </c>
      <c r="X221" t="s">
        <v>4275</v>
      </c>
      <c r="Y221" t="s">
        <v>4276</v>
      </c>
      <c r="Z221" t="s">
        <v>4277</v>
      </c>
      <c r="AA221" t="s">
        <v>4278</v>
      </c>
      <c r="AB221" t="s">
        <v>4279</v>
      </c>
      <c r="AC221" t="s">
        <v>4280</v>
      </c>
      <c r="AD221" t="s">
        <v>4281</v>
      </c>
      <c r="AE221" t="s">
        <v>4282</v>
      </c>
      <c r="AF221" t="s">
        <v>74</v>
      </c>
      <c r="AG221">
        <v>33</v>
      </c>
      <c r="AH221">
        <v>6</v>
      </c>
      <c r="AI221">
        <v>6</v>
      </c>
      <c r="AJ221">
        <v>0</v>
      </c>
      <c r="AK221">
        <v>17</v>
      </c>
      <c r="AL221" t="s">
        <v>3995</v>
      </c>
      <c r="AM221" t="s">
        <v>3996</v>
      </c>
      <c r="AN221" t="s">
        <v>3997</v>
      </c>
      <c r="AO221" t="s">
        <v>4283</v>
      </c>
      <c r="AP221" t="s">
        <v>74</v>
      </c>
      <c r="AQ221" t="s">
        <v>74</v>
      </c>
      <c r="AR221" t="s">
        <v>4284</v>
      </c>
      <c r="AS221" t="s">
        <v>4285</v>
      </c>
      <c r="AT221" t="s">
        <v>74</v>
      </c>
      <c r="AU221">
        <v>2011</v>
      </c>
      <c r="AV221">
        <v>62</v>
      </c>
      <c r="AW221">
        <v>4</v>
      </c>
      <c r="AX221" t="s">
        <v>74</v>
      </c>
      <c r="AY221" t="s">
        <v>74</v>
      </c>
      <c r="AZ221" t="s">
        <v>74</v>
      </c>
      <c r="BA221" t="s">
        <v>74</v>
      </c>
      <c r="BB221">
        <v>404</v>
      </c>
      <c r="BC221">
        <v>413</v>
      </c>
      <c r="BD221" t="s">
        <v>74</v>
      </c>
      <c r="BE221" t="s">
        <v>4286</v>
      </c>
      <c r="BF221" t="str">
        <f>HYPERLINK("http://dx.doi.org/10.1071/MF10317","http://dx.doi.org/10.1071/MF10317")</f>
        <v>http://dx.doi.org/10.1071/MF10317</v>
      </c>
      <c r="BG221" t="s">
        <v>74</v>
      </c>
      <c r="BH221" t="s">
        <v>74</v>
      </c>
      <c r="BI221">
        <v>10</v>
      </c>
      <c r="BJ221" t="s">
        <v>4287</v>
      </c>
      <c r="BK221" t="s">
        <v>100</v>
      </c>
      <c r="BL221" t="s">
        <v>4288</v>
      </c>
      <c r="BM221" t="s">
        <v>4289</v>
      </c>
      <c r="BN221" t="s">
        <v>74</v>
      </c>
      <c r="BO221" t="s">
        <v>74</v>
      </c>
      <c r="BP221" t="s">
        <v>74</v>
      </c>
      <c r="BQ221" t="s">
        <v>74</v>
      </c>
      <c r="BR221" t="s">
        <v>103</v>
      </c>
      <c r="BS221" t="s">
        <v>4290</v>
      </c>
      <c r="BT221" t="str">
        <f>HYPERLINK("https%3A%2F%2Fwww.webofscience.com%2Fwos%2Fwoscc%2Ffull-record%2FWOS:000289950200009","View Full Record in Web of Science")</f>
        <v>View Full Record in Web of Science</v>
      </c>
    </row>
    <row r="222" spans="1:72" x14ac:dyDescent="0.15">
      <c r="A222" t="s">
        <v>72</v>
      </c>
      <c r="B222" t="s">
        <v>4291</v>
      </c>
      <c r="C222" t="s">
        <v>74</v>
      </c>
      <c r="D222" t="s">
        <v>74</v>
      </c>
      <c r="E222" t="s">
        <v>74</v>
      </c>
      <c r="F222" t="s">
        <v>4292</v>
      </c>
      <c r="G222" t="s">
        <v>74</v>
      </c>
      <c r="H222" t="s">
        <v>74</v>
      </c>
      <c r="I222" t="s">
        <v>4293</v>
      </c>
      <c r="J222" t="s">
        <v>4294</v>
      </c>
      <c r="K222" t="s">
        <v>74</v>
      </c>
      <c r="L222" t="s">
        <v>74</v>
      </c>
      <c r="M222" t="s">
        <v>78</v>
      </c>
      <c r="N222" t="s">
        <v>79</v>
      </c>
      <c r="O222" t="s">
        <v>74</v>
      </c>
      <c r="P222" t="s">
        <v>74</v>
      </c>
      <c r="Q222" t="s">
        <v>74</v>
      </c>
      <c r="R222" t="s">
        <v>74</v>
      </c>
      <c r="S222" t="s">
        <v>74</v>
      </c>
      <c r="T222" t="s">
        <v>4295</v>
      </c>
      <c r="U222" t="s">
        <v>4296</v>
      </c>
      <c r="V222" t="s">
        <v>4297</v>
      </c>
      <c r="W222" t="s">
        <v>4298</v>
      </c>
      <c r="X222" t="s">
        <v>74</v>
      </c>
      <c r="Y222" t="s">
        <v>4299</v>
      </c>
      <c r="Z222" t="s">
        <v>74</v>
      </c>
      <c r="AA222" t="s">
        <v>74</v>
      </c>
      <c r="AB222" t="s">
        <v>4300</v>
      </c>
      <c r="AC222" t="s">
        <v>74</v>
      </c>
      <c r="AD222" t="s">
        <v>74</v>
      </c>
      <c r="AE222" t="s">
        <v>74</v>
      </c>
      <c r="AF222" t="s">
        <v>74</v>
      </c>
      <c r="AG222">
        <v>55</v>
      </c>
      <c r="AH222">
        <v>4</v>
      </c>
      <c r="AI222">
        <v>6</v>
      </c>
      <c r="AJ222">
        <v>3</v>
      </c>
      <c r="AK222">
        <v>65</v>
      </c>
      <c r="AL222" t="s">
        <v>4239</v>
      </c>
      <c r="AM222" t="s">
        <v>475</v>
      </c>
      <c r="AN222" t="s">
        <v>4240</v>
      </c>
      <c r="AO222" t="s">
        <v>4301</v>
      </c>
      <c r="AP222" t="s">
        <v>4302</v>
      </c>
      <c r="AQ222" t="s">
        <v>74</v>
      </c>
      <c r="AR222" t="s">
        <v>4303</v>
      </c>
      <c r="AS222" t="s">
        <v>4304</v>
      </c>
      <c r="AT222" t="s">
        <v>4305</v>
      </c>
      <c r="AU222">
        <v>2011</v>
      </c>
      <c r="AV222">
        <v>67</v>
      </c>
      <c r="AW222">
        <v>1</v>
      </c>
      <c r="AX222" t="s">
        <v>74</v>
      </c>
      <c r="AY222" t="s">
        <v>74</v>
      </c>
      <c r="AZ222" t="s">
        <v>74</v>
      </c>
      <c r="BA222" t="s">
        <v>74</v>
      </c>
      <c r="BB222">
        <v>28</v>
      </c>
      <c r="BC222">
        <v>40</v>
      </c>
      <c r="BD222" t="s">
        <v>74</v>
      </c>
      <c r="BE222" t="s">
        <v>4306</v>
      </c>
      <c r="BF222" t="str">
        <f>HYPERLINK("http://dx.doi.org/10.1177/0096340210392965","http://dx.doi.org/10.1177/0096340210392965")</f>
        <v>http://dx.doi.org/10.1177/0096340210392965</v>
      </c>
      <c r="BG222" t="s">
        <v>74</v>
      </c>
      <c r="BH222" t="s">
        <v>74</v>
      </c>
      <c r="BI222">
        <v>13</v>
      </c>
      <c r="BJ222" t="s">
        <v>4307</v>
      </c>
      <c r="BK222" t="s">
        <v>1318</v>
      </c>
      <c r="BL222" t="s">
        <v>4307</v>
      </c>
      <c r="BM222" t="s">
        <v>4308</v>
      </c>
      <c r="BN222" t="s">
        <v>74</v>
      </c>
      <c r="BO222" t="s">
        <v>74</v>
      </c>
      <c r="BP222" t="s">
        <v>74</v>
      </c>
      <c r="BQ222" t="s">
        <v>74</v>
      </c>
      <c r="BR222" t="s">
        <v>103</v>
      </c>
      <c r="BS222" t="s">
        <v>4309</v>
      </c>
      <c r="BT222" t="str">
        <f>HYPERLINK("https%3A%2F%2Fwww.webofscience.com%2Fwos%2Fwoscc%2Ffull-record%2FWOS:000289490100004","View Full Record in Web of Science")</f>
        <v>View Full Record in Web of Science</v>
      </c>
    </row>
    <row r="223" spans="1:72" x14ac:dyDescent="0.15">
      <c r="A223" t="s">
        <v>72</v>
      </c>
      <c r="B223" t="s">
        <v>4310</v>
      </c>
      <c r="C223" t="s">
        <v>74</v>
      </c>
      <c r="D223" t="s">
        <v>74</v>
      </c>
      <c r="E223" t="s">
        <v>74</v>
      </c>
      <c r="F223" t="s">
        <v>4311</v>
      </c>
      <c r="G223" t="s">
        <v>74</v>
      </c>
      <c r="H223" t="s">
        <v>74</v>
      </c>
      <c r="I223" t="s">
        <v>4312</v>
      </c>
      <c r="J223" t="s">
        <v>4313</v>
      </c>
      <c r="K223" t="s">
        <v>74</v>
      </c>
      <c r="L223" t="s">
        <v>74</v>
      </c>
      <c r="M223" t="s">
        <v>78</v>
      </c>
      <c r="N223" t="s">
        <v>79</v>
      </c>
      <c r="O223" t="s">
        <v>74</v>
      </c>
      <c r="P223" t="s">
        <v>74</v>
      </c>
      <c r="Q223" t="s">
        <v>74</v>
      </c>
      <c r="R223" t="s">
        <v>74</v>
      </c>
      <c r="S223" t="s">
        <v>74</v>
      </c>
      <c r="T223" t="s">
        <v>74</v>
      </c>
      <c r="U223" t="s">
        <v>4314</v>
      </c>
      <c r="V223" t="s">
        <v>4315</v>
      </c>
      <c r="W223" t="s">
        <v>4316</v>
      </c>
      <c r="X223" t="s">
        <v>4317</v>
      </c>
      <c r="Y223" t="s">
        <v>4318</v>
      </c>
      <c r="Z223" t="s">
        <v>4319</v>
      </c>
      <c r="AA223" t="s">
        <v>4320</v>
      </c>
      <c r="AB223" t="s">
        <v>4321</v>
      </c>
      <c r="AC223" t="s">
        <v>4322</v>
      </c>
      <c r="AD223" t="s">
        <v>4323</v>
      </c>
      <c r="AE223" t="s">
        <v>4324</v>
      </c>
      <c r="AF223" t="s">
        <v>74</v>
      </c>
      <c r="AG223">
        <v>79</v>
      </c>
      <c r="AH223">
        <v>64</v>
      </c>
      <c r="AI223">
        <v>71</v>
      </c>
      <c r="AJ223">
        <v>1</v>
      </c>
      <c r="AK223">
        <v>19</v>
      </c>
      <c r="AL223" t="s">
        <v>2955</v>
      </c>
      <c r="AM223" t="s">
        <v>2956</v>
      </c>
      <c r="AN223" t="s">
        <v>2957</v>
      </c>
      <c r="AO223" t="s">
        <v>4325</v>
      </c>
      <c r="AP223" t="s">
        <v>4326</v>
      </c>
      <c r="AQ223" t="s">
        <v>74</v>
      </c>
      <c r="AR223" t="s">
        <v>4327</v>
      </c>
      <c r="AS223" t="s">
        <v>4328</v>
      </c>
      <c r="AT223" t="s">
        <v>74</v>
      </c>
      <c r="AU223">
        <v>2011</v>
      </c>
      <c r="AV223">
        <v>7</v>
      </c>
      <c r="AW223">
        <v>1</v>
      </c>
      <c r="AX223" t="s">
        <v>74</v>
      </c>
      <c r="AY223" t="s">
        <v>74</v>
      </c>
      <c r="AZ223" t="s">
        <v>74</v>
      </c>
      <c r="BA223" t="s">
        <v>74</v>
      </c>
      <c r="BB223">
        <v>1</v>
      </c>
      <c r="BC223">
        <v>16</v>
      </c>
      <c r="BD223" t="s">
        <v>74</v>
      </c>
      <c r="BE223" t="s">
        <v>4329</v>
      </c>
      <c r="BF223" t="str">
        <f>HYPERLINK("http://dx.doi.org/10.5194/cp-7-1-2011","http://dx.doi.org/10.5194/cp-7-1-2011")</f>
        <v>http://dx.doi.org/10.5194/cp-7-1-2011</v>
      </c>
      <c r="BG223" t="s">
        <v>74</v>
      </c>
      <c r="BH223" t="s">
        <v>74</v>
      </c>
      <c r="BI223">
        <v>16</v>
      </c>
      <c r="BJ223" t="s">
        <v>4330</v>
      </c>
      <c r="BK223" t="s">
        <v>100</v>
      </c>
      <c r="BL223" t="s">
        <v>4331</v>
      </c>
      <c r="BM223" t="s">
        <v>4332</v>
      </c>
      <c r="BN223" t="s">
        <v>74</v>
      </c>
      <c r="BO223" t="s">
        <v>4333</v>
      </c>
      <c r="BP223" t="s">
        <v>74</v>
      </c>
      <c r="BQ223" t="s">
        <v>74</v>
      </c>
      <c r="BR223" t="s">
        <v>103</v>
      </c>
      <c r="BS223" t="s">
        <v>4334</v>
      </c>
      <c r="BT223" t="str">
        <f>HYPERLINK("https%3A%2F%2Fwww.webofscience.com%2Fwos%2Fwoscc%2Ffull-record%2FWOS:000288992700001","View Full Record in Web of Science")</f>
        <v>View Full Record in Web of Science</v>
      </c>
    </row>
    <row r="224" spans="1:72" x14ac:dyDescent="0.15">
      <c r="A224" t="s">
        <v>72</v>
      </c>
      <c r="B224" t="s">
        <v>4335</v>
      </c>
      <c r="C224" t="s">
        <v>74</v>
      </c>
      <c r="D224" t="s">
        <v>74</v>
      </c>
      <c r="E224" t="s">
        <v>74</v>
      </c>
      <c r="F224" t="s">
        <v>4336</v>
      </c>
      <c r="G224" t="s">
        <v>74</v>
      </c>
      <c r="H224" t="s">
        <v>74</v>
      </c>
      <c r="I224" t="s">
        <v>4337</v>
      </c>
      <c r="J224" t="s">
        <v>4313</v>
      </c>
      <c r="K224" t="s">
        <v>74</v>
      </c>
      <c r="L224" t="s">
        <v>74</v>
      </c>
      <c r="M224" t="s">
        <v>78</v>
      </c>
      <c r="N224" t="s">
        <v>79</v>
      </c>
      <c r="O224" t="s">
        <v>74</v>
      </c>
      <c r="P224" t="s">
        <v>74</v>
      </c>
      <c r="Q224" t="s">
        <v>74</v>
      </c>
      <c r="R224" t="s">
        <v>74</v>
      </c>
      <c r="S224" t="s">
        <v>74</v>
      </c>
      <c r="T224" t="s">
        <v>74</v>
      </c>
      <c r="U224" t="s">
        <v>4338</v>
      </c>
      <c r="V224" t="s">
        <v>4339</v>
      </c>
      <c r="W224" t="s">
        <v>4340</v>
      </c>
      <c r="X224" t="s">
        <v>4341</v>
      </c>
      <c r="Y224" t="s">
        <v>4342</v>
      </c>
      <c r="Z224" t="s">
        <v>4343</v>
      </c>
      <c r="AA224" t="s">
        <v>4344</v>
      </c>
      <c r="AB224" t="s">
        <v>4345</v>
      </c>
      <c r="AC224" t="s">
        <v>74</v>
      </c>
      <c r="AD224" t="s">
        <v>74</v>
      </c>
      <c r="AE224" t="s">
        <v>74</v>
      </c>
      <c r="AF224" t="s">
        <v>74</v>
      </c>
      <c r="AG224">
        <v>53</v>
      </c>
      <c r="AH224">
        <v>13</v>
      </c>
      <c r="AI224">
        <v>14</v>
      </c>
      <c r="AJ224">
        <v>0</v>
      </c>
      <c r="AK224">
        <v>25</v>
      </c>
      <c r="AL224" t="s">
        <v>2955</v>
      </c>
      <c r="AM224" t="s">
        <v>2956</v>
      </c>
      <c r="AN224" t="s">
        <v>2957</v>
      </c>
      <c r="AO224" t="s">
        <v>4325</v>
      </c>
      <c r="AP224" t="s">
        <v>4326</v>
      </c>
      <c r="AQ224" t="s">
        <v>74</v>
      </c>
      <c r="AR224" t="s">
        <v>4327</v>
      </c>
      <c r="AS224" t="s">
        <v>4328</v>
      </c>
      <c r="AT224" t="s">
        <v>74</v>
      </c>
      <c r="AU224">
        <v>2011</v>
      </c>
      <c r="AV224">
        <v>7</v>
      </c>
      <c r="AW224">
        <v>1</v>
      </c>
      <c r="AX224" t="s">
        <v>74</v>
      </c>
      <c r="AY224" t="s">
        <v>74</v>
      </c>
      <c r="AZ224" t="s">
        <v>74</v>
      </c>
      <c r="BA224" t="s">
        <v>74</v>
      </c>
      <c r="BB224">
        <v>235</v>
      </c>
      <c r="BC224">
        <v>247</v>
      </c>
      <c r="BD224" t="s">
        <v>74</v>
      </c>
      <c r="BE224" t="s">
        <v>4346</v>
      </c>
      <c r="BF224" t="str">
        <f>HYPERLINK("http://dx.doi.org/10.5194/cp-7-235-2011","http://dx.doi.org/10.5194/cp-7-235-2011")</f>
        <v>http://dx.doi.org/10.5194/cp-7-235-2011</v>
      </c>
      <c r="BG224" t="s">
        <v>74</v>
      </c>
      <c r="BH224" t="s">
        <v>74</v>
      </c>
      <c r="BI224">
        <v>13</v>
      </c>
      <c r="BJ224" t="s">
        <v>4330</v>
      </c>
      <c r="BK224" t="s">
        <v>100</v>
      </c>
      <c r="BL224" t="s">
        <v>4331</v>
      </c>
      <c r="BM224" t="s">
        <v>4332</v>
      </c>
      <c r="BN224" t="s">
        <v>74</v>
      </c>
      <c r="BO224" t="s">
        <v>2456</v>
      </c>
      <c r="BP224" t="s">
        <v>74</v>
      </c>
      <c r="BQ224" t="s">
        <v>74</v>
      </c>
      <c r="BR224" t="s">
        <v>103</v>
      </c>
      <c r="BS224" t="s">
        <v>4347</v>
      </c>
      <c r="BT224" t="str">
        <f>HYPERLINK("https%3A%2F%2Fwww.webofscience.com%2Fwos%2Fwoscc%2Ffull-record%2FWOS:000288992700018","View Full Record in Web of Science")</f>
        <v>View Full Record in Web of Science</v>
      </c>
    </row>
    <row r="225" spans="1:72" x14ac:dyDescent="0.15">
      <c r="A225" t="s">
        <v>72</v>
      </c>
      <c r="B225" t="s">
        <v>4348</v>
      </c>
      <c r="C225" t="s">
        <v>74</v>
      </c>
      <c r="D225" t="s">
        <v>74</v>
      </c>
      <c r="E225" t="s">
        <v>74</v>
      </c>
      <c r="F225" t="s">
        <v>4349</v>
      </c>
      <c r="G225" t="s">
        <v>74</v>
      </c>
      <c r="H225" t="s">
        <v>74</v>
      </c>
      <c r="I225" t="s">
        <v>4350</v>
      </c>
      <c r="J225" t="s">
        <v>3221</v>
      </c>
      <c r="K225" t="s">
        <v>74</v>
      </c>
      <c r="L225" t="s">
        <v>74</v>
      </c>
      <c r="M225" t="s">
        <v>78</v>
      </c>
      <c r="N225" t="s">
        <v>79</v>
      </c>
      <c r="O225" t="s">
        <v>74</v>
      </c>
      <c r="P225" t="s">
        <v>74</v>
      </c>
      <c r="Q225" t="s">
        <v>74</v>
      </c>
      <c r="R225" t="s">
        <v>74</v>
      </c>
      <c r="S225" t="s">
        <v>74</v>
      </c>
      <c r="T225" t="s">
        <v>4351</v>
      </c>
      <c r="U225" t="s">
        <v>4352</v>
      </c>
      <c r="V225" t="s">
        <v>4353</v>
      </c>
      <c r="W225" t="s">
        <v>4354</v>
      </c>
      <c r="X225" t="s">
        <v>4355</v>
      </c>
      <c r="Y225" t="s">
        <v>4356</v>
      </c>
      <c r="Z225" t="s">
        <v>4357</v>
      </c>
      <c r="AA225" t="s">
        <v>4358</v>
      </c>
      <c r="AB225" t="s">
        <v>4359</v>
      </c>
      <c r="AC225" t="s">
        <v>4360</v>
      </c>
      <c r="AD225" t="s">
        <v>4361</v>
      </c>
      <c r="AE225" t="s">
        <v>4362</v>
      </c>
      <c r="AF225" t="s">
        <v>74</v>
      </c>
      <c r="AG225">
        <v>45</v>
      </c>
      <c r="AH225">
        <v>35</v>
      </c>
      <c r="AI225">
        <v>39</v>
      </c>
      <c r="AJ225">
        <v>0</v>
      </c>
      <c r="AK225">
        <v>37</v>
      </c>
      <c r="AL225" t="s">
        <v>3232</v>
      </c>
      <c r="AM225" t="s">
        <v>3233</v>
      </c>
      <c r="AN225" t="s">
        <v>3234</v>
      </c>
      <c r="AO225" t="s">
        <v>3235</v>
      </c>
      <c r="AP225" t="s">
        <v>3236</v>
      </c>
      <c r="AQ225" t="s">
        <v>74</v>
      </c>
      <c r="AR225" t="s">
        <v>3237</v>
      </c>
      <c r="AS225" t="s">
        <v>3238</v>
      </c>
      <c r="AT225" t="s">
        <v>74</v>
      </c>
      <c r="AU225">
        <v>2011</v>
      </c>
      <c r="AV225">
        <v>426</v>
      </c>
      <c r="AW225" t="s">
        <v>74</v>
      </c>
      <c r="AX225" t="s">
        <v>74</v>
      </c>
      <c r="AY225" t="s">
        <v>74</v>
      </c>
      <c r="AZ225" t="s">
        <v>74</v>
      </c>
      <c r="BA225" t="s">
        <v>74</v>
      </c>
      <c r="BB225">
        <v>119</v>
      </c>
      <c r="BC225">
        <v>131</v>
      </c>
      <c r="BD225" t="s">
        <v>74</v>
      </c>
      <c r="BE225" t="s">
        <v>4363</v>
      </c>
      <c r="BF225" t="str">
        <f>HYPERLINK("http://dx.doi.org/10.3354/meps09000","http://dx.doi.org/10.3354/meps09000")</f>
        <v>http://dx.doi.org/10.3354/meps09000</v>
      </c>
      <c r="BG225" t="s">
        <v>74</v>
      </c>
      <c r="BH225" t="s">
        <v>74</v>
      </c>
      <c r="BI225">
        <v>13</v>
      </c>
      <c r="BJ225" t="s">
        <v>3240</v>
      </c>
      <c r="BK225" t="s">
        <v>100</v>
      </c>
      <c r="BL225" t="s">
        <v>3241</v>
      </c>
      <c r="BM225" t="s">
        <v>4364</v>
      </c>
      <c r="BN225" t="s">
        <v>74</v>
      </c>
      <c r="BO225" t="s">
        <v>3320</v>
      </c>
      <c r="BP225" t="s">
        <v>74</v>
      </c>
      <c r="BQ225" t="s">
        <v>74</v>
      </c>
      <c r="BR225" t="s">
        <v>103</v>
      </c>
      <c r="BS225" t="s">
        <v>4365</v>
      </c>
      <c r="BT225" t="str">
        <f>HYPERLINK("https%3A%2F%2Fwww.webofscience.com%2Fwos%2Fwoscc%2Ffull-record%2FWOS:000288984400009","View Full Record in Web of Science")</f>
        <v>View Full Record in Web of Science</v>
      </c>
    </row>
    <row r="226" spans="1:72" x14ac:dyDescent="0.15">
      <c r="A226" t="s">
        <v>72</v>
      </c>
      <c r="B226" t="s">
        <v>4366</v>
      </c>
      <c r="C226" t="s">
        <v>74</v>
      </c>
      <c r="D226" t="s">
        <v>74</v>
      </c>
      <c r="E226" t="s">
        <v>74</v>
      </c>
      <c r="F226" t="s">
        <v>4367</v>
      </c>
      <c r="G226" t="s">
        <v>74</v>
      </c>
      <c r="H226" t="s">
        <v>74</v>
      </c>
      <c r="I226" t="s">
        <v>4368</v>
      </c>
      <c r="J226" t="s">
        <v>4369</v>
      </c>
      <c r="K226" t="s">
        <v>74</v>
      </c>
      <c r="L226" t="s">
        <v>74</v>
      </c>
      <c r="M226" t="s">
        <v>78</v>
      </c>
      <c r="N226" t="s">
        <v>79</v>
      </c>
      <c r="O226" t="s">
        <v>74</v>
      </c>
      <c r="P226" t="s">
        <v>74</v>
      </c>
      <c r="Q226" t="s">
        <v>74</v>
      </c>
      <c r="R226" t="s">
        <v>74</v>
      </c>
      <c r="S226" t="s">
        <v>74</v>
      </c>
      <c r="T226" t="s">
        <v>4370</v>
      </c>
      <c r="U226" t="s">
        <v>74</v>
      </c>
      <c r="V226" t="s">
        <v>4371</v>
      </c>
      <c r="W226" t="s">
        <v>4372</v>
      </c>
      <c r="X226" t="s">
        <v>4373</v>
      </c>
      <c r="Y226" t="s">
        <v>4374</v>
      </c>
      <c r="Z226" t="s">
        <v>4375</v>
      </c>
      <c r="AA226" t="s">
        <v>74</v>
      </c>
      <c r="AB226" t="s">
        <v>74</v>
      </c>
      <c r="AC226" t="s">
        <v>4376</v>
      </c>
      <c r="AD226" t="s">
        <v>4377</v>
      </c>
      <c r="AE226" t="s">
        <v>4378</v>
      </c>
      <c r="AF226" t="s">
        <v>74</v>
      </c>
      <c r="AG226">
        <v>23</v>
      </c>
      <c r="AH226">
        <v>3</v>
      </c>
      <c r="AI226">
        <v>4</v>
      </c>
      <c r="AJ226">
        <v>0</v>
      </c>
      <c r="AK226">
        <v>10</v>
      </c>
      <c r="AL226" t="s">
        <v>4379</v>
      </c>
      <c r="AM226" t="s">
        <v>4380</v>
      </c>
      <c r="AN226" t="s">
        <v>4381</v>
      </c>
      <c r="AO226" t="s">
        <v>4382</v>
      </c>
      <c r="AP226" t="s">
        <v>4383</v>
      </c>
      <c r="AQ226" t="s">
        <v>74</v>
      </c>
      <c r="AR226" t="s">
        <v>4384</v>
      </c>
      <c r="AS226" t="s">
        <v>4385</v>
      </c>
      <c r="AT226" t="s">
        <v>74</v>
      </c>
      <c r="AU226">
        <v>2011</v>
      </c>
      <c r="AV226">
        <v>32</v>
      </c>
      <c r="AW226">
        <v>1</v>
      </c>
      <c r="AX226" t="s">
        <v>74</v>
      </c>
      <c r="AY226" t="s">
        <v>74</v>
      </c>
      <c r="AZ226" t="s">
        <v>74</v>
      </c>
      <c r="BA226" t="s">
        <v>74</v>
      </c>
      <c r="BB226">
        <v>27</v>
      </c>
      <c r="BC226">
        <v>38</v>
      </c>
      <c r="BD226" t="s">
        <v>74</v>
      </c>
      <c r="BE226" t="s">
        <v>4386</v>
      </c>
      <c r="BF226" t="str">
        <f>HYPERLINK("http://dx.doi.org/10.2478/v10183-011-0001-0","http://dx.doi.org/10.2478/v10183-011-0001-0")</f>
        <v>http://dx.doi.org/10.2478/v10183-011-0001-0</v>
      </c>
      <c r="BG226" t="s">
        <v>74</v>
      </c>
      <c r="BH226" t="s">
        <v>74</v>
      </c>
      <c r="BI226">
        <v>12</v>
      </c>
      <c r="BJ226" t="s">
        <v>4387</v>
      </c>
      <c r="BK226" t="s">
        <v>100</v>
      </c>
      <c r="BL226" t="s">
        <v>4388</v>
      </c>
      <c r="BM226" t="s">
        <v>4389</v>
      </c>
      <c r="BN226" t="s">
        <v>74</v>
      </c>
      <c r="BO226" t="s">
        <v>74</v>
      </c>
      <c r="BP226" t="s">
        <v>74</v>
      </c>
      <c r="BQ226" t="s">
        <v>74</v>
      </c>
      <c r="BR226" t="s">
        <v>103</v>
      </c>
      <c r="BS226" t="s">
        <v>4390</v>
      </c>
      <c r="BT226" t="str">
        <f>HYPERLINK("https%3A%2F%2Fwww.webofscience.com%2Fwos%2Fwoscc%2Ffull-record%2FWOS:000288909300003","View Full Record in Web of Science")</f>
        <v>View Full Record in Web of Science</v>
      </c>
    </row>
    <row r="227" spans="1:72" x14ac:dyDescent="0.15">
      <c r="A227" t="s">
        <v>72</v>
      </c>
      <c r="B227" t="s">
        <v>4391</v>
      </c>
      <c r="C227" t="s">
        <v>74</v>
      </c>
      <c r="D227" t="s">
        <v>74</v>
      </c>
      <c r="E227" t="s">
        <v>74</v>
      </c>
      <c r="F227" t="s">
        <v>4392</v>
      </c>
      <c r="G227" t="s">
        <v>74</v>
      </c>
      <c r="H227" t="s">
        <v>74</v>
      </c>
      <c r="I227" t="s">
        <v>4393</v>
      </c>
      <c r="J227" t="s">
        <v>4369</v>
      </c>
      <c r="K227" t="s">
        <v>74</v>
      </c>
      <c r="L227" t="s">
        <v>74</v>
      </c>
      <c r="M227" t="s">
        <v>78</v>
      </c>
      <c r="N227" t="s">
        <v>79</v>
      </c>
      <c r="O227" t="s">
        <v>74</v>
      </c>
      <c r="P227" t="s">
        <v>74</v>
      </c>
      <c r="Q227" t="s">
        <v>74</v>
      </c>
      <c r="R227" t="s">
        <v>74</v>
      </c>
      <c r="S227" t="s">
        <v>74</v>
      </c>
      <c r="T227" t="s">
        <v>4394</v>
      </c>
      <c r="U227" t="s">
        <v>4395</v>
      </c>
      <c r="V227" t="s">
        <v>4396</v>
      </c>
      <c r="W227" t="s">
        <v>4397</v>
      </c>
      <c r="X227" t="s">
        <v>4398</v>
      </c>
      <c r="Y227" t="s">
        <v>4399</v>
      </c>
      <c r="Z227" t="s">
        <v>4400</v>
      </c>
      <c r="AA227" t="s">
        <v>74</v>
      </c>
      <c r="AB227" t="s">
        <v>4401</v>
      </c>
      <c r="AC227" t="s">
        <v>74</v>
      </c>
      <c r="AD227" t="s">
        <v>74</v>
      </c>
      <c r="AE227" t="s">
        <v>74</v>
      </c>
      <c r="AF227" t="s">
        <v>74</v>
      </c>
      <c r="AG227">
        <v>20</v>
      </c>
      <c r="AH227">
        <v>2</v>
      </c>
      <c r="AI227">
        <v>3</v>
      </c>
      <c r="AJ227">
        <v>0</v>
      </c>
      <c r="AK227">
        <v>1</v>
      </c>
      <c r="AL227" t="s">
        <v>4402</v>
      </c>
      <c r="AM227" t="s">
        <v>4403</v>
      </c>
      <c r="AN227" t="s">
        <v>4404</v>
      </c>
      <c r="AO227" t="s">
        <v>4382</v>
      </c>
      <c r="AP227" t="s">
        <v>74</v>
      </c>
      <c r="AQ227" t="s">
        <v>74</v>
      </c>
      <c r="AR227" t="s">
        <v>4384</v>
      </c>
      <c r="AS227" t="s">
        <v>4385</v>
      </c>
      <c r="AT227" t="s">
        <v>74</v>
      </c>
      <c r="AU227">
        <v>2011</v>
      </c>
      <c r="AV227">
        <v>32</v>
      </c>
      <c r="AW227">
        <v>1</v>
      </c>
      <c r="AX227" t="s">
        <v>74</v>
      </c>
      <c r="AY227" t="s">
        <v>74</v>
      </c>
      <c r="AZ227" t="s">
        <v>74</v>
      </c>
      <c r="BA227" t="s">
        <v>74</v>
      </c>
      <c r="BB227">
        <v>59</v>
      </c>
      <c r="BC227">
        <v>66</v>
      </c>
      <c r="BD227" t="s">
        <v>74</v>
      </c>
      <c r="BE227" t="s">
        <v>4405</v>
      </c>
      <c r="BF227" t="str">
        <f>HYPERLINK("http://dx.doi.org/10.2478/v10183-011-0007-7","http://dx.doi.org/10.2478/v10183-011-0007-7")</f>
        <v>http://dx.doi.org/10.2478/v10183-011-0007-7</v>
      </c>
      <c r="BG227" t="s">
        <v>74</v>
      </c>
      <c r="BH227" t="s">
        <v>74</v>
      </c>
      <c r="BI227">
        <v>8</v>
      </c>
      <c r="BJ227" t="s">
        <v>4387</v>
      </c>
      <c r="BK227" t="s">
        <v>100</v>
      </c>
      <c r="BL227" t="s">
        <v>4388</v>
      </c>
      <c r="BM227" t="s">
        <v>4389</v>
      </c>
      <c r="BN227" t="s">
        <v>74</v>
      </c>
      <c r="BO227" t="s">
        <v>74</v>
      </c>
      <c r="BP227" t="s">
        <v>74</v>
      </c>
      <c r="BQ227" t="s">
        <v>74</v>
      </c>
      <c r="BR227" t="s">
        <v>103</v>
      </c>
      <c r="BS227" t="s">
        <v>4406</v>
      </c>
      <c r="BT227" t="str">
        <f>HYPERLINK("https%3A%2F%2Fwww.webofscience.com%2Fwos%2Fwoscc%2Ffull-record%2FWOS:000288909300005","View Full Record in Web of Science")</f>
        <v>View Full Record in Web of Science</v>
      </c>
    </row>
    <row r="228" spans="1:72" x14ac:dyDescent="0.15">
      <c r="A228" t="s">
        <v>72</v>
      </c>
      <c r="B228" t="s">
        <v>4407</v>
      </c>
      <c r="C228" t="s">
        <v>74</v>
      </c>
      <c r="D228" t="s">
        <v>74</v>
      </c>
      <c r="E228" t="s">
        <v>74</v>
      </c>
      <c r="F228" t="s">
        <v>4408</v>
      </c>
      <c r="G228" t="s">
        <v>74</v>
      </c>
      <c r="H228" t="s">
        <v>74</v>
      </c>
      <c r="I228" t="s">
        <v>4409</v>
      </c>
      <c r="J228" t="s">
        <v>731</v>
      </c>
      <c r="K228" t="s">
        <v>74</v>
      </c>
      <c r="L228" t="s">
        <v>74</v>
      </c>
      <c r="M228" t="s">
        <v>78</v>
      </c>
      <c r="N228" t="s">
        <v>2000</v>
      </c>
      <c r="O228" t="s">
        <v>4410</v>
      </c>
      <c r="P228" t="s">
        <v>4411</v>
      </c>
      <c r="Q228" t="s">
        <v>4412</v>
      </c>
      <c r="R228" t="s">
        <v>74</v>
      </c>
      <c r="S228" t="s">
        <v>74</v>
      </c>
      <c r="T228" t="s">
        <v>4413</v>
      </c>
      <c r="U228" t="s">
        <v>4414</v>
      </c>
      <c r="V228" t="s">
        <v>4415</v>
      </c>
      <c r="W228" t="s">
        <v>4416</v>
      </c>
      <c r="X228" t="s">
        <v>4417</v>
      </c>
      <c r="Y228" t="s">
        <v>4418</v>
      </c>
      <c r="Z228" t="s">
        <v>4419</v>
      </c>
      <c r="AA228" t="s">
        <v>4420</v>
      </c>
      <c r="AB228" t="s">
        <v>4421</v>
      </c>
      <c r="AC228" t="s">
        <v>74</v>
      </c>
      <c r="AD228" t="s">
        <v>74</v>
      </c>
      <c r="AE228" t="s">
        <v>74</v>
      </c>
      <c r="AF228" t="s">
        <v>74</v>
      </c>
      <c r="AG228">
        <v>76</v>
      </c>
      <c r="AH228">
        <v>6</v>
      </c>
      <c r="AI228">
        <v>7</v>
      </c>
      <c r="AJ228">
        <v>0</v>
      </c>
      <c r="AK228">
        <v>23</v>
      </c>
      <c r="AL228" t="s">
        <v>718</v>
      </c>
      <c r="AM228" t="s">
        <v>719</v>
      </c>
      <c r="AN228" t="s">
        <v>720</v>
      </c>
      <c r="AO228" t="s">
        <v>744</v>
      </c>
      <c r="AP228" t="s">
        <v>745</v>
      </c>
      <c r="AQ228" t="s">
        <v>74</v>
      </c>
      <c r="AR228" t="s">
        <v>746</v>
      </c>
      <c r="AS228" t="s">
        <v>747</v>
      </c>
      <c r="AT228" t="s">
        <v>3935</v>
      </c>
      <c r="AU228">
        <v>2011</v>
      </c>
      <c r="AV228">
        <v>58</v>
      </c>
      <c r="AW228" t="s">
        <v>2089</v>
      </c>
      <c r="AX228" t="s">
        <v>74</v>
      </c>
      <c r="AY228" t="s">
        <v>74</v>
      </c>
      <c r="AZ228" t="s">
        <v>967</v>
      </c>
      <c r="BA228" t="s">
        <v>74</v>
      </c>
      <c r="BB228">
        <v>128</v>
      </c>
      <c r="BC228">
        <v>138</v>
      </c>
      <c r="BD228" t="s">
        <v>74</v>
      </c>
      <c r="BE228" t="s">
        <v>4422</v>
      </c>
      <c r="BF228" t="str">
        <f>HYPERLINK("http://dx.doi.org/10.1016/j.dsr2.2010.10.013","http://dx.doi.org/10.1016/j.dsr2.2010.10.013")</f>
        <v>http://dx.doi.org/10.1016/j.dsr2.2010.10.013</v>
      </c>
      <c r="BG228" t="s">
        <v>74</v>
      </c>
      <c r="BH228" t="s">
        <v>74</v>
      </c>
      <c r="BI228">
        <v>11</v>
      </c>
      <c r="BJ228" t="s">
        <v>250</v>
      </c>
      <c r="BK228" t="s">
        <v>2022</v>
      </c>
      <c r="BL228" t="s">
        <v>250</v>
      </c>
      <c r="BM228" t="s">
        <v>4423</v>
      </c>
      <c r="BN228" t="s">
        <v>74</v>
      </c>
      <c r="BO228" t="s">
        <v>74</v>
      </c>
      <c r="BP228" t="s">
        <v>74</v>
      </c>
      <c r="BQ228" t="s">
        <v>74</v>
      </c>
      <c r="BR228" t="s">
        <v>103</v>
      </c>
      <c r="BS228" t="s">
        <v>4424</v>
      </c>
      <c r="BT228" t="str">
        <f>HYPERLINK("https%3A%2F%2Fwww.webofscience.com%2Fwos%2Fwoscc%2Ffull-record%2FWOS:000288470800013","View Full Record in Web of Science")</f>
        <v>View Full Record in Web of Science</v>
      </c>
    </row>
    <row r="229" spans="1:72" x14ac:dyDescent="0.15">
      <c r="A229" t="s">
        <v>72</v>
      </c>
      <c r="B229" t="s">
        <v>4425</v>
      </c>
      <c r="C229" t="s">
        <v>74</v>
      </c>
      <c r="D229" t="s">
        <v>74</v>
      </c>
      <c r="E229" t="s">
        <v>74</v>
      </c>
      <c r="F229" t="s">
        <v>4426</v>
      </c>
      <c r="G229" t="s">
        <v>74</v>
      </c>
      <c r="H229" t="s">
        <v>74</v>
      </c>
      <c r="I229" t="s">
        <v>4427</v>
      </c>
      <c r="J229" t="s">
        <v>731</v>
      </c>
      <c r="K229" t="s">
        <v>74</v>
      </c>
      <c r="L229" t="s">
        <v>74</v>
      </c>
      <c r="M229" t="s">
        <v>78</v>
      </c>
      <c r="N229" t="s">
        <v>2000</v>
      </c>
      <c r="O229" t="s">
        <v>4410</v>
      </c>
      <c r="P229" t="s">
        <v>4411</v>
      </c>
      <c r="Q229" t="s">
        <v>4412</v>
      </c>
      <c r="R229" t="s">
        <v>74</v>
      </c>
      <c r="S229" t="s">
        <v>74</v>
      </c>
      <c r="T229" t="s">
        <v>4428</v>
      </c>
      <c r="U229" t="s">
        <v>4429</v>
      </c>
      <c r="V229" t="s">
        <v>4430</v>
      </c>
      <c r="W229" t="s">
        <v>4431</v>
      </c>
      <c r="X229" t="s">
        <v>4432</v>
      </c>
      <c r="Y229" t="s">
        <v>4433</v>
      </c>
      <c r="Z229" t="s">
        <v>4434</v>
      </c>
      <c r="AA229" t="s">
        <v>74</v>
      </c>
      <c r="AB229" t="s">
        <v>4435</v>
      </c>
      <c r="AC229" t="s">
        <v>74</v>
      </c>
      <c r="AD229" t="s">
        <v>74</v>
      </c>
      <c r="AE229" t="s">
        <v>74</v>
      </c>
      <c r="AF229" t="s">
        <v>74</v>
      </c>
      <c r="AG229">
        <v>47</v>
      </c>
      <c r="AH229">
        <v>47</v>
      </c>
      <c r="AI229">
        <v>51</v>
      </c>
      <c r="AJ229">
        <v>2</v>
      </c>
      <c r="AK229">
        <v>37</v>
      </c>
      <c r="AL229" t="s">
        <v>718</v>
      </c>
      <c r="AM229" t="s">
        <v>719</v>
      </c>
      <c r="AN229" t="s">
        <v>720</v>
      </c>
      <c r="AO229" t="s">
        <v>744</v>
      </c>
      <c r="AP229" t="s">
        <v>74</v>
      </c>
      <c r="AQ229" t="s">
        <v>74</v>
      </c>
      <c r="AR229" t="s">
        <v>746</v>
      </c>
      <c r="AS229" t="s">
        <v>747</v>
      </c>
      <c r="AT229" t="s">
        <v>3935</v>
      </c>
      <c r="AU229">
        <v>2011</v>
      </c>
      <c r="AV229">
        <v>58</v>
      </c>
      <c r="AW229" t="s">
        <v>2089</v>
      </c>
      <c r="AX229" t="s">
        <v>74</v>
      </c>
      <c r="AY229" t="s">
        <v>74</v>
      </c>
      <c r="AZ229" t="s">
        <v>967</v>
      </c>
      <c r="BA229" t="s">
        <v>74</v>
      </c>
      <c r="BB229">
        <v>181</v>
      </c>
      <c r="BC229">
        <v>195</v>
      </c>
      <c r="BD229" t="s">
        <v>74</v>
      </c>
      <c r="BE229" t="s">
        <v>4436</v>
      </c>
      <c r="BF229" t="str">
        <f>HYPERLINK("http://dx.doi.org/10.1016/j.dsr2.2010.05.018","http://dx.doi.org/10.1016/j.dsr2.2010.05.018")</f>
        <v>http://dx.doi.org/10.1016/j.dsr2.2010.05.018</v>
      </c>
      <c r="BG229" t="s">
        <v>74</v>
      </c>
      <c r="BH229" t="s">
        <v>74</v>
      </c>
      <c r="BI229">
        <v>15</v>
      </c>
      <c r="BJ229" t="s">
        <v>250</v>
      </c>
      <c r="BK229" t="s">
        <v>2022</v>
      </c>
      <c r="BL229" t="s">
        <v>250</v>
      </c>
      <c r="BM229" t="s">
        <v>4423</v>
      </c>
      <c r="BN229" t="s">
        <v>74</v>
      </c>
      <c r="BO229" t="s">
        <v>74</v>
      </c>
      <c r="BP229" t="s">
        <v>74</v>
      </c>
      <c r="BQ229" t="s">
        <v>74</v>
      </c>
      <c r="BR229" t="s">
        <v>103</v>
      </c>
      <c r="BS229" t="s">
        <v>4437</v>
      </c>
      <c r="BT229" t="str">
        <f>HYPERLINK("https%3A%2F%2Fwww.webofscience.com%2Fwos%2Fwoscc%2Ffull-record%2FWOS:000288470800018","View Full Record in Web of Science")</f>
        <v>View Full Record in Web of Science</v>
      </c>
    </row>
    <row r="230" spans="1:72" x14ac:dyDescent="0.15">
      <c r="A230" t="s">
        <v>72</v>
      </c>
      <c r="B230" t="s">
        <v>4438</v>
      </c>
      <c r="C230" t="s">
        <v>74</v>
      </c>
      <c r="D230" t="s">
        <v>74</v>
      </c>
      <c r="E230" t="s">
        <v>74</v>
      </c>
      <c r="F230" t="s">
        <v>4439</v>
      </c>
      <c r="G230" t="s">
        <v>74</v>
      </c>
      <c r="H230" t="s">
        <v>74</v>
      </c>
      <c r="I230" t="s">
        <v>4440</v>
      </c>
      <c r="J230" t="s">
        <v>731</v>
      </c>
      <c r="K230" t="s">
        <v>74</v>
      </c>
      <c r="L230" t="s">
        <v>74</v>
      </c>
      <c r="M230" t="s">
        <v>78</v>
      </c>
      <c r="N230" t="s">
        <v>2000</v>
      </c>
      <c r="O230" t="s">
        <v>4410</v>
      </c>
      <c r="P230" t="s">
        <v>4411</v>
      </c>
      <c r="Q230" t="s">
        <v>4412</v>
      </c>
      <c r="R230" t="s">
        <v>74</v>
      </c>
      <c r="S230" t="s">
        <v>74</v>
      </c>
      <c r="T230" t="s">
        <v>4441</v>
      </c>
      <c r="U230" t="s">
        <v>4442</v>
      </c>
      <c r="V230" t="s">
        <v>4443</v>
      </c>
      <c r="W230" t="s">
        <v>4444</v>
      </c>
      <c r="X230" t="s">
        <v>4445</v>
      </c>
      <c r="Y230" t="s">
        <v>4446</v>
      </c>
      <c r="Z230" t="s">
        <v>4447</v>
      </c>
      <c r="AA230" t="s">
        <v>4448</v>
      </c>
      <c r="AB230" t="s">
        <v>4449</v>
      </c>
      <c r="AC230" t="s">
        <v>74</v>
      </c>
      <c r="AD230" t="s">
        <v>74</v>
      </c>
      <c r="AE230" t="s">
        <v>74</v>
      </c>
      <c r="AF230" t="s">
        <v>74</v>
      </c>
      <c r="AG230">
        <v>84</v>
      </c>
      <c r="AH230">
        <v>45</v>
      </c>
      <c r="AI230">
        <v>46</v>
      </c>
      <c r="AJ230">
        <v>0</v>
      </c>
      <c r="AK230">
        <v>20</v>
      </c>
      <c r="AL230" t="s">
        <v>718</v>
      </c>
      <c r="AM230" t="s">
        <v>719</v>
      </c>
      <c r="AN230" t="s">
        <v>720</v>
      </c>
      <c r="AO230" t="s">
        <v>744</v>
      </c>
      <c r="AP230" t="s">
        <v>745</v>
      </c>
      <c r="AQ230" t="s">
        <v>74</v>
      </c>
      <c r="AR230" t="s">
        <v>746</v>
      </c>
      <c r="AS230" t="s">
        <v>747</v>
      </c>
      <c r="AT230" t="s">
        <v>3935</v>
      </c>
      <c r="AU230">
        <v>2011</v>
      </c>
      <c r="AV230">
        <v>58</v>
      </c>
      <c r="AW230" t="s">
        <v>2089</v>
      </c>
      <c r="AX230" t="s">
        <v>74</v>
      </c>
      <c r="AY230" t="s">
        <v>74</v>
      </c>
      <c r="AZ230" t="s">
        <v>967</v>
      </c>
      <c r="BA230" t="s">
        <v>74</v>
      </c>
      <c r="BB230">
        <v>220</v>
      </c>
      <c r="BC230">
        <v>229</v>
      </c>
      <c r="BD230" t="s">
        <v>74</v>
      </c>
      <c r="BE230" t="s">
        <v>4450</v>
      </c>
      <c r="BF230" t="str">
        <f>HYPERLINK("http://dx.doi.org/10.1016/j.dsr2.2010.05.026","http://dx.doi.org/10.1016/j.dsr2.2010.05.026")</f>
        <v>http://dx.doi.org/10.1016/j.dsr2.2010.05.026</v>
      </c>
      <c r="BG230" t="s">
        <v>74</v>
      </c>
      <c r="BH230" t="s">
        <v>74</v>
      </c>
      <c r="BI230">
        <v>10</v>
      </c>
      <c r="BJ230" t="s">
        <v>250</v>
      </c>
      <c r="BK230" t="s">
        <v>2022</v>
      </c>
      <c r="BL230" t="s">
        <v>250</v>
      </c>
      <c r="BM230" t="s">
        <v>4423</v>
      </c>
      <c r="BN230" t="s">
        <v>74</v>
      </c>
      <c r="BO230" t="s">
        <v>138</v>
      </c>
      <c r="BP230" t="s">
        <v>74</v>
      </c>
      <c r="BQ230" t="s">
        <v>74</v>
      </c>
      <c r="BR230" t="s">
        <v>103</v>
      </c>
      <c r="BS230" t="s">
        <v>4451</v>
      </c>
      <c r="BT230" t="str">
        <f>HYPERLINK("https%3A%2F%2Fwww.webofscience.com%2Fwos%2Fwoscc%2Ffull-record%2FWOS:000288470800022","View Full Record in Web of Science")</f>
        <v>View Full Record in Web of Science</v>
      </c>
    </row>
    <row r="231" spans="1:72" x14ac:dyDescent="0.15">
      <c r="A231" t="s">
        <v>72</v>
      </c>
      <c r="B231" t="s">
        <v>4452</v>
      </c>
      <c r="C231" t="s">
        <v>74</v>
      </c>
      <c r="D231" t="s">
        <v>74</v>
      </c>
      <c r="E231" t="s">
        <v>74</v>
      </c>
      <c r="F231" t="s">
        <v>4453</v>
      </c>
      <c r="G231" t="s">
        <v>74</v>
      </c>
      <c r="H231" t="s">
        <v>74</v>
      </c>
      <c r="I231" t="s">
        <v>4454</v>
      </c>
      <c r="J231" t="s">
        <v>4455</v>
      </c>
      <c r="K231" t="s">
        <v>74</v>
      </c>
      <c r="L231" t="s">
        <v>74</v>
      </c>
      <c r="M231" t="s">
        <v>78</v>
      </c>
      <c r="N231" t="s">
        <v>79</v>
      </c>
      <c r="O231" t="s">
        <v>74</v>
      </c>
      <c r="P231" t="s">
        <v>74</v>
      </c>
      <c r="Q231" t="s">
        <v>74</v>
      </c>
      <c r="R231" t="s">
        <v>74</v>
      </c>
      <c r="S231" t="s">
        <v>74</v>
      </c>
      <c r="T231" t="s">
        <v>74</v>
      </c>
      <c r="U231" t="s">
        <v>4456</v>
      </c>
      <c r="V231" t="s">
        <v>74</v>
      </c>
      <c r="W231" t="s">
        <v>4457</v>
      </c>
      <c r="X231" t="s">
        <v>4458</v>
      </c>
      <c r="Y231" t="s">
        <v>4459</v>
      </c>
      <c r="Z231" t="s">
        <v>4460</v>
      </c>
      <c r="AA231" t="s">
        <v>74</v>
      </c>
      <c r="AB231" t="s">
        <v>74</v>
      </c>
      <c r="AC231" t="s">
        <v>4461</v>
      </c>
      <c r="AD231" t="s">
        <v>4462</v>
      </c>
      <c r="AE231" t="s">
        <v>4463</v>
      </c>
      <c r="AF231" t="s">
        <v>74</v>
      </c>
      <c r="AG231">
        <v>21</v>
      </c>
      <c r="AH231">
        <v>3</v>
      </c>
      <c r="AI231">
        <v>4</v>
      </c>
      <c r="AJ231">
        <v>0</v>
      </c>
      <c r="AK231">
        <v>0</v>
      </c>
      <c r="AL231" t="s">
        <v>4464</v>
      </c>
      <c r="AM231" t="s">
        <v>4465</v>
      </c>
      <c r="AN231" t="s">
        <v>4466</v>
      </c>
      <c r="AO231" t="s">
        <v>4467</v>
      </c>
      <c r="AP231" t="s">
        <v>4468</v>
      </c>
      <c r="AQ231" t="s">
        <v>74</v>
      </c>
      <c r="AR231" t="s">
        <v>4455</v>
      </c>
      <c r="AS231" t="s">
        <v>4469</v>
      </c>
      <c r="AT231" t="s">
        <v>74</v>
      </c>
      <c r="AU231">
        <v>2011</v>
      </c>
      <c r="AV231">
        <v>53</v>
      </c>
      <c r="AW231">
        <v>2</v>
      </c>
      <c r="AX231" t="s">
        <v>74</v>
      </c>
      <c r="AY231" t="s">
        <v>74</v>
      </c>
      <c r="AZ231" t="s">
        <v>74</v>
      </c>
      <c r="BA231" t="s">
        <v>74</v>
      </c>
      <c r="BB231">
        <v>373</v>
      </c>
      <c r="BC231">
        <v>378</v>
      </c>
      <c r="BD231" t="s">
        <v>74</v>
      </c>
      <c r="BE231" t="s">
        <v>74</v>
      </c>
      <c r="BF231" t="s">
        <v>74</v>
      </c>
      <c r="BG231" t="s">
        <v>74</v>
      </c>
      <c r="BH231" t="s">
        <v>74</v>
      </c>
      <c r="BI231">
        <v>6</v>
      </c>
      <c r="BJ231" t="s">
        <v>674</v>
      </c>
      <c r="BK231" t="s">
        <v>100</v>
      </c>
      <c r="BL231" t="s">
        <v>674</v>
      </c>
      <c r="BM231" t="s">
        <v>4470</v>
      </c>
      <c r="BN231" t="s">
        <v>74</v>
      </c>
      <c r="BO231" t="s">
        <v>74</v>
      </c>
      <c r="BP231" t="s">
        <v>74</v>
      </c>
      <c r="BQ231" t="s">
        <v>74</v>
      </c>
      <c r="BR231" t="s">
        <v>103</v>
      </c>
      <c r="BS231" t="s">
        <v>4471</v>
      </c>
      <c r="BT231" t="str">
        <f>HYPERLINK("https%3A%2F%2Fwww.webofscience.com%2Fwos%2Fwoscc%2Ffull-record%2FWOS:000288465900008","View Full Record in Web of Science")</f>
        <v>View Full Record in Web of Science</v>
      </c>
    </row>
    <row r="232" spans="1:72" x14ac:dyDescent="0.15">
      <c r="A232" t="s">
        <v>72</v>
      </c>
      <c r="B232" t="s">
        <v>4472</v>
      </c>
      <c r="C232" t="s">
        <v>74</v>
      </c>
      <c r="D232" t="s">
        <v>74</v>
      </c>
      <c r="E232" t="s">
        <v>74</v>
      </c>
      <c r="F232" t="s">
        <v>4473</v>
      </c>
      <c r="G232" t="s">
        <v>74</v>
      </c>
      <c r="H232" t="s">
        <v>74</v>
      </c>
      <c r="I232" t="s">
        <v>4474</v>
      </c>
      <c r="J232" t="s">
        <v>4475</v>
      </c>
      <c r="K232" t="s">
        <v>74</v>
      </c>
      <c r="L232" t="s">
        <v>74</v>
      </c>
      <c r="M232" t="s">
        <v>78</v>
      </c>
      <c r="N232" t="s">
        <v>79</v>
      </c>
      <c r="O232" t="s">
        <v>74</v>
      </c>
      <c r="P232" t="s">
        <v>74</v>
      </c>
      <c r="Q232" t="s">
        <v>74</v>
      </c>
      <c r="R232" t="s">
        <v>74</v>
      </c>
      <c r="S232" t="s">
        <v>74</v>
      </c>
      <c r="T232" t="s">
        <v>74</v>
      </c>
      <c r="U232" t="s">
        <v>4476</v>
      </c>
      <c r="V232" t="s">
        <v>4477</v>
      </c>
      <c r="W232" t="s">
        <v>4478</v>
      </c>
      <c r="X232" t="s">
        <v>4479</v>
      </c>
      <c r="Y232" t="s">
        <v>4480</v>
      </c>
      <c r="Z232" t="s">
        <v>4481</v>
      </c>
      <c r="AA232" t="s">
        <v>74</v>
      </c>
      <c r="AB232" t="s">
        <v>4482</v>
      </c>
      <c r="AC232" t="s">
        <v>4483</v>
      </c>
      <c r="AD232" t="s">
        <v>4484</v>
      </c>
      <c r="AE232" t="s">
        <v>4485</v>
      </c>
      <c r="AF232" t="s">
        <v>74</v>
      </c>
      <c r="AG232">
        <v>29</v>
      </c>
      <c r="AH232">
        <v>10</v>
      </c>
      <c r="AI232">
        <v>10</v>
      </c>
      <c r="AJ232">
        <v>0</v>
      </c>
      <c r="AK232">
        <v>3</v>
      </c>
      <c r="AL232" t="s">
        <v>4486</v>
      </c>
      <c r="AM232" t="s">
        <v>4487</v>
      </c>
      <c r="AN232" t="s">
        <v>4488</v>
      </c>
      <c r="AO232" t="s">
        <v>4489</v>
      </c>
      <c r="AP232" t="s">
        <v>4490</v>
      </c>
      <c r="AQ232" t="s">
        <v>74</v>
      </c>
      <c r="AR232" t="s">
        <v>4475</v>
      </c>
      <c r="AS232" t="s">
        <v>4491</v>
      </c>
      <c r="AT232" t="s">
        <v>74</v>
      </c>
      <c r="AU232">
        <v>2011</v>
      </c>
      <c r="AV232">
        <v>53</v>
      </c>
      <c r="AW232">
        <v>1</v>
      </c>
      <c r="AX232" t="s">
        <v>74</v>
      </c>
      <c r="AY232" t="s">
        <v>74</v>
      </c>
      <c r="AZ232" t="s">
        <v>74</v>
      </c>
      <c r="BA232" t="s">
        <v>74</v>
      </c>
      <c r="BB232">
        <v>161</v>
      </c>
      <c r="BC232">
        <v>166</v>
      </c>
      <c r="BD232" t="s">
        <v>74</v>
      </c>
      <c r="BE232" t="s">
        <v>4492</v>
      </c>
      <c r="BF232" t="str">
        <f>HYPERLINK("http://dx.doi.org/10.1017/S0033822200034433","http://dx.doi.org/10.1017/S0033822200034433")</f>
        <v>http://dx.doi.org/10.1017/S0033822200034433</v>
      </c>
      <c r="BG232" t="s">
        <v>74</v>
      </c>
      <c r="BH232" t="s">
        <v>74</v>
      </c>
      <c r="BI232">
        <v>6</v>
      </c>
      <c r="BJ232" t="s">
        <v>774</v>
      </c>
      <c r="BK232" t="s">
        <v>100</v>
      </c>
      <c r="BL232" t="s">
        <v>774</v>
      </c>
      <c r="BM232" t="s">
        <v>4493</v>
      </c>
      <c r="BN232" t="s">
        <v>74</v>
      </c>
      <c r="BO232" t="s">
        <v>923</v>
      </c>
      <c r="BP232" t="s">
        <v>74</v>
      </c>
      <c r="BQ232" t="s">
        <v>74</v>
      </c>
      <c r="BR232" t="s">
        <v>103</v>
      </c>
      <c r="BS232" t="s">
        <v>4494</v>
      </c>
      <c r="BT232" t="str">
        <f>HYPERLINK("https%3A%2F%2Fwww.webofscience.com%2Fwos%2Fwoscc%2Ffull-record%2FWOS:000288745800013","View Full Record in Web of Science")</f>
        <v>View Full Record in Web of Science</v>
      </c>
    </row>
    <row r="233" spans="1:72" x14ac:dyDescent="0.15">
      <c r="A233" t="s">
        <v>72</v>
      </c>
      <c r="B233" t="s">
        <v>4495</v>
      </c>
      <c r="C233" t="s">
        <v>74</v>
      </c>
      <c r="D233" t="s">
        <v>74</v>
      </c>
      <c r="E233" t="s">
        <v>74</v>
      </c>
      <c r="F233" t="s">
        <v>4496</v>
      </c>
      <c r="G233" t="s">
        <v>74</v>
      </c>
      <c r="H233" t="s">
        <v>74</v>
      </c>
      <c r="I233" t="s">
        <v>4497</v>
      </c>
      <c r="J233" t="s">
        <v>1516</v>
      </c>
      <c r="K233" t="s">
        <v>74</v>
      </c>
      <c r="L233" t="s">
        <v>74</v>
      </c>
      <c r="M233" t="s">
        <v>78</v>
      </c>
      <c r="N233" t="s">
        <v>79</v>
      </c>
      <c r="O233" t="s">
        <v>74</v>
      </c>
      <c r="P233" t="s">
        <v>74</v>
      </c>
      <c r="Q233" t="s">
        <v>74</v>
      </c>
      <c r="R233" t="s">
        <v>74</v>
      </c>
      <c r="S233" t="s">
        <v>74</v>
      </c>
      <c r="T233" t="s">
        <v>74</v>
      </c>
      <c r="U233" t="s">
        <v>74</v>
      </c>
      <c r="V233" t="s">
        <v>4498</v>
      </c>
      <c r="W233" t="s">
        <v>4499</v>
      </c>
      <c r="X233" t="s">
        <v>3681</v>
      </c>
      <c r="Y233" t="s">
        <v>4500</v>
      </c>
      <c r="Z233" t="s">
        <v>74</v>
      </c>
      <c r="AA233" t="s">
        <v>4501</v>
      </c>
      <c r="AB233" t="s">
        <v>4502</v>
      </c>
      <c r="AC233" t="s">
        <v>4503</v>
      </c>
      <c r="AD233" t="s">
        <v>4504</v>
      </c>
      <c r="AE233" t="s">
        <v>4505</v>
      </c>
      <c r="AF233" t="s">
        <v>74</v>
      </c>
      <c r="AG233">
        <v>12</v>
      </c>
      <c r="AH233">
        <v>2</v>
      </c>
      <c r="AI233">
        <v>2</v>
      </c>
      <c r="AJ233">
        <v>0</v>
      </c>
      <c r="AK233">
        <v>1</v>
      </c>
      <c r="AL233" t="s">
        <v>1520</v>
      </c>
      <c r="AM233" t="s">
        <v>91</v>
      </c>
      <c r="AN233" t="s">
        <v>1521</v>
      </c>
      <c r="AO233" t="s">
        <v>1522</v>
      </c>
      <c r="AP233" t="s">
        <v>74</v>
      </c>
      <c r="AQ233" t="s">
        <v>74</v>
      </c>
      <c r="AR233" t="s">
        <v>1523</v>
      </c>
      <c r="AS233" t="s">
        <v>1524</v>
      </c>
      <c r="AT233" t="s">
        <v>3935</v>
      </c>
      <c r="AU233">
        <v>2011</v>
      </c>
      <c r="AV233">
        <v>36</v>
      </c>
      <c r="AW233">
        <v>1</v>
      </c>
      <c r="AX233" t="s">
        <v>74</v>
      </c>
      <c r="AY233" t="s">
        <v>74</v>
      </c>
      <c r="AZ233" t="s">
        <v>74</v>
      </c>
      <c r="BA233" t="s">
        <v>74</v>
      </c>
      <c r="BB233">
        <v>40</v>
      </c>
      <c r="BC233">
        <v>44</v>
      </c>
      <c r="BD233" t="s">
        <v>74</v>
      </c>
      <c r="BE233" t="s">
        <v>4506</v>
      </c>
      <c r="BF233" t="str">
        <f>HYPERLINK("http://dx.doi.org/10.3103/S1068373911010067","http://dx.doi.org/10.3103/S1068373911010067")</f>
        <v>http://dx.doi.org/10.3103/S1068373911010067</v>
      </c>
      <c r="BG233" t="s">
        <v>74</v>
      </c>
      <c r="BH233" t="s">
        <v>74</v>
      </c>
      <c r="BI233">
        <v>5</v>
      </c>
      <c r="BJ233" t="s">
        <v>603</v>
      </c>
      <c r="BK233" t="s">
        <v>100</v>
      </c>
      <c r="BL233" t="s">
        <v>603</v>
      </c>
      <c r="BM233" t="s">
        <v>4507</v>
      </c>
      <c r="BN233" t="s">
        <v>74</v>
      </c>
      <c r="BO233" t="s">
        <v>74</v>
      </c>
      <c r="BP233" t="s">
        <v>74</v>
      </c>
      <c r="BQ233" t="s">
        <v>74</v>
      </c>
      <c r="BR233" t="s">
        <v>103</v>
      </c>
      <c r="BS233" t="s">
        <v>4508</v>
      </c>
      <c r="BT233" t="str">
        <f>HYPERLINK("https%3A%2F%2Fwww.webofscience.com%2Fwos%2Fwoscc%2Ffull-record%2FWOS:000288708400006","View Full Record in Web of Science")</f>
        <v>View Full Record in Web of Science</v>
      </c>
    </row>
    <row r="234" spans="1:72" x14ac:dyDescent="0.15">
      <c r="A234" t="s">
        <v>72</v>
      </c>
      <c r="B234" t="s">
        <v>4509</v>
      </c>
      <c r="C234" t="s">
        <v>74</v>
      </c>
      <c r="D234" t="s">
        <v>74</v>
      </c>
      <c r="E234" t="s">
        <v>74</v>
      </c>
      <c r="F234" t="s">
        <v>4510</v>
      </c>
      <c r="G234" t="s">
        <v>74</v>
      </c>
      <c r="H234" t="s">
        <v>74</v>
      </c>
      <c r="I234" t="s">
        <v>4511</v>
      </c>
      <c r="J234" t="s">
        <v>1516</v>
      </c>
      <c r="K234" t="s">
        <v>74</v>
      </c>
      <c r="L234" t="s">
        <v>74</v>
      </c>
      <c r="M234" t="s">
        <v>78</v>
      </c>
      <c r="N234" t="s">
        <v>79</v>
      </c>
      <c r="O234" t="s">
        <v>74</v>
      </c>
      <c r="P234" t="s">
        <v>74</v>
      </c>
      <c r="Q234" t="s">
        <v>74</v>
      </c>
      <c r="R234" t="s">
        <v>74</v>
      </c>
      <c r="S234" t="s">
        <v>74</v>
      </c>
      <c r="T234" t="s">
        <v>74</v>
      </c>
      <c r="U234" t="s">
        <v>74</v>
      </c>
      <c r="V234" t="s">
        <v>4512</v>
      </c>
      <c r="W234" t="s">
        <v>4513</v>
      </c>
      <c r="X234" t="s">
        <v>3681</v>
      </c>
      <c r="Y234" t="s">
        <v>4514</v>
      </c>
      <c r="Z234" t="s">
        <v>74</v>
      </c>
      <c r="AA234" t="s">
        <v>74</v>
      </c>
      <c r="AB234" t="s">
        <v>74</v>
      </c>
      <c r="AC234" t="s">
        <v>74</v>
      </c>
      <c r="AD234" t="s">
        <v>74</v>
      </c>
      <c r="AE234" t="s">
        <v>74</v>
      </c>
      <c r="AF234" t="s">
        <v>74</v>
      </c>
      <c r="AG234">
        <v>9</v>
      </c>
      <c r="AH234">
        <v>0</v>
      </c>
      <c r="AI234">
        <v>0</v>
      </c>
      <c r="AJ234">
        <v>0</v>
      </c>
      <c r="AK234">
        <v>1</v>
      </c>
      <c r="AL234" t="s">
        <v>1520</v>
      </c>
      <c r="AM234" t="s">
        <v>91</v>
      </c>
      <c r="AN234" t="s">
        <v>1521</v>
      </c>
      <c r="AO234" t="s">
        <v>1522</v>
      </c>
      <c r="AP234" t="s">
        <v>74</v>
      </c>
      <c r="AQ234" t="s">
        <v>74</v>
      </c>
      <c r="AR234" t="s">
        <v>1523</v>
      </c>
      <c r="AS234" t="s">
        <v>1524</v>
      </c>
      <c r="AT234" t="s">
        <v>3935</v>
      </c>
      <c r="AU234">
        <v>2011</v>
      </c>
      <c r="AV234">
        <v>36</v>
      </c>
      <c r="AW234">
        <v>1</v>
      </c>
      <c r="AX234" t="s">
        <v>74</v>
      </c>
      <c r="AY234" t="s">
        <v>74</v>
      </c>
      <c r="AZ234" t="s">
        <v>74</v>
      </c>
      <c r="BA234" t="s">
        <v>74</v>
      </c>
      <c r="BB234">
        <v>65</v>
      </c>
      <c r="BC234">
        <v>71</v>
      </c>
      <c r="BD234" t="s">
        <v>74</v>
      </c>
      <c r="BE234" t="s">
        <v>4515</v>
      </c>
      <c r="BF234" t="str">
        <f>HYPERLINK("http://dx.doi.org/10.3103/S1068373911010092","http://dx.doi.org/10.3103/S1068373911010092")</f>
        <v>http://dx.doi.org/10.3103/S1068373911010092</v>
      </c>
      <c r="BG234" t="s">
        <v>74</v>
      </c>
      <c r="BH234" t="s">
        <v>74</v>
      </c>
      <c r="BI234">
        <v>7</v>
      </c>
      <c r="BJ234" t="s">
        <v>603</v>
      </c>
      <c r="BK234" t="s">
        <v>100</v>
      </c>
      <c r="BL234" t="s">
        <v>603</v>
      </c>
      <c r="BM234" t="s">
        <v>4507</v>
      </c>
      <c r="BN234" t="s">
        <v>74</v>
      </c>
      <c r="BO234" t="s">
        <v>74</v>
      </c>
      <c r="BP234" t="s">
        <v>74</v>
      </c>
      <c r="BQ234" t="s">
        <v>74</v>
      </c>
      <c r="BR234" t="s">
        <v>103</v>
      </c>
      <c r="BS234" t="s">
        <v>4516</v>
      </c>
      <c r="BT234" t="str">
        <f>HYPERLINK("https%3A%2F%2Fwww.webofscience.com%2Fwos%2Fwoscc%2Ffull-record%2FWOS:000288708400009","View Full Record in Web of Science")</f>
        <v>View Full Record in Web of Science</v>
      </c>
    </row>
    <row r="235" spans="1:72" x14ac:dyDescent="0.15">
      <c r="A235" t="s">
        <v>72</v>
      </c>
      <c r="B235" t="s">
        <v>4517</v>
      </c>
      <c r="C235" t="s">
        <v>74</v>
      </c>
      <c r="D235" t="s">
        <v>74</v>
      </c>
      <c r="E235" t="s">
        <v>74</v>
      </c>
      <c r="F235" t="s">
        <v>4518</v>
      </c>
      <c r="G235" t="s">
        <v>74</v>
      </c>
      <c r="H235" t="s">
        <v>74</v>
      </c>
      <c r="I235" t="s">
        <v>4519</v>
      </c>
      <c r="J235" t="s">
        <v>2944</v>
      </c>
      <c r="K235" t="s">
        <v>74</v>
      </c>
      <c r="L235" t="s">
        <v>74</v>
      </c>
      <c r="M235" t="s">
        <v>78</v>
      </c>
      <c r="N235" t="s">
        <v>79</v>
      </c>
      <c r="O235" t="s">
        <v>74</v>
      </c>
      <c r="P235" t="s">
        <v>74</v>
      </c>
      <c r="Q235" t="s">
        <v>74</v>
      </c>
      <c r="R235" t="s">
        <v>74</v>
      </c>
      <c r="S235" t="s">
        <v>74</v>
      </c>
      <c r="T235" t="s">
        <v>74</v>
      </c>
      <c r="U235" t="s">
        <v>4520</v>
      </c>
      <c r="V235" t="s">
        <v>4521</v>
      </c>
      <c r="W235" t="s">
        <v>4522</v>
      </c>
      <c r="X235" t="s">
        <v>4523</v>
      </c>
      <c r="Y235" t="s">
        <v>4524</v>
      </c>
      <c r="Z235" t="s">
        <v>4525</v>
      </c>
      <c r="AA235" t="s">
        <v>74</v>
      </c>
      <c r="AB235" t="s">
        <v>4526</v>
      </c>
      <c r="AC235" t="s">
        <v>4527</v>
      </c>
      <c r="AD235" t="s">
        <v>4528</v>
      </c>
      <c r="AE235" t="s">
        <v>4529</v>
      </c>
      <c r="AF235" t="s">
        <v>74</v>
      </c>
      <c r="AG235">
        <v>42</v>
      </c>
      <c r="AH235">
        <v>83</v>
      </c>
      <c r="AI235">
        <v>86</v>
      </c>
      <c r="AJ235">
        <v>2</v>
      </c>
      <c r="AK235">
        <v>26</v>
      </c>
      <c r="AL235" t="s">
        <v>2955</v>
      </c>
      <c r="AM235" t="s">
        <v>2956</v>
      </c>
      <c r="AN235" t="s">
        <v>2957</v>
      </c>
      <c r="AO235" t="s">
        <v>2958</v>
      </c>
      <c r="AP235" t="s">
        <v>2959</v>
      </c>
      <c r="AQ235" t="s">
        <v>74</v>
      </c>
      <c r="AR235" t="s">
        <v>2960</v>
      </c>
      <c r="AS235" t="s">
        <v>2961</v>
      </c>
      <c r="AT235" t="s">
        <v>74</v>
      </c>
      <c r="AU235">
        <v>2011</v>
      </c>
      <c r="AV235">
        <v>11</v>
      </c>
      <c r="AW235">
        <v>5</v>
      </c>
      <c r="AX235" t="s">
        <v>74</v>
      </c>
      <c r="AY235" t="s">
        <v>74</v>
      </c>
      <c r="AZ235" t="s">
        <v>74</v>
      </c>
      <c r="BA235" t="s">
        <v>74</v>
      </c>
      <c r="BB235">
        <v>2161</v>
      </c>
      <c r="BC235">
        <v>2177</v>
      </c>
      <c r="BD235" t="s">
        <v>74</v>
      </c>
      <c r="BE235" t="s">
        <v>4530</v>
      </c>
      <c r="BF235" t="str">
        <f>HYPERLINK("http://dx.doi.org/10.5194/acp-11-2161-2011","http://dx.doi.org/10.5194/acp-11-2161-2011")</f>
        <v>http://dx.doi.org/10.5194/acp-11-2161-2011</v>
      </c>
      <c r="BG235" t="s">
        <v>74</v>
      </c>
      <c r="BH235" t="s">
        <v>74</v>
      </c>
      <c r="BI235">
        <v>17</v>
      </c>
      <c r="BJ235" t="s">
        <v>2963</v>
      </c>
      <c r="BK235" t="s">
        <v>100</v>
      </c>
      <c r="BL235" t="s">
        <v>2964</v>
      </c>
      <c r="BM235" t="s">
        <v>4531</v>
      </c>
      <c r="BN235" t="s">
        <v>74</v>
      </c>
      <c r="BO235" t="s">
        <v>4532</v>
      </c>
      <c r="BP235" t="s">
        <v>74</v>
      </c>
      <c r="BQ235" t="s">
        <v>74</v>
      </c>
      <c r="BR235" t="s">
        <v>103</v>
      </c>
      <c r="BS235" t="s">
        <v>4533</v>
      </c>
      <c r="BT235" t="str">
        <f>HYPERLINK("https%3A%2F%2Fwww.webofscience.com%2Fwos%2Fwoscc%2Ffull-record%2FWOS:000288368900020","View Full Record in Web of Science")</f>
        <v>View Full Record in Web of Science</v>
      </c>
    </row>
    <row r="236" spans="1:72" x14ac:dyDescent="0.15">
      <c r="A236" t="s">
        <v>72</v>
      </c>
      <c r="B236" t="s">
        <v>4534</v>
      </c>
      <c r="C236" t="s">
        <v>74</v>
      </c>
      <c r="D236" t="s">
        <v>74</v>
      </c>
      <c r="E236" t="s">
        <v>74</v>
      </c>
      <c r="F236" t="s">
        <v>4535</v>
      </c>
      <c r="G236" t="s">
        <v>74</v>
      </c>
      <c r="H236" t="s">
        <v>74</v>
      </c>
      <c r="I236" t="s">
        <v>4536</v>
      </c>
      <c r="J236" t="s">
        <v>3986</v>
      </c>
      <c r="K236" t="s">
        <v>74</v>
      </c>
      <c r="L236" t="s">
        <v>74</v>
      </c>
      <c r="M236" t="s">
        <v>78</v>
      </c>
      <c r="N236" t="s">
        <v>79</v>
      </c>
      <c r="O236" t="s">
        <v>74</v>
      </c>
      <c r="P236" t="s">
        <v>74</v>
      </c>
      <c r="Q236" t="s">
        <v>74</v>
      </c>
      <c r="R236" t="s">
        <v>74</v>
      </c>
      <c r="S236" t="s">
        <v>74</v>
      </c>
      <c r="T236" t="s">
        <v>74</v>
      </c>
      <c r="U236" t="s">
        <v>4537</v>
      </c>
      <c r="V236" t="s">
        <v>4538</v>
      </c>
      <c r="W236" t="s">
        <v>4539</v>
      </c>
      <c r="X236" t="s">
        <v>4540</v>
      </c>
      <c r="Y236" t="s">
        <v>4541</v>
      </c>
      <c r="Z236" t="s">
        <v>4542</v>
      </c>
      <c r="AA236" t="s">
        <v>4543</v>
      </c>
      <c r="AB236" t="s">
        <v>4544</v>
      </c>
      <c r="AC236" t="s">
        <v>4545</v>
      </c>
      <c r="AD236" t="s">
        <v>4545</v>
      </c>
      <c r="AE236" t="s">
        <v>4546</v>
      </c>
      <c r="AF236" t="s">
        <v>74</v>
      </c>
      <c r="AG236">
        <v>58</v>
      </c>
      <c r="AH236">
        <v>12</v>
      </c>
      <c r="AI236">
        <v>13</v>
      </c>
      <c r="AJ236">
        <v>0</v>
      </c>
      <c r="AK236">
        <v>13</v>
      </c>
      <c r="AL236" t="s">
        <v>3995</v>
      </c>
      <c r="AM236" t="s">
        <v>4046</v>
      </c>
      <c r="AN236" t="s">
        <v>4047</v>
      </c>
      <c r="AO236" t="s">
        <v>3998</v>
      </c>
      <c r="AP236" t="s">
        <v>4547</v>
      </c>
      <c r="AQ236" t="s">
        <v>74</v>
      </c>
      <c r="AR236" t="s">
        <v>3999</v>
      </c>
      <c r="AS236" t="s">
        <v>4000</v>
      </c>
      <c r="AT236" t="s">
        <v>74</v>
      </c>
      <c r="AU236">
        <v>2011</v>
      </c>
      <c r="AV236">
        <v>38</v>
      </c>
      <c r="AW236">
        <v>1</v>
      </c>
      <c r="AX236" t="s">
        <v>74</v>
      </c>
      <c r="AY236" t="s">
        <v>74</v>
      </c>
      <c r="AZ236" t="s">
        <v>74</v>
      </c>
      <c r="BA236" t="s">
        <v>74</v>
      </c>
      <c r="BB236">
        <v>51</v>
      </c>
      <c r="BC236">
        <v>60</v>
      </c>
      <c r="BD236" t="s">
        <v>74</v>
      </c>
      <c r="BE236" t="s">
        <v>4548</v>
      </c>
      <c r="BF236" t="str">
        <f>HYPERLINK("http://dx.doi.org/10.1071/WR10077","http://dx.doi.org/10.1071/WR10077")</f>
        <v>http://dx.doi.org/10.1071/WR10077</v>
      </c>
      <c r="BG236" t="s">
        <v>74</v>
      </c>
      <c r="BH236" t="s">
        <v>74</v>
      </c>
      <c r="BI236">
        <v>10</v>
      </c>
      <c r="BJ236" t="s">
        <v>4002</v>
      </c>
      <c r="BK236" t="s">
        <v>100</v>
      </c>
      <c r="BL236" t="s">
        <v>4003</v>
      </c>
      <c r="BM236" t="s">
        <v>4549</v>
      </c>
      <c r="BN236" t="s">
        <v>74</v>
      </c>
      <c r="BO236" t="s">
        <v>74</v>
      </c>
      <c r="BP236" t="s">
        <v>74</v>
      </c>
      <c r="BQ236" t="s">
        <v>74</v>
      </c>
      <c r="BR236" t="s">
        <v>103</v>
      </c>
      <c r="BS236" t="s">
        <v>4550</v>
      </c>
      <c r="BT236" t="str">
        <f>HYPERLINK("https%3A%2F%2Fwww.webofscience.com%2Fwos%2Fwoscc%2Ffull-record%2FWOS:000288326800006","View Full Record in Web of Science")</f>
        <v>View Full Record in Web of Science</v>
      </c>
    </row>
    <row r="237" spans="1:72" x14ac:dyDescent="0.15">
      <c r="A237" t="s">
        <v>72</v>
      </c>
      <c r="B237" t="s">
        <v>4551</v>
      </c>
      <c r="C237" t="s">
        <v>74</v>
      </c>
      <c r="D237" t="s">
        <v>74</v>
      </c>
      <c r="E237" t="s">
        <v>74</v>
      </c>
      <c r="F237" t="s">
        <v>4552</v>
      </c>
      <c r="G237" t="s">
        <v>74</v>
      </c>
      <c r="H237" t="s">
        <v>74</v>
      </c>
      <c r="I237" t="s">
        <v>4553</v>
      </c>
      <c r="J237" t="s">
        <v>4554</v>
      </c>
      <c r="K237" t="s">
        <v>74</v>
      </c>
      <c r="L237" t="s">
        <v>74</v>
      </c>
      <c r="M237" t="s">
        <v>78</v>
      </c>
      <c r="N237" t="s">
        <v>52</v>
      </c>
      <c r="O237" t="s">
        <v>4555</v>
      </c>
      <c r="P237" t="s">
        <v>4556</v>
      </c>
      <c r="Q237" t="s">
        <v>4557</v>
      </c>
      <c r="R237" t="s">
        <v>74</v>
      </c>
      <c r="S237" t="s">
        <v>74</v>
      </c>
      <c r="T237" t="s">
        <v>74</v>
      </c>
      <c r="U237" t="s">
        <v>74</v>
      </c>
      <c r="V237" t="s">
        <v>74</v>
      </c>
      <c r="W237" t="s">
        <v>4558</v>
      </c>
      <c r="X237" t="s">
        <v>4559</v>
      </c>
      <c r="Y237" t="s">
        <v>74</v>
      </c>
      <c r="Z237" t="s">
        <v>74</v>
      </c>
      <c r="AA237" t="s">
        <v>4560</v>
      </c>
      <c r="AB237" t="s">
        <v>74</v>
      </c>
      <c r="AC237" t="s">
        <v>74</v>
      </c>
      <c r="AD237" t="s">
        <v>74</v>
      </c>
      <c r="AE237" t="s">
        <v>74</v>
      </c>
      <c r="AF237" t="s">
        <v>74</v>
      </c>
      <c r="AG237">
        <v>0</v>
      </c>
      <c r="AH237">
        <v>0</v>
      </c>
      <c r="AI237">
        <v>1</v>
      </c>
      <c r="AJ237">
        <v>0</v>
      </c>
      <c r="AK237">
        <v>4</v>
      </c>
      <c r="AL237" t="s">
        <v>366</v>
      </c>
      <c r="AM237" t="s">
        <v>367</v>
      </c>
      <c r="AN237" t="s">
        <v>368</v>
      </c>
      <c r="AO237" t="s">
        <v>4561</v>
      </c>
      <c r="AP237" t="s">
        <v>74</v>
      </c>
      <c r="AQ237" t="s">
        <v>74</v>
      </c>
      <c r="AR237" t="s">
        <v>4562</v>
      </c>
      <c r="AS237" t="s">
        <v>4563</v>
      </c>
      <c r="AT237" t="s">
        <v>74</v>
      </c>
      <c r="AU237">
        <v>2011</v>
      </c>
      <c r="AV237">
        <v>144</v>
      </c>
      <c r="AW237" t="s">
        <v>74</v>
      </c>
      <c r="AX237" t="s">
        <v>74</v>
      </c>
      <c r="AY237">
        <v>52</v>
      </c>
      <c r="AZ237" t="s">
        <v>74</v>
      </c>
      <c r="BA237" t="s">
        <v>74</v>
      </c>
      <c r="BB237">
        <v>196</v>
      </c>
      <c r="BC237">
        <v>197</v>
      </c>
      <c r="BD237" t="s">
        <v>74</v>
      </c>
      <c r="BE237" t="s">
        <v>74</v>
      </c>
      <c r="BF237" t="s">
        <v>74</v>
      </c>
      <c r="BG237" t="s">
        <v>74</v>
      </c>
      <c r="BH237" t="s">
        <v>74</v>
      </c>
      <c r="BI237">
        <v>2</v>
      </c>
      <c r="BJ237" t="s">
        <v>4564</v>
      </c>
      <c r="BK237" t="s">
        <v>4565</v>
      </c>
      <c r="BL237" t="s">
        <v>4564</v>
      </c>
      <c r="BM237" t="s">
        <v>4566</v>
      </c>
      <c r="BN237" t="s">
        <v>74</v>
      </c>
      <c r="BO237" t="s">
        <v>74</v>
      </c>
      <c r="BP237" t="s">
        <v>74</v>
      </c>
      <c r="BQ237" t="s">
        <v>74</v>
      </c>
      <c r="BR237" t="s">
        <v>103</v>
      </c>
      <c r="BS237" t="s">
        <v>4567</v>
      </c>
      <c r="BT237" t="str">
        <f>HYPERLINK("https%3A%2F%2Fwww.webofscience.com%2Fwos%2Fwoscc%2Ffull-record%2FWOS:000288034000487","View Full Record in Web of Science")</f>
        <v>View Full Record in Web of Science</v>
      </c>
    </row>
    <row r="238" spans="1:72" x14ac:dyDescent="0.15">
      <c r="A238" t="s">
        <v>72</v>
      </c>
      <c r="B238" t="s">
        <v>4568</v>
      </c>
      <c r="C238" t="s">
        <v>74</v>
      </c>
      <c r="D238" t="s">
        <v>74</v>
      </c>
      <c r="E238" t="s">
        <v>74</v>
      </c>
      <c r="F238" t="s">
        <v>4569</v>
      </c>
      <c r="G238" t="s">
        <v>74</v>
      </c>
      <c r="H238" t="s">
        <v>74</v>
      </c>
      <c r="I238" t="s">
        <v>4570</v>
      </c>
      <c r="J238" t="s">
        <v>4571</v>
      </c>
      <c r="K238" t="s">
        <v>74</v>
      </c>
      <c r="L238" t="s">
        <v>74</v>
      </c>
      <c r="M238" t="s">
        <v>78</v>
      </c>
      <c r="N238" t="s">
        <v>79</v>
      </c>
      <c r="O238" t="s">
        <v>74</v>
      </c>
      <c r="P238" t="s">
        <v>74</v>
      </c>
      <c r="Q238" t="s">
        <v>74</v>
      </c>
      <c r="R238" t="s">
        <v>74</v>
      </c>
      <c r="S238" t="s">
        <v>74</v>
      </c>
      <c r="T238" t="s">
        <v>4572</v>
      </c>
      <c r="U238" t="s">
        <v>74</v>
      </c>
      <c r="V238" t="s">
        <v>4573</v>
      </c>
      <c r="W238" t="s">
        <v>4574</v>
      </c>
      <c r="X238" t="s">
        <v>4575</v>
      </c>
      <c r="Y238" t="s">
        <v>4576</v>
      </c>
      <c r="Z238" t="s">
        <v>4577</v>
      </c>
      <c r="AA238" t="s">
        <v>4578</v>
      </c>
      <c r="AB238" t="s">
        <v>74</v>
      </c>
      <c r="AC238" t="s">
        <v>4579</v>
      </c>
      <c r="AD238" t="s">
        <v>4580</v>
      </c>
      <c r="AE238" t="s">
        <v>4581</v>
      </c>
      <c r="AF238" t="s">
        <v>74</v>
      </c>
      <c r="AG238">
        <v>7</v>
      </c>
      <c r="AH238">
        <v>2</v>
      </c>
      <c r="AI238">
        <v>2</v>
      </c>
      <c r="AJ238">
        <v>0</v>
      </c>
      <c r="AK238">
        <v>1</v>
      </c>
      <c r="AL238" t="s">
        <v>1520</v>
      </c>
      <c r="AM238" t="s">
        <v>91</v>
      </c>
      <c r="AN238" t="s">
        <v>1521</v>
      </c>
      <c r="AO238" t="s">
        <v>4582</v>
      </c>
      <c r="AP238" t="s">
        <v>74</v>
      </c>
      <c r="AQ238" t="s">
        <v>74</v>
      </c>
      <c r="AR238" t="s">
        <v>4583</v>
      </c>
      <c r="AS238" t="s">
        <v>4584</v>
      </c>
      <c r="AT238" t="s">
        <v>3935</v>
      </c>
      <c r="AU238">
        <v>2011</v>
      </c>
      <c r="AV238">
        <v>38</v>
      </c>
      <c r="AW238">
        <v>1</v>
      </c>
      <c r="AX238" t="s">
        <v>74</v>
      </c>
      <c r="AY238" t="s">
        <v>74</v>
      </c>
      <c r="AZ238" t="s">
        <v>74</v>
      </c>
      <c r="BA238" t="s">
        <v>74</v>
      </c>
      <c r="BB238">
        <v>15</v>
      </c>
      <c r="BC238">
        <v>19</v>
      </c>
      <c r="BD238" t="s">
        <v>74</v>
      </c>
      <c r="BE238" t="s">
        <v>4585</v>
      </c>
      <c r="BF238" t="str">
        <f>HYPERLINK("http://dx.doi.org/10.3103/S1068335611010040","http://dx.doi.org/10.3103/S1068335611010040")</f>
        <v>http://dx.doi.org/10.3103/S1068335611010040</v>
      </c>
      <c r="BG238" t="s">
        <v>74</v>
      </c>
      <c r="BH238" t="s">
        <v>74</v>
      </c>
      <c r="BI238">
        <v>5</v>
      </c>
      <c r="BJ238" t="s">
        <v>4586</v>
      </c>
      <c r="BK238" t="s">
        <v>100</v>
      </c>
      <c r="BL238" t="s">
        <v>2454</v>
      </c>
      <c r="BM238" t="s">
        <v>4587</v>
      </c>
      <c r="BN238" t="s">
        <v>74</v>
      </c>
      <c r="BO238" t="s">
        <v>74</v>
      </c>
      <c r="BP238" t="s">
        <v>74</v>
      </c>
      <c r="BQ238" t="s">
        <v>74</v>
      </c>
      <c r="BR238" t="s">
        <v>103</v>
      </c>
      <c r="BS238" t="s">
        <v>4588</v>
      </c>
      <c r="BT238" t="str">
        <f>HYPERLINK("https%3A%2F%2Fwww.webofscience.com%2Fwos%2Fwoscc%2Ffull-record%2FWOS:000288023000004","View Full Record in Web of Science")</f>
        <v>View Full Record in Web of Science</v>
      </c>
    </row>
    <row r="239" spans="1:72" x14ac:dyDescent="0.15">
      <c r="A239" t="s">
        <v>72</v>
      </c>
      <c r="B239" t="s">
        <v>4589</v>
      </c>
      <c r="C239" t="s">
        <v>74</v>
      </c>
      <c r="D239" t="s">
        <v>74</v>
      </c>
      <c r="E239" t="s">
        <v>74</v>
      </c>
      <c r="F239" t="s">
        <v>4590</v>
      </c>
      <c r="G239" t="s">
        <v>74</v>
      </c>
      <c r="H239" t="s">
        <v>74</v>
      </c>
      <c r="I239" t="s">
        <v>4591</v>
      </c>
      <c r="J239" t="s">
        <v>4592</v>
      </c>
      <c r="K239" t="s">
        <v>74</v>
      </c>
      <c r="L239" t="s">
        <v>74</v>
      </c>
      <c r="M239" t="s">
        <v>78</v>
      </c>
      <c r="N239" t="s">
        <v>79</v>
      </c>
      <c r="O239" t="s">
        <v>74</v>
      </c>
      <c r="P239" t="s">
        <v>74</v>
      </c>
      <c r="Q239" t="s">
        <v>74</v>
      </c>
      <c r="R239" t="s">
        <v>74</v>
      </c>
      <c r="S239" t="s">
        <v>74</v>
      </c>
      <c r="T239" t="s">
        <v>4593</v>
      </c>
      <c r="U239" t="s">
        <v>4594</v>
      </c>
      <c r="V239" t="s">
        <v>4595</v>
      </c>
      <c r="W239" t="s">
        <v>4596</v>
      </c>
      <c r="X239" t="s">
        <v>4597</v>
      </c>
      <c r="Y239" t="s">
        <v>4598</v>
      </c>
      <c r="Z239" t="s">
        <v>4599</v>
      </c>
      <c r="AA239" t="s">
        <v>4600</v>
      </c>
      <c r="AB239" t="s">
        <v>4601</v>
      </c>
      <c r="AC239" t="s">
        <v>4602</v>
      </c>
      <c r="AD239" t="s">
        <v>4603</v>
      </c>
      <c r="AE239" t="s">
        <v>4604</v>
      </c>
      <c r="AF239" t="s">
        <v>74</v>
      </c>
      <c r="AG239">
        <v>18</v>
      </c>
      <c r="AH239">
        <v>21</v>
      </c>
      <c r="AI239">
        <v>22</v>
      </c>
      <c r="AJ239">
        <v>2</v>
      </c>
      <c r="AK239">
        <v>36</v>
      </c>
      <c r="AL239" t="s">
        <v>214</v>
      </c>
      <c r="AM239" t="s">
        <v>215</v>
      </c>
      <c r="AN239" t="s">
        <v>216</v>
      </c>
      <c r="AO239" t="s">
        <v>4605</v>
      </c>
      <c r="AP239" t="s">
        <v>4606</v>
      </c>
      <c r="AQ239" t="s">
        <v>74</v>
      </c>
      <c r="AR239" t="s">
        <v>4607</v>
      </c>
      <c r="AS239" t="s">
        <v>4608</v>
      </c>
      <c r="AT239" t="s">
        <v>74</v>
      </c>
      <c r="AU239">
        <v>2011</v>
      </c>
      <c r="AV239">
        <v>60</v>
      </c>
      <c r="AW239" t="s">
        <v>74</v>
      </c>
      <c r="AX239">
        <v>2</v>
      </c>
      <c r="AY239" t="s">
        <v>74</v>
      </c>
      <c r="AZ239" t="s">
        <v>74</v>
      </c>
      <c r="BA239" t="s">
        <v>74</v>
      </c>
      <c r="BB239">
        <v>301</v>
      </c>
      <c r="BC239">
        <v>316</v>
      </c>
      <c r="BD239" t="s">
        <v>74</v>
      </c>
      <c r="BE239" t="s">
        <v>4609</v>
      </c>
      <c r="BF239" t="str">
        <f>HYPERLINK("http://dx.doi.org/10.1111/j.1467-9876.2010.00748.x","http://dx.doi.org/10.1111/j.1467-9876.2010.00748.x")</f>
        <v>http://dx.doi.org/10.1111/j.1467-9876.2010.00748.x</v>
      </c>
      <c r="BG239" t="s">
        <v>74</v>
      </c>
      <c r="BH239" t="s">
        <v>74</v>
      </c>
      <c r="BI239">
        <v>16</v>
      </c>
      <c r="BJ239" t="s">
        <v>3954</v>
      </c>
      <c r="BK239" t="s">
        <v>100</v>
      </c>
      <c r="BL239" t="s">
        <v>3955</v>
      </c>
      <c r="BM239" t="s">
        <v>4610</v>
      </c>
      <c r="BN239" t="s">
        <v>74</v>
      </c>
      <c r="BO239" t="s">
        <v>252</v>
      </c>
      <c r="BP239" t="s">
        <v>74</v>
      </c>
      <c r="BQ239" t="s">
        <v>74</v>
      </c>
      <c r="BR239" t="s">
        <v>103</v>
      </c>
      <c r="BS239" t="s">
        <v>4611</v>
      </c>
      <c r="BT239" t="str">
        <f>HYPERLINK("https%3A%2F%2Fwww.webofscience.com%2Fwos%2Fwoscc%2Ffull-record%2FWOS:000288017300009","View Full Record in Web of Science")</f>
        <v>View Full Record in Web of Science</v>
      </c>
    </row>
    <row r="240" spans="1:72" x14ac:dyDescent="0.15">
      <c r="A240" t="s">
        <v>72</v>
      </c>
      <c r="B240" t="s">
        <v>4612</v>
      </c>
      <c r="C240" t="s">
        <v>74</v>
      </c>
      <c r="D240" t="s">
        <v>74</v>
      </c>
      <c r="E240" t="s">
        <v>74</v>
      </c>
      <c r="F240" t="s">
        <v>4613</v>
      </c>
      <c r="G240" t="s">
        <v>74</v>
      </c>
      <c r="H240" t="s">
        <v>74</v>
      </c>
      <c r="I240" t="s">
        <v>4614</v>
      </c>
      <c r="J240" t="s">
        <v>4615</v>
      </c>
      <c r="K240" t="s">
        <v>74</v>
      </c>
      <c r="L240" t="s">
        <v>74</v>
      </c>
      <c r="M240" t="s">
        <v>78</v>
      </c>
      <c r="N240" t="s">
        <v>79</v>
      </c>
      <c r="O240" t="s">
        <v>74</v>
      </c>
      <c r="P240" t="s">
        <v>74</v>
      </c>
      <c r="Q240" t="s">
        <v>74</v>
      </c>
      <c r="R240" t="s">
        <v>74</v>
      </c>
      <c r="S240" t="s">
        <v>74</v>
      </c>
      <c r="T240" t="s">
        <v>74</v>
      </c>
      <c r="U240" t="s">
        <v>4616</v>
      </c>
      <c r="V240" t="s">
        <v>4617</v>
      </c>
      <c r="W240" t="s">
        <v>4618</v>
      </c>
      <c r="X240" t="s">
        <v>4619</v>
      </c>
      <c r="Y240" t="s">
        <v>4620</v>
      </c>
      <c r="Z240" t="s">
        <v>4621</v>
      </c>
      <c r="AA240" t="s">
        <v>74</v>
      </c>
      <c r="AB240" t="s">
        <v>4622</v>
      </c>
      <c r="AC240" t="s">
        <v>4623</v>
      </c>
      <c r="AD240" t="s">
        <v>4624</v>
      </c>
      <c r="AE240" t="s">
        <v>4625</v>
      </c>
      <c r="AF240" t="s">
        <v>74</v>
      </c>
      <c r="AG240">
        <v>41</v>
      </c>
      <c r="AH240">
        <v>50</v>
      </c>
      <c r="AI240">
        <v>54</v>
      </c>
      <c r="AJ240">
        <v>0</v>
      </c>
      <c r="AK240">
        <v>26</v>
      </c>
      <c r="AL240" t="s">
        <v>912</v>
      </c>
      <c r="AM240" t="s">
        <v>913</v>
      </c>
      <c r="AN240" t="s">
        <v>914</v>
      </c>
      <c r="AO240" t="s">
        <v>4626</v>
      </c>
      <c r="AP240" t="s">
        <v>74</v>
      </c>
      <c r="AQ240" t="s">
        <v>74</v>
      </c>
      <c r="AR240" t="s">
        <v>4627</v>
      </c>
      <c r="AS240" t="s">
        <v>4628</v>
      </c>
      <c r="AT240" t="s">
        <v>3935</v>
      </c>
      <c r="AU240">
        <v>2011</v>
      </c>
      <c r="AV240">
        <v>2</v>
      </c>
      <c r="AW240" t="s">
        <v>74</v>
      </c>
      <c r="AX240" t="s">
        <v>74</v>
      </c>
      <c r="AY240" t="s">
        <v>74</v>
      </c>
      <c r="AZ240" t="s">
        <v>74</v>
      </c>
      <c r="BA240" t="s">
        <v>74</v>
      </c>
      <c r="BB240" t="s">
        <v>74</v>
      </c>
      <c r="BC240" t="s">
        <v>74</v>
      </c>
      <c r="BD240">
        <v>159</v>
      </c>
      <c r="BE240" t="s">
        <v>4629</v>
      </c>
      <c r="BF240" t="str">
        <f>HYPERLINK("http://dx.doi.org/10.1038/ncomms1156","http://dx.doi.org/10.1038/ncomms1156")</f>
        <v>http://dx.doi.org/10.1038/ncomms1156</v>
      </c>
      <c r="BG240" t="s">
        <v>74</v>
      </c>
      <c r="BH240" t="s">
        <v>74</v>
      </c>
      <c r="BI240">
        <v>6</v>
      </c>
      <c r="BJ240" t="s">
        <v>1669</v>
      </c>
      <c r="BK240" t="s">
        <v>100</v>
      </c>
      <c r="BL240" t="s">
        <v>1670</v>
      </c>
      <c r="BM240" t="s">
        <v>4630</v>
      </c>
      <c r="BN240">
        <v>21245840</v>
      </c>
      <c r="BO240" t="s">
        <v>1744</v>
      </c>
      <c r="BP240" t="s">
        <v>74</v>
      </c>
      <c r="BQ240" t="s">
        <v>74</v>
      </c>
      <c r="BR240" t="s">
        <v>103</v>
      </c>
      <c r="BS240" t="s">
        <v>4631</v>
      </c>
      <c r="BT240" t="str">
        <f>HYPERLINK("https%3A%2F%2Fwww.webofscience.com%2Fwos%2Fwoscc%2Ffull-record%2FWOS:000288225700009","View Full Record in Web of Science")</f>
        <v>View Full Record in Web of Science</v>
      </c>
    </row>
    <row r="241" spans="1:72" x14ac:dyDescent="0.15">
      <c r="A241" t="s">
        <v>72</v>
      </c>
      <c r="B241" t="s">
        <v>1552</v>
      </c>
      <c r="C241" t="s">
        <v>74</v>
      </c>
      <c r="D241" t="s">
        <v>74</v>
      </c>
      <c r="E241" t="s">
        <v>74</v>
      </c>
      <c r="F241" t="s">
        <v>1552</v>
      </c>
      <c r="G241" t="s">
        <v>74</v>
      </c>
      <c r="H241" t="s">
        <v>74</v>
      </c>
      <c r="I241" t="s">
        <v>4632</v>
      </c>
      <c r="J241" t="s">
        <v>4633</v>
      </c>
      <c r="K241" t="s">
        <v>74</v>
      </c>
      <c r="L241" t="s">
        <v>74</v>
      </c>
      <c r="M241" t="s">
        <v>78</v>
      </c>
      <c r="N241" t="s">
        <v>4634</v>
      </c>
      <c r="O241" t="s">
        <v>74</v>
      </c>
      <c r="P241" t="s">
        <v>74</v>
      </c>
      <c r="Q241" t="s">
        <v>74</v>
      </c>
      <c r="R241" t="s">
        <v>74</v>
      </c>
      <c r="S241" t="s">
        <v>74</v>
      </c>
      <c r="T241" t="s">
        <v>74</v>
      </c>
      <c r="U241" t="s">
        <v>74</v>
      </c>
      <c r="V241" t="s">
        <v>74</v>
      </c>
      <c r="W241" t="s">
        <v>74</v>
      </c>
      <c r="X241" t="s">
        <v>74</v>
      </c>
      <c r="Y241" t="s">
        <v>74</v>
      </c>
      <c r="Z241" t="s">
        <v>74</v>
      </c>
      <c r="AA241" t="s">
        <v>74</v>
      </c>
      <c r="AB241" t="s">
        <v>74</v>
      </c>
      <c r="AC241" t="s">
        <v>74</v>
      </c>
      <c r="AD241" t="s">
        <v>74</v>
      </c>
      <c r="AE241" t="s">
        <v>74</v>
      </c>
      <c r="AF241" t="s">
        <v>74</v>
      </c>
      <c r="AG241">
        <v>0</v>
      </c>
      <c r="AH241">
        <v>0</v>
      </c>
      <c r="AI241">
        <v>0</v>
      </c>
      <c r="AJ241">
        <v>0</v>
      </c>
      <c r="AK241">
        <v>3</v>
      </c>
      <c r="AL241" t="s">
        <v>1018</v>
      </c>
      <c r="AM241" t="s">
        <v>1019</v>
      </c>
      <c r="AN241" t="s">
        <v>1020</v>
      </c>
      <c r="AO241" t="s">
        <v>4635</v>
      </c>
      <c r="AP241" t="s">
        <v>74</v>
      </c>
      <c r="AQ241" t="s">
        <v>74</v>
      </c>
      <c r="AR241" t="s">
        <v>4636</v>
      </c>
      <c r="AS241" t="s">
        <v>4637</v>
      </c>
      <c r="AT241" t="s">
        <v>3935</v>
      </c>
      <c r="AU241">
        <v>2011</v>
      </c>
      <c r="AV241">
        <v>92</v>
      </c>
      <c r="AW241">
        <v>1</v>
      </c>
      <c r="AX241" t="s">
        <v>74</v>
      </c>
      <c r="AY241" t="s">
        <v>74</v>
      </c>
      <c r="AZ241" t="s">
        <v>74</v>
      </c>
      <c r="BA241" t="s">
        <v>74</v>
      </c>
      <c r="BB241">
        <v>17</v>
      </c>
      <c r="BC241">
        <v>18</v>
      </c>
      <c r="BD241" t="s">
        <v>74</v>
      </c>
      <c r="BE241" t="s">
        <v>74</v>
      </c>
      <c r="BF241" t="s">
        <v>74</v>
      </c>
      <c r="BG241" t="s">
        <v>74</v>
      </c>
      <c r="BH241" t="s">
        <v>74</v>
      </c>
      <c r="BI241">
        <v>2</v>
      </c>
      <c r="BJ241" t="s">
        <v>603</v>
      </c>
      <c r="BK241" t="s">
        <v>100</v>
      </c>
      <c r="BL241" t="s">
        <v>603</v>
      </c>
      <c r="BM241" t="s">
        <v>4638</v>
      </c>
      <c r="BN241" t="s">
        <v>74</v>
      </c>
      <c r="BO241" t="s">
        <v>74</v>
      </c>
      <c r="BP241" t="s">
        <v>74</v>
      </c>
      <c r="BQ241" t="s">
        <v>74</v>
      </c>
      <c r="BR241" t="s">
        <v>103</v>
      </c>
      <c r="BS241" t="s">
        <v>4639</v>
      </c>
      <c r="BT241" t="str">
        <f>HYPERLINK("https%3A%2F%2Fwww.webofscience.com%2Fwos%2Fwoscc%2Ffull-record%2FWOS:000287959200006","View Full Record in Web of Science")</f>
        <v>View Full Record in Web of Science</v>
      </c>
    </row>
    <row r="242" spans="1:72" x14ac:dyDescent="0.15">
      <c r="A242" t="s">
        <v>72</v>
      </c>
      <c r="B242" t="s">
        <v>4640</v>
      </c>
      <c r="C242" t="s">
        <v>74</v>
      </c>
      <c r="D242" t="s">
        <v>74</v>
      </c>
      <c r="E242" t="s">
        <v>74</v>
      </c>
      <c r="F242" t="s">
        <v>4641</v>
      </c>
      <c r="G242" t="s">
        <v>74</v>
      </c>
      <c r="H242" t="s">
        <v>74</v>
      </c>
      <c r="I242" t="s">
        <v>4642</v>
      </c>
      <c r="J242" t="s">
        <v>4643</v>
      </c>
      <c r="K242" t="s">
        <v>74</v>
      </c>
      <c r="L242" t="s">
        <v>74</v>
      </c>
      <c r="M242" t="s">
        <v>78</v>
      </c>
      <c r="N242" t="s">
        <v>79</v>
      </c>
      <c r="O242" t="s">
        <v>74</v>
      </c>
      <c r="P242" t="s">
        <v>74</v>
      </c>
      <c r="Q242" t="s">
        <v>74</v>
      </c>
      <c r="R242" t="s">
        <v>74</v>
      </c>
      <c r="S242" t="s">
        <v>74</v>
      </c>
      <c r="T242" t="s">
        <v>4644</v>
      </c>
      <c r="U242" t="s">
        <v>4645</v>
      </c>
      <c r="V242" t="s">
        <v>4646</v>
      </c>
      <c r="W242" t="s">
        <v>4647</v>
      </c>
      <c r="X242" t="s">
        <v>4648</v>
      </c>
      <c r="Y242" t="s">
        <v>4649</v>
      </c>
      <c r="Z242" t="s">
        <v>4650</v>
      </c>
      <c r="AA242" t="s">
        <v>4651</v>
      </c>
      <c r="AB242" t="s">
        <v>4652</v>
      </c>
      <c r="AC242" t="s">
        <v>4653</v>
      </c>
      <c r="AD242" t="s">
        <v>4654</v>
      </c>
      <c r="AE242" t="s">
        <v>4655</v>
      </c>
      <c r="AF242" t="s">
        <v>74</v>
      </c>
      <c r="AG242">
        <v>24</v>
      </c>
      <c r="AH242">
        <v>7</v>
      </c>
      <c r="AI242">
        <v>10</v>
      </c>
      <c r="AJ242">
        <v>0</v>
      </c>
      <c r="AK242">
        <v>3</v>
      </c>
      <c r="AL242" t="s">
        <v>4656</v>
      </c>
      <c r="AM242" t="s">
        <v>1578</v>
      </c>
      <c r="AN242" t="s">
        <v>4657</v>
      </c>
      <c r="AO242" t="s">
        <v>4658</v>
      </c>
      <c r="AP242" t="s">
        <v>4659</v>
      </c>
      <c r="AQ242" t="s">
        <v>74</v>
      </c>
      <c r="AR242" t="s">
        <v>4660</v>
      </c>
      <c r="AS242" t="s">
        <v>4661</v>
      </c>
      <c r="AT242" t="s">
        <v>3935</v>
      </c>
      <c r="AU242">
        <v>2011</v>
      </c>
      <c r="AV242">
        <v>29</v>
      </c>
      <c r="AW242">
        <v>1</v>
      </c>
      <c r="AX242" t="s">
        <v>74</v>
      </c>
      <c r="AY242" t="s">
        <v>74</v>
      </c>
      <c r="AZ242" t="s">
        <v>74</v>
      </c>
      <c r="BA242" t="s">
        <v>74</v>
      </c>
      <c r="BB242">
        <v>1</v>
      </c>
      <c r="BC242">
        <v>9</v>
      </c>
      <c r="BD242" t="s">
        <v>74</v>
      </c>
      <c r="BE242" t="s">
        <v>4662</v>
      </c>
      <c r="BF242" t="str">
        <f>HYPERLINK("http://dx.doi.org/10.1007/s00343-011-9938-4","http://dx.doi.org/10.1007/s00343-011-9938-4")</f>
        <v>http://dx.doi.org/10.1007/s00343-011-9938-4</v>
      </c>
      <c r="BG242" t="s">
        <v>74</v>
      </c>
      <c r="BH242" t="s">
        <v>74</v>
      </c>
      <c r="BI242">
        <v>9</v>
      </c>
      <c r="BJ242" t="s">
        <v>4663</v>
      </c>
      <c r="BK242" t="s">
        <v>100</v>
      </c>
      <c r="BL242" t="s">
        <v>3751</v>
      </c>
      <c r="BM242" t="s">
        <v>4664</v>
      </c>
      <c r="BN242" t="s">
        <v>74</v>
      </c>
      <c r="BO242" t="s">
        <v>74</v>
      </c>
      <c r="BP242" t="s">
        <v>74</v>
      </c>
      <c r="BQ242" t="s">
        <v>74</v>
      </c>
      <c r="BR242" t="s">
        <v>103</v>
      </c>
      <c r="BS242" t="s">
        <v>4665</v>
      </c>
      <c r="BT242" t="str">
        <f>HYPERLINK("https%3A%2F%2Fwww.webofscience.com%2Fwos%2Fwoscc%2Ffull-record%2FWOS:000286203200001","View Full Record in Web of Science")</f>
        <v>View Full Record in Web of Science</v>
      </c>
    </row>
    <row r="243" spans="1:72" x14ac:dyDescent="0.15">
      <c r="A243" t="s">
        <v>72</v>
      </c>
      <c r="B243" t="s">
        <v>4666</v>
      </c>
      <c r="C243" t="s">
        <v>74</v>
      </c>
      <c r="D243" t="s">
        <v>74</v>
      </c>
      <c r="E243" t="s">
        <v>74</v>
      </c>
      <c r="F243" t="s">
        <v>4667</v>
      </c>
      <c r="G243" t="s">
        <v>74</v>
      </c>
      <c r="H243" t="s">
        <v>74</v>
      </c>
      <c r="I243" t="s">
        <v>4668</v>
      </c>
      <c r="J243" t="s">
        <v>4669</v>
      </c>
      <c r="K243" t="s">
        <v>74</v>
      </c>
      <c r="L243" t="s">
        <v>74</v>
      </c>
      <c r="M243" t="s">
        <v>78</v>
      </c>
      <c r="N243" t="s">
        <v>79</v>
      </c>
      <c r="O243" t="s">
        <v>74</v>
      </c>
      <c r="P243" t="s">
        <v>74</v>
      </c>
      <c r="Q243" t="s">
        <v>74</v>
      </c>
      <c r="R243" t="s">
        <v>74</v>
      </c>
      <c r="S243" t="s">
        <v>74</v>
      </c>
      <c r="T243" t="s">
        <v>4670</v>
      </c>
      <c r="U243" t="s">
        <v>4671</v>
      </c>
      <c r="V243" t="s">
        <v>4672</v>
      </c>
      <c r="W243" t="s">
        <v>4673</v>
      </c>
      <c r="X243" t="s">
        <v>4674</v>
      </c>
      <c r="Y243" t="s">
        <v>4675</v>
      </c>
      <c r="Z243" t="s">
        <v>4676</v>
      </c>
      <c r="AA243" t="s">
        <v>4677</v>
      </c>
      <c r="AB243" t="s">
        <v>4678</v>
      </c>
      <c r="AC243" t="s">
        <v>4679</v>
      </c>
      <c r="AD243" t="s">
        <v>4679</v>
      </c>
      <c r="AE243" t="s">
        <v>4680</v>
      </c>
      <c r="AF243" t="s">
        <v>74</v>
      </c>
      <c r="AG243">
        <v>62</v>
      </c>
      <c r="AH243">
        <v>17</v>
      </c>
      <c r="AI243">
        <v>17</v>
      </c>
      <c r="AJ243">
        <v>0</v>
      </c>
      <c r="AK243">
        <v>12</v>
      </c>
      <c r="AL243" t="s">
        <v>767</v>
      </c>
      <c r="AM243" t="s">
        <v>640</v>
      </c>
      <c r="AN243" t="s">
        <v>768</v>
      </c>
      <c r="AO243" t="s">
        <v>4681</v>
      </c>
      <c r="AP243" t="s">
        <v>4682</v>
      </c>
      <c r="AQ243" t="s">
        <v>74</v>
      </c>
      <c r="AR243" t="s">
        <v>4683</v>
      </c>
      <c r="AS243" t="s">
        <v>4684</v>
      </c>
      <c r="AT243" t="s">
        <v>3935</v>
      </c>
      <c r="AU243">
        <v>2011</v>
      </c>
      <c r="AV243">
        <v>19</v>
      </c>
      <c r="AW243">
        <v>1</v>
      </c>
      <c r="AX243" t="s">
        <v>74</v>
      </c>
      <c r="AY243" t="s">
        <v>74</v>
      </c>
      <c r="AZ243" t="s">
        <v>967</v>
      </c>
      <c r="BA243" t="s">
        <v>74</v>
      </c>
      <c r="BB243">
        <v>128</v>
      </c>
      <c r="BC243">
        <v>140</v>
      </c>
      <c r="BD243" t="s">
        <v>74</v>
      </c>
      <c r="BE243" t="s">
        <v>4685</v>
      </c>
      <c r="BF243" t="str">
        <f>HYPERLINK("http://dx.doi.org/10.1016/j.gr.2010.03.010","http://dx.doi.org/10.1016/j.gr.2010.03.010")</f>
        <v>http://dx.doi.org/10.1016/j.gr.2010.03.010</v>
      </c>
      <c r="BG243" t="s">
        <v>74</v>
      </c>
      <c r="BH243" t="s">
        <v>74</v>
      </c>
      <c r="BI243">
        <v>13</v>
      </c>
      <c r="BJ243" t="s">
        <v>396</v>
      </c>
      <c r="BK243" t="s">
        <v>100</v>
      </c>
      <c r="BL243" t="s">
        <v>397</v>
      </c>
      <c r="BM243" t="s">
        <v>4686</v>
      </c>
      <c r="BN243" t="s">
        <v>74</v>
      </c>
      <c r="BO243" t="s">
        <v>74</v>
      </c>
      <c r="BP243" t="s">
        <v>74</v>
      </c>
      <c r="BQ243" t="s">
        <v>74</v>
      </c>
      <c r="BR243" t="s">
        <v>103</v>
      </c>
      <c r="BS243" t="s">
        <v>4687</v>
      </c>
      <c r="BT243" t="str">
        <f>HYPERLINK("https%3A%2F%2Fwww.webofscience.com%2Fwos%2Fwoscc%2Ffull-record%2FWOS:000286960100010","View Full Record in Web of Science")</f>
        <v>View Full Record in Web of Science</v>
      </c>
    </row>
    <row r="244" spans="1:72" x14ac:dyDescent="0.15">
      <c r="A244" t="s">
        <v>72</v>
      </c>
      <c r="B244" t="s">
        <v>4688</v>
      </c>
      <c r="C244" t="s">
        <v>74</v>
      </c>
      <c r="D244" t="s">
        <v>74</v>
      </c>
      <c r="E244" t="s">
        <v>74</v>
      </c>
      <c r="F244" t="s">
        <v>4689</v>
      </c>
      <c r="G244" t="s">
        <v>74</v>
      </c>
      <c r="H244" t="s">
        <v>74</v>
      </c>
      <c r="I244" t="s">
        <v>4690</v>
      </c>
      <c r="J244" t="s">
        <v>3221</v>
      </c>
      <c r="K244" t="s">
        <v>74</v>
      </c>
      <c r="L244" t="s">
        <v>74</v>
      </c>
      <c r="M244" t="s">
        <v>78</v>
      </c>
      <c r="N244" t="s">
        <v>79</v>
      </c>
      <c r="O244" t="s">
        <v>74</v>
      </c>
      <c r="P244" t="s">
        <v>74</v>
      </c>
      <c r="Q244" t="s">
        <v>74</v>
      </c>
      <c r="R244" t="s">
        <v>74</v>
      </c>
      <c r="S244" t="s">
        <v>74</v>
      </c>
      <c r="T244" t="s">
        <v>4691</v>
      </c>
      <c r="U244" t="s">
        <v>4692</v>
      </c>
      <c r="V244" t="s">
        <v>4693</v>
      </c>
      <c r="W244" t="s">
        <v>4694</v>
      </c>
      <c r="X244" t="s">
        <v>4695</v>
      </c>
      <c r="Y244" t="s">
        <v>4696</v>
      </c>
      <c r="Z244" t="s">
        <v>4697</v>
      </c>
      <c r="AA244" t="s">
        <v>4698</v>
      </c>
      <c r="AB244" t="s">
        <v>4699</v>
      </c>
      <c r="AC244" t="s">
        <v>4700</v>
      </c>
      <c r="AD244" t="s">
        <v>4701</v>
      </c>
      <c r="AE244" t="s">
        <v>4702</v>
      </c>
      <c r="AF244" t="s">
        <v>74</v>
      </c>
      <c r="AG244">
        <v>75</v>
      </c>
      <c r="AH244">
        <v>21</v>
      </c>
      <c r="AI244">
        <v>23</v>
      </c>
      <c r="AJ244">
        <v>1</v>
      </c>
      <c r="AK244">
        <v>19</v>
      </c>
      <c r="AL244" t="s">
        <v>3232</v>
      </c>
      <c r="AM244" t="s">
        <v>3233</v>
      </c>
      <c r="AN244" t="s">
        <v>3234</v>
      </c>
      <c r="AO244" t="s">
        <v>3235</v>
      </c>
      <c r="AP244" t="s">
        <v>3236</v>
      </c>
      <c r="AQ244" t="s">
        <v>74</v>
      </c>
      <c r="AR244" t="s">
        <v>3237</v>
      </c>
      <c r="AS244" t="s">
        <v>3238</v>
      </c>
      <c r="AT244" t="s">
        <v>74</v>
      </c>
      <c r="AU244">
        <v>2011</v>
      </c>
      <c r="AV244">
        <v>424</v>
      </c>
      <c r="AW244" t="s">
        <v>74</v>
      </c>
      <c r="AX244" t="s">
        <v>74</v>
      </c>
      <c r="AY244" t="s">
        <v>74</v>
      </c>
      <c r="AZ244" t="s">
        <v>74</v>
      </c>
      <c r="BA244" t="s">
        <v>74</v>
      </c>
      <c r="BB244">
        <v>25</v>
      </c>
      <c r="BC244">
        <v>37</v>
      </c>
      <c r="BD244" t="s">
        <v>74</v>
      </c>
      <c r="BE244" t="s">
        <v>4703</v>
      </c>
      <c r="BF244" t="str">
        <f>HYPERLINK("http://dx.doi.org/10.3354/meps08977","http://dx.doi.org/10.3354/meps08977")</f>
        <v>http://dx.doi.org/10.3354/meps08977</v>
      </c>
      <c r="BG244" t="s">
        <v>74</v>
      </c>
      <c r="BH244" t="s">
        <v>74</v>
      </c>
      <c r="BI244">
        <v>13</v>
      </c>
      <c r="BJ244" t="s">
        <v>3240</v>
      </c>
      <c r="BK244" t="s">
        <v>100</v>
      </c>
      <c r="BL244" t="s">
        <v>3241</v>
      </c>
      <c r="BM244" t="s">
        <v>4704</v>
      </c>
      <c r="BN244" t="s">
        <v>74</v>
      </c>
      <c r="BO244" t="s">
        <v>252</v>
      </c>
      <c r="BP244" t="s">
        <v>74</v>
      </c>
      <c r="BQ244" t="s">
        <v>74</v>
      </c>
      <c r="BR244" t="s">
        <v>103</v>
      </c>
      <c r="BS244" t="s">
        <v>4705</v>
      </c>
      <c r="BT244" t="str">
        <f>HYPERLINK("https%3A%2F%2Fwww.webofscience.com%2Fwos%2Fwoscc%2Ffull-record%2FWOS:000287966400003","View Full Record in Web of Science")</f>
        <v>View Full Record in Web of Science</v>
      </c>
    </row>
    <row r="245" spans="1:72" x14ac:dyDescent="0.15">
      <c r="A245" t="s">
        <v>72</v>
      </c>
      <c r="B245" t="s">
        <v>4706</v>
      </c>
      <c r="C245" t="s">
        <v>74</v>
      </c>
      <c r="D245" t="s">
        <v>74</v>
      </c>
      <c r="E245" t="s">
        <v>74</v>
      </c>
      <c r="F245" t="s">
        <v>4707</v>
      </c>
      <c r="G245" t="s">
        <v>74</v>
      </c>
      <c r="H245" t="s">
        <v>74</v>
      </c>
      <c r="I245" t="s">
        <v>4708</v>
      </c>
      <c r="J245" t="s">
        <v>3221</v>
      </c>
      <c r="K245" t="s">
        <v>74</v>
      </c>
      <c r="L245" t="s">
        <v>74</v>
      </c>
      <c r="M245" t="s">
        <v>78</v>
      </c>
      <c r="N245" t="s">
        <v>79</v>
      </c>
      <c r="O245" t="s">
        <v>74</v>
      </c>
      <c r="P245" t="s">
        <v>74</v>
      </c>
      <c r="Q245" t="s">
        <v>74</v>
      </c>
      <c r="R245" t="s">
        <v>74</v>
      </c>
      <c r="S245" t="s">
        <v>74</v>
      </c>
      <c r="T245" t="s">
        <v>4709</v>
      </c>
      <c r="U245" t="s">
        <v>4710</v>
      </c>
      <c r="V245" t="s">
        <v>4711</v>
      </c>
      <c r="W245" t="s">
        <v>4712</v>
      </c>
      <c r="X245" t="s">
        <v>4713</v>
      </c>
      <c r="Y245" t="s">
        <v>4714</v>
      </c>
      <c r="Z245" t="s">
        <v>4715</v>
      </c>
      <c r="AA245" t="s">
        <v>74</v>
      </c>
      <c r="AB245" t="s">
        <v>74</v>
      </c>
      <c r="AC245" t="s">
        <v>4716</v>
      </c>
      <c r="AD245" t="s">
        <v>4716</v>
      </c>
      <c r="AE245" t="s">
        <v>4717</v>
      </c>
      <c r="AF245" t="s">
        <v>74</v>
      </c>
      <c r="AG245">
        <v>42</v>
      </c>
      <c r="AH245">
        <v>14</v>
      </c>
      <c r="AI245">
        <v>17</v>
      </c>
      <c r="AJ245">
        <v>2</v>
      </c>
      <c r="AK245">
        <v>27</v>
      </c>
      <c r="AL245" t="s">
        <v>3232</v>
      </c>
      <c r="AM245" t="s">
        <v>3233</v>
      </c>
      <c r="AN245" t="s">
        <v>3234</v>
      </c>
      <c r="AO245" t="s">
        <v>3235</v>
      </c>
      <c r="AP245" t="s">
        <v>74</v>
      </c>
      <c r="AQ245" t="s">
        <v>74</v>
      </c>
      <c r="AR245" t="s">
        <v>3237</v>
      </c>
      <c r="AS245" t="s">
        <v>3238</v>
      </c>
      <c r="AT245" t="s">
        <v>74</v>
      </c>
      <c r="AU245">
        <v>2011</v>
      </c>
      <c r="AV245">
        <v>424</v>
      </c>
      <c r="AW245" t="s">
        <v>74</v>
      </c>
      <c r="AX245" t="s">
        <v>74</v>
      </c>
      <c r="AY245" t="s">
        <v>74</v>
      </c>
      <c r="AZ245" t="s">
        <v>74</v>
      </c>
      <c r="BA245" t="s">
        <v>74</v>
      </c>
      <c r="BB245">
        <v>259</v>
      </c>
      <c r="BC245">
        <v>271</v>
      </c>
      <c r="BD245" t="s">
        <v>74</v>
      </c>
      <c r="BE245" t="s">
        <v>4718</v>
      </c>
      <c r="BF245" t="str">
        <f>HYPERLINK("http://dx.doi.org/10.3354/meps08987","http://dx.doi.org/10.3354/meps08987")</f>
        <v>http://dx.doi.org/10.3354/meps08987</v>
      </c>
      <c r="BG245" t="s">
        <v>74</v>
      </c>
      <c r="BH245" t="s">
        <v>74</v>
      </c>
      <c r="BI245">
        <v>13</v>
      </c>
      <c r="BJ245" t="s">
        <v>3240</v>
      </c>
      <c r="BK245" t="s">
        <v>100</v>
      </c>
      <c r="BL245" t="s">
        <v>3241</v>
      </c>
      <c r="BM245" t="s">
        <v>4704</v>
      </c>
      <c r="BN245" t="s">
        <v>74</v>
      </c>
      <c r="BO245" t="s">
        <v>252</v>
      </c>
      <c r="BP245" t="s">
        <v>74</v>
      </c>
      <c r="BQ245" t="s">
        <v>74</v>
      </c>
      <c r="BR245" t="s">
        <v>103</v>
      </c>
      <c r="BS245" t="s">
        <v>4719</v>
      </c>
      <c r="BT245" t="str">
        <f>HYPERLINK("https%3A%2F%2Fwww.webofscience.com%2Fwos%2Fwoscc%2Ffull-record%2FWOS:000287966400022","View Full Record in Web of Science")</f>
        <v>View Full Record in Web of Science</v>
      </c>
    </row>
    <row r="246" spans="1:72" x14ac:dyDescent="0.15">
      <c r="A246" t="s">
        <v>72</v>
      </c>
      <c r="B246" t="s">
        <v>4720</v>
      </c>
      <c r="C246" t="s">
        <v>74</v>
      </c>
      <c r="D246" t="s">
        <v>74</v>
      </c>
      <c r="E246" t="s">
        <v>74</v>
      </c>
      <c r="F246" t="s">
        <v>4721</v>
      </c>
      <c r="G246" t="s">
        <v>74</v>
      </c>
      <c r="H246" t="s">
        <v>74</v>
      </c>
      <c r="I246" t="s">
        <v>4722</v>
      </c>
      <c r="J246" t="s">
        <v>3221</v>
      </c>
      <c r="K246" t="s">
        <v>74</v>
      </c>
      <c r="L246" t="s">
        <v>74</v>
      </c>
      <c r="M246" t="s">
        <v>78</v>
      </c>
      <c r="N246" t="s">
        <v>79</v>
      </c>
      <c r="O246" t="s">
        <v>74</v>
      </c>
      <c r="P246" t="s">
        <v>74</v>
      </c>
      <c r="Q246" t="s">
        <v>74</v>
      </c>
      <c r="R246" t="s">
        <v>74</v>
      </c>
      <c r="S246" t="s">
        <v>74</v>
      </c>
      <c r="T246" t="s">
        <v>4723</v>
      </c>
      <c r="U246" t="s">
        <v>4724</v>
      </c>
      <c r="V246" t="s">
        <v>4725</v>
      </c>
      <c r="W246" t="s">
        <v>4726</v>
      </c>
      <c r="X246" t="s">
        <v>4727</v>
      </c>
      <c r="Y246" t="s">
        <v>4728</v>
      </c>
      <c r="Z246" t="s">
        <v>4729</v>
      </c>
      <c r="AA246" t="s">
        <v>4730</v>
      </c>
      <c r="AB246" t="s">
        <v>4731</v>
      </c>
      <c r="AC246" t="s">
        <v>4732</v>
      </c>
      <c r="AD246" t="s">
        <v>4733</v>
      </c>
      <c r="AE246" t="s">
        <v>4734</v>
      </c>
      <c r="AF246" t="s">
        <v>74</v>
      </c>
      <c r="AG246">
        <v>53</v>
      </c>
      <c r="AH246">
        <v>8</v>
      </c>
      <c r="AI246">
        <v>10</v>
      </c>
      <c r="AJ246">
        <v>0</v>
      </c>
      <c r="AK246">
        <v>48</v>
      </c>
      <c r="AL246" t="s">
        <v>3232</v>
      </c>
      <c r="AM246" t="s">
        <v>3233</v>
      </c>
      <c r="AN246" t="s">
        <v>3234</v>
      </c>
      <c r="AO246" t="s">
        <v>3235</v>
      </c>
      <c r="AP246" t="s">
        <v>3236</v>
      </c>
      <c r="AQ246" t="s">
        <v>74</v>
      </c>
      <c r="AR246" t="s">
        <v>3237</v>
      </c>
      <c r="AS246" t="s">
        <v>3238</v>
      </c>
      <c r="AT246" t="s">
        <v>74</v>
      </c>
      <c r="AU246">
        <v>2011</v>
      </c>
      <c r="AV246">
        <v>422</v>
      </c>
      <c r="AW246" t="s">
        <v>74</v>
      </c>
      <c r="AX246" t="s">
        <v>74</v>
      </c>
      <c r="AY246" t="s">
        <v>74</v>
      </c>
      <c r="AZ246" t="s">
        <v>74</v>
      </c>
      <c r="BA246" t="s">
        <v>74</v>
      </c>
      <c r="BB246">
        <v>253</v>
      </c>
      <c r="BC246">
        <v>264</v>
      </c>
      <c r="BD246" t="s">
        <v>74</v>
      </c>
      <c r="BE246" t="s">
        <v>4735</v>
      </c>
      <c r="BF246" t="str">
        <f>HYPERLINK("http://dx.doi.org/10.3354/meps08920","http://dx.doi.org/10.3354/meps08920")</f>
        <v>http://dx.doi.org/10.3354/meps08920</v>
      </c>
      <c r="BG246" t="s">
        <v>74</v>
      </c>
      <c r="BH246" t="s">
        <v>74</v>
      </c>
      <c r="BI246">
        <v>12</v>
      </c>
      <c r="BJ246" t="s">
        <v>3240</v>
      </c>
      <c r="BK246" t="s">
        <v>100</v>
      </c>
      <c r="BL246" t="s">
        <v>3241</v>
      </c>
      <c r="BM246" t="s">
        <v>4736</v>
      </c>
      <c r="BN246" t="s">
        <v>74</v>
      </c>
      <c r="BO246" t="s">
        <v>375</v>
      </c>
      <c r="BP246" t="s">
        <v>74</v>
      </c>
      <c r="BQ246" t="s">
        <v>74</v>
      </c>
      <c r="BR246" t="s">
        <v>103</v>
      </c>
      <c r="BS246" t="s">
        <v>4737</v>
      </c>
      <c r="BT246" t="str">
        <f>HYPERLINK("https%3A%2F%2Fwww.webofscience.com%2Fwos%2Fwoscc%2Ffull-record%2FWOS:000286933500023","View Full Record in Web of Science")</f>
        <v>View Full Record in Web of Science</v>
      </c>
    </row>
    <row r="247" spans="1:72" x14ac:dyDescent="0.15">
      <c r="A247" t="s">
        <v>72</v>
      </c>
      <c r="B247" t="s">
        <v>4738</v>
      </c>
      <c r="C247" t="s">
        <v>74</v>
      </c>
      <c r="D247" t="s">
        <v>74</v>
      </c>
      <c r="E247" t="s">
        <v>74</v>
      </c>
      <c r="F247" t="s">
        <v>4739</v>
      </c>
      <c r="G247" t="s">
        <v>74</v>
      </c>
      <c r="H247" t="s">
        <v>74</v>
      </c>
      <c r="I247" t="s">
        <v>4740</v>
      </c>
      <c r="J247" t="s">
        <v>4741</v>
      </c>
      <c r="K247" t="s">
        <v>74</v>
      </c>
      <c r="L247" t="s">
        <v>74</v>
      </c>
      <c r="M247" t="s">
        <v>78</v>
      </c>
      <c r="N247" t="s">
        <v>79</v>
      </c>
      <c r="O247" t="s">
        <v>74</v>
      </c>
      <c r="P247" t="s">
        <v>74</v>
      </c>
      <c r="Q247" t="s">
        <v>74</v>
      </c>
      <c r="R247" t="s">
        <v>74</v>
      </c>
      <c r="S247" t="s">
        <v>74</v>
      </c>
      <c r="T247" t="s">
        <v>4742</v>
      </c>
      <c r="U247" t="s">
        <v>4743</v>
      </c>
      <c r="V247" t="s">
        <v>4744</v>
      </c>
      <c r="W247" t="s">
        <v>4745</v>
      </c>
      <c r="X247" t="s">
        <v>4746</v>
      </c>
      <c r="Y247" t="s">
        <v>4747</v>
      </c>
      <c r="Z247" t="s">
        <v>4748</v>
      </c>
      <c r="AA247" t="s">
        <v>4749</v>
      </c>
      <c r="AB247" t="s">
        <v>4750</v>
      </c>
      <c r="AC247" t="s">
        <v>74</v>
      </c>
      <c r="AD247" t="s">
        <v>74</v>
      </c>
      <c r="AE247" t="s">
        <v>74</v>
      </c>
      <c r="AF247" t="s">
        <v>74</v>
      </c>
      <c r="AG247">
        <v>36</v>
      </c>
      <c r="AH247">
        <v>6</v>
      </c>
      <c r="AI247">
        <v>6</v>
      </c>
      <c r="AJ247">
        <v>0</v>
      </c>
      <c r="AK247">
        <v>13</v>
      </c>
      <c r="AL247" t="s">
        <v>4751</v>
      </c>
      <c r="AM247" t="s">
        <v>4752</v>
      </c>
      <c r="AN247" t="s">
        <v>4753</v>
      </c>
      <c r="AO247" t="s">
        <v>4754</v>
      </c>
      <c r="AP247" t="s">
        <v>74</v>
      </c>
      <c r="AQ247" t="s">
        <v>74</v>
      </c>
      <c r="AR247" t="s">
        <v>4741</v>
      </c>
      <c r="AS247" t="s">
        <v>4755</v>
      </c>
      <c r="AT247" t="s">
        <v>74</v>
      </c>
      <c r="AU247">
        <v>2011</v>
      </c>
      <c r="AV247">
        <v>13</v>
      </c>
      <c r="AW247" t="s">
        <v>74</v>
      </c>
      <c r="AX247">
        <v>2</v>
      </c>
      <c r="AY247" t="s">
        <v>74</v>
      </c>
      <c r="AZ247" t="s">
        <v>74</v>
      </c>
      <c r="BA247" t="s">
        <v>74</v>
      </c>
      <c r="BB247">
        <v>185</v>
      </c>
      <c r="BC247">
        <v>191</v>
      </c>
      <c r="BD247" t="s">
        <v>74</v>
      </c>
      <c r="BE247" t="s">
        <v>4756</v>
      </c>
      <c r="BF247" t="str">
        <f>HYPERLINK("http://dx.doi.org/10.1163/138855410X512656","http://dx.doi.org/10.1163/138855410X512656")</f>
        <v>http://dx.doi.org/10.1163/138855410X512656</v>
      </c>
      <c r="BG247" t="s">
        <v>74</v>
      </c>
      <c r="BH247" t="s">
        <v>74</v>
      </c>
      <c r="BI247">
        <v>7</v>
      </c>
      <c r="BJ247" t="s">
        <v>674</v>
      </c>
      <c r="BK247" t="s">
        <v>100</v>
      </c>
      <c r="BL247" t="s">
        <v>674</v>
      </c>
      <c r="BM247" t="s">
        <v>4757</v>
      </c>
      <c r="BN247" t="s">
        <v>74</v>
      </c>
      <c r="BO247" t="s">
        <v>726</v>
      </c>
      <c r="BP247" t="s">
        <v>74</v>
      </c>
      <c r="BQ247" t="s">
        <v>74</v>
      </c>
      <c r="BR247" t="s">
        <v>103</v>
      </c>
      <c r="BS247" t="s">
        <v>4758</v>
      </c>
      <c r="BT247" t="str">
        <f>HYPERLINK("https%3A%2F%2Fwww.webofscience.com%2Fwos%2Fwoscc%2Ffull-record%2FWOS:000287942200005","View Full Record in Web of Science")</f>
        <v>View Full Record in Web of Science</v>
      </c>
    </row>
    <row r="248" spans="1:72" x14ac:dyDescent="0.15">
      <c r="A248" t="s">
        <v>72</v>
      </c>
      <c r="B248" t="s">
        <v>4759</v>
      </c>
      <c r="C248" t="s">
        <v>74</v>
      </c>
      <c r="D248" t="s">
        <v>74</v>
      </c>
      <c r="E248" t="s">
        <v>74</v>
      </c>
      <c r="F248" t="s">
        <v>4760</v>
      </c>
      <c r="G248" t="s">
        <v>74</v>
      </c>
      <c r="H248" t="s">
        <v>74</v>
      </c>
      <c r="I248" t="s">
        <v>4761</v>
      </c>
      <c r="J248" t="s">
        <v>4762</v>
      </c>
      <c r="K248" t="s">
        <v>74</v>
      </c>
      <c r="L248" t="s">
        <v>74</v>
      </c>
      <c r="M248" t="s">
        <v>78</v>
      </c>
      <c r="N248" t="s">
        <v>79</v>
      </c>
      <c r="O248" t="s">
        <v>74</v>
      </c>
      <c r="P248" t="s">
        <v>74</v>
      </c>
      <c r="Q248" t="s">
        <v>74</v>
      </c>
      <c r="R248" t="s">
        <v>74</v>
      </c>
      <c r="S248" t="s">
        <v>74</v>
      </c>
      <c r="T248" t="s">
        <v>4763</v>
      </c>
      <c r="U248" t="s">
        <v>4764</v>
      </c>
      <c r="V248" t="s">
        <v>4765</v>
      </c>
      <c r="W248" t="s">
        <v>4766</v>
      </c>
      <c r="X248" t="s">
        <v>4767</v>
      </c>
      <c r="Y248" t="s">
        <v>4768</v>
      </c>
      <c r="Z248" t="s">
        <v>4769</v>
      </c>
      <c r="AA248" t="s">
        <v>4770</v>
      </c>
      <c r="AB248" t="s">
        <v>4771</v>
      </c>
      <c r="AC248" t="s">
        <v>4772</v>
      </c>
      <c r="AD248" t="s">
        <v>4773</v>
      </c>
      <c r="AE248" t="s">
        <v>4774</v>
      </c>
      <c r="AF248" t="s">
        <v>74</v>
      </c>
      <c r="AG248">
        <v>32</v>
      </c>
      <c r="AH248">
        <v>34</v>
      </c>
      <c r="AI248">
        <v>36</v>
      </c>
      <c r="AJ248">
        <v>1</v>
      </c>
      <c r="AK248">
        <v>14</v>
      </c>
      <c r="AL248" t="s">
        <v>4775</v>
      </c>
      <c r="AM248" t="s">
        <v>4776</v>
      </c>
      <c r="AN248" t="s">
        <v>4777</v>
      </c>
      <c r="AO248" t="s">
        <v>4778</v>
      </c>
      <c r="AP248" t="s">
        <v>74</v>
      </c>
      <c r="AQ248" t="s">
        <v>74</v>
      </c>
      <c r="AR248" t="s">
        <v>4762</v>
      </c>
      <c r="AS248" t="s">
        <v>4779</v>
      </c>
      <c r="AT248" t="s">
        <v>74</v>
      </c>
      <c r="AU248">
        <v>2011</v>
      </c>
      <c r="AV248">
        <v>92</v>
      </c>
      <c r="AW248" t="s">
        <v>2089</v>
      </c>
      <c r="AX248" t="s">
        <v>74</v>
      </c>
      <c r="AY248" t="s">
        <v>74</v>
      </c>
      <c r="AZ248" t="s">
        <v>74</v>
      </c>
      <c r="BA248" t="s">
        <v>74</v>
      </c>
      <c r="BB248">
        <v>137</v>
      </c>
      <c r="BC248">
        <v>158</v>
      </c>
      <c r="BD248" t="s">
        <v>74</v>
      </c>
      <c r="BE248" t="s">
        <v>4780</v>
      </c>
      <c r="BF248" t="str">
        <f>HYPERLINK("http://dx.doi.org/10.1127/0029-5035/2011/0092-0137","http://dx.doi.org/10.1127/0029-5035/2011/0092-0137")</f>
        <v>http://dx.doi.org/10.1127/0029-5035/2011/0092-0137</v>
      </c>
      <c r="BG248" t="s">
        <v>74</v>
      </c>
      <c r="BH248" t="s">
        <v>74</v>
      </c>
      <c r="BI248">
        <v>22</v>
      </c>
      <c r="BJ248" t="s">
        <v>3611</v>
      </c>
      <c r="BK248" t="s">
        <v>100</v>
      </c>
      <c r="BL248" t="s">
        <v>3611</v>
      </c>
      <c r="BM248" t="s">
        <v>4781</v>
      </c>
      <c r="BN248" t="s">
        <v>74</v>
      </c>
      <c r="BO248" t="s">
        <v>74</v>
      </c>
      <c r="BP248" t="s">
        <v>74</v>
      </c>
      <c r="BQ248" t="s">
        <v>74</v>
      </c>
      <c r="BR248" t="s">
        <v>103</v>
      </c>
      <c r="BS248" t="s">
        <v>4782</v>
      </c>
      <c r="BT248" t="str">
        <f>HYPERLINK("https%3A%2F%2Fwww.webofscience.com%2Fwos%2Fwoscc%2Ffull-record%2FWOS:000287957000011","View Full Record in Web of Science")</f>
        <v>View Full Record in Web of Science</v>
      </c>
    </row>
    <row r="249" spans="1:72" x14ac:dyDescent="0.15">
      <c r="A249" t="s">
        <v>72</v>
      </c>
      <c r="B249" t="s">
        <v>4783</v>
      </c>
      <c r="C249" t="s">
        <v>74</v>
      </c>
      <c r="D249" t="s">
        <v>74</v>
      </c>
      <c r="E249" t="s">
        <v>74</v>
      </c>
      <c r="F249" t="s">
        <v>4784</v>
      </c>
      <c r="G249" t="s">
        <v>74</v>
      </c>
      <c r="H249" t="s">
        <v>74</v>
      </c>
      <c r="I249" t="s">
        <v>4785</v>
      </c>
      <c r="J249" t="s">
        <v>4786</v>
      </c>
      <c r="K249" t="s">
        <v>74</v>
      </c>
      <c r="L249" t="s">
        <v>74</v>
      </c>
      <c r="M249" t="s">
        <v>78</v>
      </c>
      <c r="N249" t="s">
        <v>79</v>
      </c>
      <c r="O249" t="s">
        <v>74</v>
      </c>
      <c r="P249" t="s">
        <v>74</v>
      </c>
      <c r="Q249" t="s">
        <v>74</v>
      </c>
      <c r="R249" t="s">
        <v>74</v>
      </c>
      <c r="S249" t="s">
        <v>74</v>
      </c>
      <c r="T249" t="s">
        <v>4787</v>
      </c>
      <c r="U249" t="s">
        <v>4788</v>
      </c>
      <c r="V249" t="s">
        <v>4789</v>
      </c>
      <c r="W249" t="s">
        <v>4790</v>
      </c>
      <c r="X249" t="s">
        <v>4791</v>
      </c>
      <c r="Y249" t="s">
        <v>4792</v>
      </c>
      <c r="Z249" t="s">
        <v>4793</v>
      </c>
      <c r="AA249" t="s">
        <v>4794</v>
      </c>
      <c r="AB249" t="s">
        <v>4795</v>
      </c>
      <c r="AC249" t="s">
        <v>74</v>
      </c>
      <c r="AD249" t="s">
        <v>74</v>
      </c>
      <c r="AE249" t="s">
        <v>74</v>
      </c>
      <c r="AF249" t="s">
        <v>74</v>
      </c>
      <c r="AG249">
        <v>38</v>
      </c>
      <c r="AH249">
        <v>2</v>
      </c>
      <c r="AI249">
        <v>2</v>
      </c>
      <c r="AJ249">
        <v>0</v>
      </c>
      <c r="AK249">
        <v>12</v>
      </c>
      <c r="AL249" t="s">
        <v>4786</v>
      </c>
      <c r="AM249" t="s">
        <v>4796</v>
      </c>
      <c r="AN249" t="s">
        <v>4797</v>
      </c>
      <c r="AO249" t="s">
        <v>4798</v>
      </c>
      <c r="AP249" t="s">
        <v>74</v>
      </c>
      <c r="AQ249" t="s">
        <v>74</v>
      </c>
      <c r="AR249" t="s">
        <v>4799</v>
      </c>
      <c r="AS249" t="s">
        <v>4800</v>
      </c>
      <c r="AT249" t="s">
        <v>74</v>
      </c>
      <c r="AU249">
        <v>2011</v>
      </c>
      <c r="AV249">
        <v>52</v>
      </c>
      <c r="AW249">
        <v>1</v>
      </c>
      <c r="AX249" t="s">
        <v>74</v>
      </c>
      <c r="AY249" t="s">
        <v>74</v>
      </c>
      <c r="AZ249" t="s">
        <v>74</v>
      </c>
      <c r="BA249" t="s">
        <v>74</v>
      </c>
      <c r="BB249">
        <v>1</v>
      </c>
      <c r="BC249">
        <v>11</v>
      </c>
      <c r="BD249" t="s">
        <v>74</v>
      </c>
      <c r="BE249" t="s">
        <v>74</v>
      </c>
      <c r="BF249" t="s">
        <v>74</v>
      </c>
      <c r="BG249" t="s">
        <v>74</v>
      </c>
      <c r="BH249" t="s">
        <v>74</v>
      </c>
      <c r="BI249">
        <v>11</v>
      </c>
      <c r="BJ249" t="s">
        <v>893</v>
      </c>
      <c r="BK249" t="s">
        <v>100</v>
      </c>
      <c r="BL249" t="s">
        <v>893</v>
      </c>
      <c r="BM249" t="s">
        <v>4801</v>
      </c>
      <c r="BN249" t="s">
        <v>74</v>
      </c>
      <c r="BO249" t="s">
        <v>74</v>
      </c>
      <c r="BP249" t="s">
        <v>74</v>
      </c>
      <c r="BQ249" t="s">
        <v>74</v>
      </c>
      <c r="BR249" t="s">
        <v>103</v>
      </c>
      <c r="BS249" t="s">
        <v>4802</v>
      </c>
      <c r="BT249" t="str">
        <f>HYPERLINK("https%3A%2F%2Fwww.webofscience.com%2Fwos%2Fwoscc%2Ffull-record%2FWOS:000286501900001","View Full Record in Web of Science")</f>
        <v>View Full Record in Web of Science</v>
      </c>
    </row>
    <row r="250" spans="1:72" x14ac:dyDescent="0.15">
      <c r="A250" t="s">
        <v>72</v>
      </c>
      <c r="B250" t="s">
        <v>4803</v>
      </c>
      <c r="C250" t="s">
        <v>74</v>
      </c>
      <c r="D250" t="s">
        <v>74</v>
      </c>
      <c r="E250" t="s">
        <v>74</v>
      </c>
      <c r="F250" t="s">
        <v>4804</v>
      </c>
      <c r="G250" t="s">
        <v>74</v>
      </c>
      <c r="H250" t="s">
        <v>74</v>
      </c>
      <c r="I250" t="s">
        <v>4805</v>
      </c>
      <c r="J250" t="s">
        <v>4806</v>
      </c>
      <c r="K250" t="s">
        <v>74</v>
      </c>
      <c r="L250" t="s">
        <v>74</v>
      </c>
      <c r="M250" t="s">
        <v>78</v>
      </c>
      <c r="N250" t="s">
        <v>79</v>
      </c>
      <c r="O250" t="s">
        <v>74</v>
      </c>
      <c r="P250" t="s">
        <v>74</v>
      </c>
      <c r="Q250" t="s">
        <v>74</v>
      </c>
      <c r="R250" t="s">
        <v>74</v>
      </c>
      <c r="S250" t="s">
        <v>74</v>
      </c>
      <c r="T250" t="s">
        <v>74</v>
      </c>
      <c r="U250" t="s">
        <v>4807</v>
      </c>
      <c r="V250" t="s">
        <v>4808</v>
      </c>
      <c r="W250" t="s">
        <v>4809</v>
      </c>
      <c r="X250" t="s">
        <v>4810</v>
      </c>
      <c r="Y250" t="s">
        <v>4811</v>
      </c>
      <c r="Z250" t="s">
        <v>74</v>
      </c>
      <c r="AA250" t="s">
        <v>4812</v>
      </c>
      <c r="AB250" t="s">
        <v>74</v>
      </c>
      <c r="AC250" t="s">
        <v>4813</v>
      </c>
      <c r="AD250" t="s">
        <v>4580</v>
      </c>
      <c r="AE250" t="s">
        <v>4814</v>
      </c>
      <c r="AF250" t="s">
        <v>74</v>
      </c>
      <c r="AG250">
        <v>14</v>
      </c>
      <c r="AH250">
        <v>4</v>
      </c>
      <c r="AI250">
        <v>4</v>
      </c>
      <c r="AJ250">
        <v>0</v>
      </c>
      <c r="AK250">
        <v>10</v>
      </c>
      <c r="AL250" t="s">
        <v>1234</v>
      </c>
      <c r="AM250" t="s">
        <v>91</v>
      </c>
      <c r="AN250" t="s">
        <v>1235</v>
      </c>
      <c r="AO250" t="s">
        <v>4815</v>
      </c>
      <c r="AP250" t="s">
        <v>4816</v>
      </c>
      <c r="AQ250" t="s">
        <v>74</v>
      </c>
      <c r="AR250" t="s">
        <v>4817</v>
      </c>
      <c r="AS250" t="s">
        <v>4818</v>
      </c>
      <c r="AT250" t="s">
        <v>3935</v>
      </c>
      <c r="AU250">
        <v>2011</v>
      </c>
      <c r="AV250">
        <v>436</v>
      </c>
      <c r="AW250">
        <v>1</v>
      </c>
      <c r="AX250" t="s">
        <v>74</v>
      </c>
      <c r="AY250" t="s">
        <v>74</v>
      </c>
      <c r="AZ250" t="s">
        <v>74</v>
      </c>
      <c r="BA250" t="s">
        <v>74</v>
      </c>
      <c r="BB250">
        <v>155</v>
      </c>
      <c r="BC250">
        <v>158</v>
      </c>
      <c r="BD250" t="s">
        <v>74</v>
      </c>
      <c r="BE250" t="s">
        <v>4819</v>
      </c>
      <c r="BF250" t="str">
        <f>HYPERLINK("http://dx.doi.org/10.1134/S1028334X11010284","http://dx.doi.org/10.1134/S1028334X11010284")</f>
        <v>http://dx.doi.org/10.1134/S1028334X11010284</v>
      </c>
      <c r="BG250" t="s">
        <v>74</v>
      </c>
      <c r="BH250" t="s">
        <v>74</v>
      </c>
      <c r="BI250">
        <v>4</v>
      </c>
      <c r="BJ250" t="s">
        <v>396</v>
      </c>
      <c r="BK250" t="s">
        <v>100</v>
      </c>
      <c r="BL250" t="s">
        <v>397</v>
      </c>
      <c r="BM250" t="s">
        <v>4820</v>
      </c>
      <c r="BN250" t="s">
        <v>74</v>
      </c>
      <c r="BO250" t="s">
        <v>74</v>
      </c>
      <c r="BP250" t="s">
        <v>74</v>
      </c>
      <c r="BQ250" t="s">
        <v>74</v>
      </c>
      <c r="BR250" t="s">
        <v>103</v>
      </c>
      <c r="BS250" t="s">
        <v>4821</v>
      </c>
      <c r="BT250" t="str">
        <f>HYPERLINK("https%3A%2F%2Fwww.webofscience.com%2Fwos%2Fwoscc%2Ffull-record%2FWOS:000287750800036","View Full Record in Web of Science")</f>
        <v>View Full Record in Web of Science</v>
      </c>
    </row>
    <row r="251" spans="1:72" x14ac:dyDescent="0.15">
      <c r="A251" t="s">
        <v>72</v>
      </c>
      <c r="B251" t="s">
        <v>4822</v>
      </c>
      <c r="C251" t="s">
        <v>74</v>
      </c>
      <c r="D251" t="s">
        <v>74</v>
      </c>
      <c r="E251" t="s">
        <v>74</v>
      </c>
      <c r="F251" t="s">
        <v>4823</v>
      </c>
      <c r="G251" t="s">
        <v>74</v>
      </c>
      <c r="H251" t="s">
        <v>74</v>
      </c>
      <c r="I251" t="s">
        <v>4824</v>
      </c>
      <c r="J251" t="s">
        <v>4825</v>
      </c>
      <c r="K251" t="s">
        <v>74</v>
      </c>
      <c r="L251" t="s">
        <v>74</v>
      </c>
      <c r="M251" t="s">
        <v>78</v>
      </c>
      <c r="N251" t="s">
        <v>79</v>
      </c>
      <c r="O251" t="s">
        <v>74</v>
      </c>
      <c r="P251" t="s">
        <v>74</v>
      </c>
      <c r="Q251" t="s">
        <v>74</v>
      </c>
      <c r="R251" t="s">
        <v>74</v>
      </c>
      <c r="S251" t="s">
        <v>74</v>
      </c>
      <c r="T251" t="s">
        <v>4826</v>
      </c>
      <c r="U251" t="s">
        <v>4827</v>
      </c>
      <c r="V251" t="s">
        <v>4828</v>
      </c>
      <c r="W251" t="s">
        <v>4829</v>
      </c>
      <c r="X251" t="s">
        <v>4830</v>
      </c>
      <c r="Y251" t="s">
        <v>4831</v>
      </c>
      <c r="Z251" t="s">
        <v>4832</v>
      </c>
      <c r="AA251" t="s">
        <v>4833</v>
      </c>
      <c r="AB251" t="s">
        <v>4834</v>
      </c>
      <c r="AC251" t="s">
        <v>4835</v>
      </c>
      <c r="AD251" t="s">
        <v>4835</v>
      </c>
      <c r="AE251" t="s">
        <v>4836</v>
      </c>
      <c r="AF251" t="s">
        <v>74</v>
      </c>
      <c r="AG251">
        <v>20</v>
      </c>
      <c r="AH251">
        <v>6</v>
      </c>
      <c r="AI251">
        <v>7</v>
      </c>
      <c r="AJ251">
        <v>0</v>
      </c>
      <c r="AK251">
        <v>9</v>
      </c>
      <c r="AL251" t="s">
        <v>639</v>
      </c>
      <c r="AM251" t="s">
        <v>640</v>
      </c>
      <c r="AN251" t="s">
        <v>641</v>
      </c>
      <c r="AO251" t="s">
        <v>4837</v>
      </c>
      <c r="AP251" t="s">
        <v>74</v>
      </c>
      <c r="AQ251" t="s">
        <v>74</v>
      </c>
      <c r="AR251" t="s">
        <v>4838</v>
      </c>
      <c r="AS251" t="s">
        <v>4839</v>
      </c>
      <c r="AT251" t="s">
        <v>3935</v>
      </c>
      <c r="AU251">
        <v>2011</v>
      </c>
      <c r="AV251">
        <v>107</v>
      </c>
      <c r="AW251" t="s">
        <v>4840</v>
      </c>
      <c r="AX251" t="s">
        <v>74</v>
      </c>
      <c r="AY251" t="s">
        <v>74</v>
      </c>
      <c r="AZ251" t="s">
        <v>74</v>
      </c>
      <c r="BA251" t="s">
        <v>74</v>
      </c>
      <c r="BB251">
        <v>253</v>
      </c>
      <c r="BC251">
        <v>260</v>
      </c>
      <c r="BD251" t="s">
        <v>74</v>
      </c>
      <c r="BE251" t="s">
        <v>4841</v>
      </c>
      <c r="BF251" t="str">
        <f>HYPERLINK("http://dx.doi.org/10.1016/j.fishres.2010.11.007","http://dx.doi.org/10.1016/j.fishres.2010.11.007")</f>
        <v>http://dx.doi.org/10.1016/j.fishres.2010.11.007</v>
      </c>
      <c r="BG251" t="s">
        <v>74</v>
      </c>
      <c r="BH251" t="s">
        <v>74</v>
      </c>
      <c r="BI251">
        <v>8</v>
      </c>
      <c r="BJ251" t="s">
        <v>4842</v>
      </c>
      <c r="BK251" t="s">
        <v>3082</v>
      </c>
      <c r="BL251" t="s">
        <v>4842</v>
      </c>
      <c r="BM251" t="s">
        <v>4843</v>
      </c>
      <c r="BN251" t="s">
        <v>74</v>
      </c>
      <c r="BO251" t="s">
        <v>74</v>
      </c>
      <c r="BP251" t="s">
        <v>74</v>
      </c>
      <c r="BQ251" t="s">
        <v>74</v>
      </c>
      <c r="BR251" t="s">
        <v>103</v>
      </c>
      <c r="BS251" t="s">
        <v>4844</v>
      </c>
      <c r="BT251" t="str">
        <f>HYPERLINK("https%3A%2F%2Fwww.webofscience.com%2Fwos%2Fwoscc%2Ffull-record%2FWOS:000287113600028","View Full Record in Web of Science")</f>
        <v>View Full Record in Web of Science</v>
      </c>
    </row>
    <row r="252" spans="1:72" x14ac:dyDescent="0.15">
      <c r="A252" t="s">
        <v>72</v>
      </c>
      <c r="B252" t="s">
        <v>4845</v>
      </c>
      <c r="C252" t="s">
        <v>74</v>
      </c>
      <c r="D252" t="s">
        <v>74</v>
      </c>
      <c r="E252" t="s">
        <v>74</v>
      </c>
      <c r="F252" t="s">
        <v>4846</v>
      </c>
      <c r="G252" t="s">
        <v>74</v>
      </c>
      <c r="H252" t="s">
        <v>74</v>
      </c>
      <c r="I252" t="s">
        <v>4847</v>
      </c>
      <c r="J252" t="s">
        <v>4825</v>
      </c>
      <c r="K252" t="s">
        <v>74</v>
      </c>
      <c r="L252" t="s">
        <v>74</v>
      </c>
      <c r="M252" t="s">
        <v>78</v>
      </c>
      <c r="N252" t="s">
        <v>79</v>
      </c>
      <c r="O252" t="s">
        <v>74</v>
      </c>
      <c r="P252" t="s">
        <v>74</v>
      </c>
      <c r="Q252" t="s">
        <v>74</v>
      </c>
      <c r="R252" t="s">
        <v>74</v>
      </c>
      <c r="S252" t="s">
        <v>74</v>
      </c>
      <c r="T252" t="s">
        <v>4848</v>
      </c>
      <c r="U252" t="s">
        <v>4849</v>
      </c>
      <c r="V252" t="s">
        <v>4850</v>
      </c>
      <c r="W252" t="s">
        <v>4851</v>
      </c>
      <c r="X252" t="s">
        <v>4852</v>
      </c>
      <c r="Y252" t="s">
        <v>4853</v>
      </c>
      <c r="Z252" t="s">
        <v>4854</v>
      </c>
      <c r="AA252" t="s">
        <v>74</v>
      </c>
      <c r="AB252" t="s">
        <v>4855</v>
      </c>
      <c r="AC252" t="s">
        <v>4856</v>
      </c>
      <c r="AD252" t="s">
        <v>4856</v>
      </c>
      <c r="AE252" t="s">
        <v>4857</v>
      </c>
      <c r="AF252" t="s">
        <v>74</v>
      </c>
      <c r="AG252">
        <v>26</v>
      </c>
      <c r="AH252">
        <v>17</v>
      </c>
      <c r="AI252">
        <v>22</v>
      </c>
      <c r="AJ252">
        <v>1</v>
      </c>
      <c r="AK252">
        <v>25</v>
      </c>
      <c r="AL252" t="s">
        <v>639</v>
      </c>
      <c r="AM252" t="s">
        <v>640</v>
      </c>
      <c r="AN252" t="s">
        <v>641</v>
      </c>
      <c r="AO252" t="s">
        <v>4837</v>
      </c>
      <c r="AP252" t="s">
        <v>74</v>
      </c>
      <c r="AQ252" t="s">
        <v>74</v>
      </c>
      <c r="AR252" t="s">
        <v>4838</v>
      </c>
      <c r="AS252" t="s">
        <v>4839</v>
      </c>
      <c r="AT252" t="s">
        <v>3935</v>
      </c>
      <c r="AU252">
        <v>2011</v>
      </c>
      <c r="AV252">
        <v>107</v>
      </c>
      <c r="AW252" t="s">
        <v>4840</v>
      </c>
      <c r="AX252" t="s">
        <v>74</v>
      </c>
      <c r="AY252" t="s">
        <v>74</v>
      </c>
      <c r="AZ252" t="s">
        <v>74</v>
      </c>
      <c r="BA252" t="s">
        <v>74</v>
      </c>
      <c r="BB252">
        <v>291</v>
      </c>
      <c r="BC252">
        <v>299</v>
      </c>
      <c r="BD252" t="s">
        <v>74</v>
      </c>
      <c r="BE252" t="s">
        <v>4858</v>
      </c>
      <c r="BF252" t="str">
        <f>HYPERLINK("http://dx.doi.org/10.1016/j.fishres.2010.11.012","http://dx.doi.org/10.1016/j.fishres.2010.11.012")</f>
        <v>http://dx.doi.org/10.1016/j.fishres.2010.11.012</v>
      </c>
      <c r="BG252" t="s">
        <v>74</v>
      </c>
      <c r="BH252" t="s">
        <v>74</v>
      </c>
      <c r="BI252">
        <v>9</v>
      </c>
      <c r="BJ252" t="s">
        <v>4842</v>
      </c>
      <c r="BK252" t="s">
        <v>100</v>
      </c>
      <c r="BL252" t="s">
        <v>4842</v>
      </c>
      <c r="BM252" t="s">
        <v>4843</v>
      </c>
      <c r="BN252" t="s">
        <v>74</v>
      </c>
      <c r="BO252" t="s">
        <v>74</v>
      </c>
      <c r="BP252" t="s">
        <v>74</v>
      </c>
      <c r="BQ252" t="s">
        <v>74</v>
      </c>
      <c r="BR252" t="s">
        <v>103</v>
      </c>
      <c r="BS252" t="s">
        <v>4859</v>
      </c>
      <c r="BT252" t="str">
        <f>HYPERLINK("https%3A%2F%2Fwww.webofscience.com%2Fwos%2Fwoscc%2Ffull-record%2FWOS:000287113600033","View Full Record in Web of Science")</f>
        <v>View Full Record in Web of Science</v>
      </c>
    </row>
    <row r="253" spans="1:72" x14ac:dyDescent="0.15">
      <c r="A253" t="s">
        <v>72</v>
      </c>
      <c r="B253" t="s">
        <v>4860</v>
      </c>
      <c r="C253" t="s">
        <v>74</v>
      </c>
      <c r="D253" t="s">
        <v>74</v>
      </c>
      <c r="E253" t="s">
        <v>74</v>
      </c>
      <c r="F253" t="s">
        <v>4861</v>
      </c>
      <c r="G253" t="s">
        <v>74</v>
      </c>
      <c r="H253" t="s">
        <v>74</v>
      </c>
      <c r="I253" t="s">
        <v>4862</v>
      </c>
      <c r="J253" t="s">
        <v>3853</v>
      </c>
      <c r="K253" t="s">
        <v>74</v>
      </c>
      <c r="L253" t="s">
        <v>74</v>
      </c>
      <c r="M253" t="s">
        <v>78</v>
      </c>
      <c r="N253" t="s">
        <v>79</v>
      </c>
      <c r="O253" t="s">
        <v>74</v>
      </c>
      <c r="P253" t="s">
        <v>74</v>
      </c>
      <c r="Q253" t="s">
        <v>74</v>
      </c>
      <c r="R253" t="s">
        <v>74</v>
      </c>
      <c r="S253" t="s">
        <v>74</v>
      </c>
      <c r="T253" t="s">
        <v>74</v>
      </c>
      <c r="U253" t="s">
        <v>4863</v>
      </c>
      <c r="V253" t="s">
        <v>4864</v>
      </c>
      <c r="W253" t="s">
        <v>4865</v>
      </c>
      <c r="X253" t="s">
        <v>4866</v>
      </c>
      <c r="Y253" t="s">
        <v>4867</v>
      </c>
      <c r="Z253" t="s">
        <v>4868</v>
      </c>
      <c r="AA253" t="s">
        <v>4869</v>
      </c>
      <c r="AB253" t="s">
        <v>74</v>
      </c>
      <c r="AC253" t="s">
        <v>4870</v>
      </c>
      <c r="AD253" t="s">
        <v>4871</v>
      </c>
      <c r="AE253" t="s">
        <v>4872</v>
      </c>
      <c r="AF253" t="s">
        <v>74</v>
      </c>
      <c r="AG253">
        <v>24</v>
      </c>
      <c r="AH253">
        <v>1</v>
      </c>
      <c r="AI253">
        <v>2</v>
      </c>
      <c r="AJ253">
        <v>1</v>
      </c>
      <c r="AK253">
        <v>8</v>
      </c>
      <c r="AL253" t="s">
        <v>474</v>
      </c>
      <c r="AM253" t="s">
        <v>475</v>
      </c>
      <c r="AN253" t="s">
        <v>476</v>
      </c>
      <c r="AO253" t="s">
        <v>3862</v>
      </c>
      <c r="AP253" t="s">
        <v>3893</v>
      </c>
      <c r="AQ253" t="s">
        <v>74</v>
      </c>
      <c r="AR253" t="s">
        <v>3863</v>
      </c>
      <c r="AS253" t="s">
        <v>3864</v>
      </c>
      <c r="AT253" t="s">
        <v>74</v>
      </c>
      <c r="AU253">
        <v>2011</v>
      </c>
      <c r="AV253">
        <v>32</v>
      </c>
      <c r="AW253">
        <v>1</v>
      </c>
      <c r="AX253" t="s">
        <v>74</v>
      </c>
      <c r="AY253" t="s">
        <v>74</v>
      </c>
      <c r="AZ253" t="s">
        <v>74</v>
      </c>
      <c r="BA253" t="s">
        <v>74</v>
      </c>
      <c r="BB253">
        <v>171</v>
      </c>
      <c r="BC253">
        <v>184</v>
      </c>
      <c r="BD253" t="s">
        <v>74</v>
      </c>
      <c r="BE253" t="s">
        <v>4873</v>
      </c>
      <c r="BF253" t="str">
        <f>HYPERLINK("http://dx.doi.org/10.1080/01431160903439940","http://dx.doi.org/10.1080/01431160903439940")</f>
        <v>http://dx.doi.org/10.1080/01431160903439940</v>
      </c>
      <c r="BG253" t="s">
        <v>74</v>
      </c>
      <c r="BH253" t="s">
        <v>74</v>
      </c>
      <c r="BI253">
        <v>14</v>
      </c>
      <c r="BJ253" t="s">
        <v>3866</v>
      </c>
      <c r="BK253" t="s">
        <v>100</v>
      </c>
      <c r="BL253" t="s">
        <v>3866</v>
      </c>
      <c r="BM253" t="s">
        <v>4874</v>
      </c>
      <c r="BN253" t="s">
        <v>74</v>
      </c>
      <c r="BO253" t="s">
        <v>74</v>
      </c>
      <c r="BP253" t="s">
        <v>74</v>
      </c>
      <c r="BQ253" t="s">
        <v>74</v>
      </c>
      <c r="BR253" t="s">
        <v>103</v>
      </c>
      <c r="BS253" t="s">
        <v>4875</v>
      </c>
      <c r="BT253" t="str">
        <f>HYPERLINK("https%3A%2F%2Fwww.webofscience.com%2Fwos%2Fwoscc%2Ffull-record%2FWOS:000287022500011","View Full Record in Web of Science")</f>
        <v>View Full Record in Web of Science</v>
      </c>
    </row>
    <row r="254" spans="1:72" x14ac:dyDescent="0.15">
      <c r="A254" t="s">
        <v>72</v>
      </c>
      <c r="B254" t="s">
        <v>4876</v>
      </c>
      <c r="C254" t="s">
        <v>74</v>
      </c>
      <c r="D254" t="s">
        <v>74</v>
      </c>
      <c r="E254" t="s">
        <v>74</v>
      </c>
      <c r="F254" t="s">
        <v>4877</v>
      </c>
      <c r="G254" t="s">
        <v>74</v>
      </c>
      <c r="H254" t="s">
        <v>74</v>
      </c>
      <c r="I254" t="s">
        <v>4878</v>
      </c>
      <c r="J254" t="s">
        <v>4879</v>
      </c>
      <c r="K254" t="s">
        <v>74</v>
      </c>
      <c r="L254" t="s">
        <v>74</v>
      </c>
      <c r="M254" t="s">
        <v>78</v>
      </c>
      <c r="N254" t="s">
        <v>79</v>
      </c>
      <c r="O254" t="s">
        <v>74</v>
      </c>
      <c r="P254" t="s">
        <v>74</v>
      </c>
      <c r="Q254" t="s">
        <v>74</v>
      </c>
      <c r="R254" t="s">
        <v>74</v>
      </c>
      <c r="S254" t="s">
        <v>74</v>
      </c>
      <c r="T254" t="s">
        <v>4880</v>
      </c>
      <c r="U254" t="s">
        <v>4881</v>
      </c>
      <c r="V254" t="s">
        <v>4882</v>
      </c>
      <c r="W254" t="s">
        <v>4883</v>
      </c>
      <c r="X254" t="s">
        <v>4884</v>
      </c>
      <c r="Y254" t="s">
        <v>4885</v>
      </c>
      <c r="Z254" t="s">
        <v>4886</v>
      </c>
      <c r="AA254" t="s">
        <v>4887</v>
      </c>
      <c r="AB254" t="s">
        <v>4888</v>
      </c>
      <c r="AC254" t="s">
        <v>4889</v>
      </c>
      <c r="AD254" t="s">
        <v>4890</v>
      </c>
      <c r="AE254" t="s">
        <v>4891</v>
      </c>
      <c r="AF254" t="s">
        <v>74</v>
      </c>
      <c r="AG254">
        <v>37</v>
      </c>
      <c r="AH254">
        <v>33</v>
      </c>
      <c r="AI254">
        <v>36</v>
      </c>
      <c r="AJ254">
        <v>1</v>
      </c>
      <c r="AK254">
        <v>14</v>
      </c>
      <c r="AL254" t="s">
        <v>214</v>
      </c>
      <c r="AM254" t="s">
        <v>215</v>
      </c>
      <c r="AN254" t="s">
        <v>216</v>
      </c>
      <c r="AO254" t="s">
        <v>4892</v>
      </c>
      <c r="AP254" t="s">
        <v>4893</v>
      </c>
      <c r="AQ254" t="s">
        <v>74</v>
      </c>
      <c r="AR254" t="s">
        <v>4894</v>
      </c>
      <c r="AS254" t="s">
        <v>4895</v>
      </c>
      <c r="AT254" t="s">
        <v>3935</v>
      </c>
      <c r="AU254">
        <v>2011</v>
      </c>
      <c r="AV254">
        <v>26</v>
      </c>
      <c r="AW254">
        <v>1</v>
      </c>
      <c r="AX254" t="s">
        <v>74</v>
      </c>
      <c r="AY254" t="s">
        <v>74</v>
      </c>
      <c r="AZ254" t="s">
        <v>74</v>
      </c>
      <c r="BA254" t="s">
        <v>74</v>
      </c>
      <c r="BB254">
        <v>3</v>
      </c>
      <c r="BC254">
        <v>6</v>
      </c>
      <c r="BD254" t="s">
        <v>74</v>
      </c>
      <c r="BE254" t="s">
        <v>4896</v>
      </c>
      <c r="BF254" t="str">
        <f>HYPERLINK("http://dx.doi.org/10.1002/jqs.1465","http://dx.doi.org/10.1002/jqs.1465")</f>
        <v>http://dx.doi.org/10.1002/jqs.1465</v>
      </c>
      <c r="BG254" t="s">
        <v>74</v>
      </c>
      <c r="BH254" t="s">
        <v>74</v>
      </c>
      <c r="BI254">
        <v>4</v>
      </c>
      <c r="BJ254" t="s">
        <v>222</v>
      </c>
      <c r="BK254" t="s">
        <v>100</v>
      </c>
      <c r="BL254" t="s">
        <v>223</v>
      </c>
      <c r="BM254" t="s">
        <v>4897</v>
      </c>
      <c r="BN254" t="s">
        <v>74</v>
      </c>
      <c r="BO254" t="s">
        <v>74</v>
      </c>
      <c r="BP254" t="s">
        <v>74</v>
      </c>
      <c r="BQ254" t="s">
        <v>74</v>
      </c>
      <c r="BR254" t="s">
        <v>103</v>
      </c>
      <c r="BS254" t="s">
        <v>4898</v>
      </c>
      <c r="BT254" t="str">
        <f>HYPERLINK("https%3A%2F%2Fwww.webofscience.com%2Fwos%2Fwoscc%2Ffull-record%2FWOS:000287124100002","View Full Record in Web of Science")</f>
        <v>View Full Record in Web of Science</v>
      </c>
    </row>
    <row r="255" spans="1:72" x14ac:dyDescent="0.15">
      <c r="A255" t="s">
        <v>72</v>
      </c>
      <c r="B255" t="s">
        <v>4899</v>
      </c>
      <c r="C255" t="s">
        <v>74</v>
      </c>
      <c r="D255" t="s">
        <v>74</v>
      </c>
      <c r="E255" t="s">
        <v>74</v>
      </c>
      <c r="F255" t="s">
        <v>4900</v>
      </c>
      <c r="G255" t="s">
        <v>74</v>
      </c>
      <c r="H255" t="s">
        <v>74</v>
      </c>
      <c r="I255" t="s">
        <v>4901</v>
      </c>
      <c r="J255" t="s">
        <v>4879</v>
      </c>
      <c r="K255" t="s">
        <v>74</v>
      </c>
      <c r="L255" t="s">
        <v>74</v>
      </c>
      <c r="M255" t="s">
        <v>78</v>
      </c>
      <c r="N255" t="s">
        <v>79</v>
      </c>
      <c r="O255" t="s">
        <v>74</v>
      </c>
      <c r="P255" t="s">
        <v>74</v>
      </c>
      <c r="Q255" t="s">
        <v>74</v>
      </c>
      <c r="R255" t="s">
        <v>74</v>
      </c>
      <c r="S255" t="s">
        <v>74</v>
      </c>
      <c r="T255" t="s">
        <v>4902</v>
      </c>
      <c r="U255" t="s">
        <v>4903</v>
      </c>
      <c r="V255" t="s">
        <v>4904</v>
      </c>
      <c r="W255" t="s">
        <v>4905</v>
      </c>
      <c r="X255" t="s">
        <v>4906</v>
      </c>
      <c r="Y255" t="s">
        <v>4907</v>
      </c>
      <c r="Z255" t="s">
        <v>4908</v>
      </c>
      <c r="AA255" t="s">
        <v>4909</v>
      </c>
      <c r="AB255" t="s">
        <v>4910</v>
      </c>
      <c r="AC255" t="s">
        <v>4911</v>
      </c>
      <c r="AD255" t="s">
        <v>4912</v>
      </c>
      <c r="AE255" t="s">
        <v>4913</v>
      </c>
      <c r="AF255" t="s">
        <v>74</v>
      </c>
      <c r="AG255">
        <v>66</v>
      </c>
      <c r="AH255">
        <v>36</v>
      </c>
      <c r="AI255">
        <v>38</v>
      </c>
      <c r="AJ255">
        <v>1</v>
      </c>
      <c r="AK255">
        <v>26</v>
      </c>
      <c r="AL255" t="s">
        <v>214</v>
      </c>
      <c r="AM255" t="s">
        <v>215</v>
      </c>
      <c r="AN255" t="s">
        <v>216</v>
      </c>
      <c r="AO255" t="s">
        <v>4892</v>
      </c>
      <c r="AP255" t="s">
        <v>4893</v>
      </c>
      <c r="AQ255" t="s">
        <v>74</v>
      </c>
      <c r="AR255" t="s">
        <v>4894</v>
      </c>
      <c r="AS255" t="s">
        <v>4895</v>
      </c>
      <c r="AT255" t="s">
        <v>3935</v>
      </c>
      <c r="AU255">
        <v>2011</v>
      </c>
      <c r="AV255">
        <v>26</v>
      </c>
      <c r="AW255">
        <v>1</v>
      </c>
      <c r="AX255" t="s">
        <v>74</v>
      </c>
      <c r="AY255" t="s">
        <v>74</v>
      </c>
      <c r="AZ255" t="s">
        <v>74</v>
      </c>
      <c r="BA255" t="s">
        <v>74</v>
      </c>
      <c r="BB255">
        <v>37</v>
      </c>
      <c r="BC255">
        <v>43</v>
      </c>
      <c r="BD255" t="s">
        <v>74</v>
      </c>
      <c r="BE255" t="s">
        <v>4914</v>
      </c>
      <c r="BF255" t="str">
        <f>HYPERLINK("http://dx.doi.org/10.1002/jqs.1424","http://dx.doi.org/10.1002/jqs.1424")</f>
        <v>http://dx.doi.org/10.1002/jqs.1424</v>
      </c>
      <c r="BG255" t="s">
        <v>74</v>
      </c>
      <c r="BH255" t="s">
        <v>74</v>
      </c>
      <c r="BI255">
        <v>7</v>
      </c>
      <c r="BJ255" t="s">
        <v>222</v>
      </c>
      <c r="BK255" t="s">
        <v>100</v>
      </c>
      <c r="BL255" t="s">
        <v>223</v>
      </c>
      <c r="BM255" t="s">
        <v>4897</v>
      </c>
      <c r="BN255" t="s">
        <v>74</v>
      </c>
      <c r="BO255" t="s">
        <v>138</v>
      </c>
      <c r="BP255" t="s">
        <v>74</v>
      </c>
      <c r="BQ255" t="s">
        <v>74</v>
      </c>
      <c r="BR255" t="s">
        <v>103</v>
      </c>
      <c r="BS255" t="s">
        <v>4915</v>
      </c>
      <c r="BT255" t="str">
        <f>HYPERLINK("https%3A%2F%2Fwww.webofscience.com%2Fwos%2Fwoscc%2Ffull-record%2FWOS:000287124100006","View Full Record in Web of Science")</f>
        <v>View Full Record in Web of Science</v>
      </c>
    </row>
    <row r="256" spans="1:72" x14ac:dyDescent="0.15">
      <c r="A256" t="s">
        <v>72</v>
      </c>
      <c r="B256" t="s">
        <v>4916</v>
      </c>
      <c r="C256" t="s">
        <v>74</v>
      </c>
      <c r="D256" t="s">
        <v>74</v>
      </c>
      <c r="E256" t="s">
        <v>74</v>
      </c>
      <c r="F256" t="s">
        <v>4917</v>
      </c>
      <c r="G256" t="s">
        <v>74</v>
      </c>
      <c r="H256" t="s">
        <v>74</v>
      </c>
      <c r="I256" t="s">
        <v>4918</v>
      </c>
      <c r="J256" t="s">
        <v>4919</v>
      </c>
      <c r="K256" t="s">
        <v>74</v>
      </c>
      <c r="L256" t="s">
        <v>74</v>
      </c>
      <c r="M256" t="s">
        <v>78</v>
      </c>
      <c r="N256" t="s">
        <v>79</v>
      </c>
      <c r="O256" t="s">
        <v>74</v>
      </c>
      <c r="P256" t="s">
        <v>74</v>
      </c>
      <c r="Q256" t="s">
        <v>74</v>
      </c>
      <c r="R256" t="s">
        <v>74</v>
      </c>
      <c r="S256" t="s">
        <v>74</v>
      </c>
      <c r="T256" t="s">
        <v>74</v>
      </c>
      <c r="U256" t="s">
        <v>4920</v>
      </c>
      <c r="V256" t="s">
        <v>4921</v>
      </c>
      <c r="W256" t="s">
        <v>4922</v>
      </c>
      <c r="X256" t="s">
        <v>4923</v>
      </c>
      <c r="Y256" t="s">
        <v>4924</v>
      </c>
      <c r="Z256" t="s">
        <v>4925</v>
      </c>
      <c r="AA256" t="s">
        <v>74</v>
      </c>
      <c r="AB256" t="s">
        <v>74</v>
      </c>
      <c r="AC256" t="s">
        <v>4926</v>
      </c>
      <c r="AD256" t="s">
        <v>4927</v>
      </c>
      <c r="AE256" t="s">
        <v>4928</v>
      </c>
      <c r="AF256" t="s">
        <v>74</v>
      </c>
      <c r="AG256">
        <v>47</v>
      </c>
      <c r="AH256">
        <v>5</v>
      </c>
      <c r="AI256">
        <v>6</v>
      </c>
      <c r="AJ256">
        <v>0</v>
      </c>
      <c r="AK256">
        <v>2</v>
      </c>
      <c r="AL256" t="s">
        <v>366</v>
      </c>
      <c r="AM256" t="s">
        <v>367</v>
      </c>
      <c r="AN256" t="s">
        <v>368</v>
      </c>
      <c r="AO256" t="s">
        <v>4929</v>
      </c>
      <c r="AP256" t="s">
        <v>74</v>
      </c>
      <c r="AQ256" t="s">
        <v>74</v>
      </c>
      <c r="AR256" t="s">
        <v>4930</v>
      </c>
      <c r="AS256" t="s">
        <v>4931</v>
      </c>
      <c r="AT256" t="s">
        <v>3935</v>
      </c>
      <c r="AU256">
        <v>2011</v>
      </c>
      <c r="AV256">
        <v>46</v>
      </c>
      <c r="AW256">
        <v>1</v>
      </c>
      <c r="AX256" t="s">
        <v>74</v>
      </c>
      <c r="AY256" t="s">
        <v>74</v>
      </c>
      <c r="AZ256" t="s">
        <v>74</v>
      </c>
      <c r="BA256" t="s">
        <v>74</v>
      </c>
      <c r="BB256">
        <v>79</v>
      </c>
      <c r="BC256">
        <v>91</v>
      </c>
      <c r="BD256" t="s">
        <v>74</v>
      </c>
      <c r="BE256" t="s">
        <v>4932</v>
      </c>
      <c r="BF256" t="str">
        <f>HYPERLINK("http://dx.doi.org/10.1111/j.1945-5100.2010.01139.x","http://dx.doi.org/10.1111/j.1945-5100.2010.01139.x")</f>
        <v>http://dx.doi.org/10.1111/j.1945-5100.2010.01139.x</v>
      </c>
      <c r="BG256" t="s">
        <v>74</v>
      </c>
      <c r="BH256" t="s">
        <v>74</v>
      </c>
      <c r="BI256">
        <v>13</v>
      </c>
      <c r="BJ256" t="s">
        <v>774</v>
      </c>
      <c r="BK256" t="s">
        <v>100</v>
      </c>
      <c r="BL256" t="s">
        <v>774</v>
      </c>
      <c r="BM256" t="s">
        <v>4933</v>
      </c>
      <c r="BN256" t="s">
        <v>74</v>
      </c>
      <c r="BO256" t="s">
        <v>252</v>
      </c>
      <c r="BP256" t="s">
        <v>74</v>
      </c>
      <c r="BQ256" t="s">
        <v>74</v>
      </c>
      <c r="BR256" t="s">
        <v>103</v>
      </c>
      <c r="BS256" t="s">
        <v>4934</v>
      </c>
      <c r="BT256" t="str">
        <f>HYPERLINK("https%3A%2F%2Fwww.webofscience.com%2Fwos%2Fwoscc%2Ffull-record%2FWOS:000287247900005","View Full Record in Web of Science")</f>
        <v>View Full Record in Web of Science</v>
      </c>
    </row>
    <row r="257" spans="1:72" x14ac:dyDescent="0.15">
      <c r="A257" t="s">
        <v>72</v>
      </c>
      <c r="B257" t="s">
        <v>4935</v>
      </c>
      <c r="C257" t="s">
        <v>74</v>
      </c>
      <c r="D257" t="s">
        <v>74</v>
      </c>
      <c r="E257" t="s">
        <v>74</v>
      </c>
      <c r="F257" t="s">
        <v>4936</v>
      </c>
      <c r="G257" t="s">
        <v>74</v>
      </c>
      <c r="H257" t="s">
        <v>74</v>
      </c>
      <c r="I257" t="s">
        <v>4937</v>
      </c>
      <c r="J257" t="s">
        <v>4938</v>
      </c>
      <c r="K257" t="s">
        <v>74</v>
      </c>
      <c r="L257" t="s">
        <v>74</v>
      </c>
      <c r="M257" t="s">
        <v>78</v>
      </c>
      <c r="N257" t="s">
        <v>79</v>
      </c>
      <c r="O257" t="s">
        <v>74</v>
      </c>
      <c r="P257" t="s">
        <v>74</v>
      </c>
      <c r="Q257" t="s">
        <v>74</v>
      </c>
      <c r="R257" t="s">
        <v>74</v>
      </c>
      <c r="S257" t="s">
        <v>74</v>
      </c>
      <c r="T257" t="s">
        <v>74</v>
      </c>
      <c r="U257" t="s">
        <v>4939</v>
      </c>
      <c r="V257" t="s">
        <v>4940</v>
      </c>
      <c r="W257" t="s">
        <v>4941</v>
      </c>
      <c r="X257" t="s">
        <v>4942</v>
      </c>
      <c r="Y257" t="s">
        <v>4943</v>
      </c>
      <c r="Z257" t="s">
        <v>4944</v>
      </c>
      <c r="AA257" t="s">
        <v>74</v>
      </c>
      <c r="AB257" t="s">
        <v>74</v>
      </c>
      <c r="AC257" t="s">
        <v>74</v>
      </c>
      <c r="AD257" t="s">
        <v>74</v>
      </c>
      <c r="AE257" t="s">
        <v>74</v>
      </c>
      <c r="AF257" t="s">
        <v>74</v>
      </c>
      <c r="AG257">
        <v>28</v>
      </c>
      <c r="AH257">
        <v>3</v>
      </c>
      <c r="AI257">
        <v>3</v>
      </c>
      <c r="AJ257">
        <v>0</v>
      </c>
      <c r="AK257">
        <v>8</v>
      </c>
      <c r="AL257" t="s">
        <v>4945</v>
      </c>
      <c r="AM257" t="s">
        <v>4946</v>
      </c>
      <c r="AN257" t="s">
        <v>4947</v>
      </c>
      <c r="AO257" t="s">
        <v>4948</v>
      </c>
      <c r="AP257" t="s">
        <v>74</v>
      </c>
      <c r="AQ257" t="s">
        <v>74</v>
      </c>
      <c r="AR257" t="s">
        <v>4938</v>
      </c>
      <c r="AS257" t="s">
        <v>4949</v>
      </c>
      <c r="AT257" t="s">
        <v>3935</v>
      </c>
      <c r="AU257">
        <v>2011</v>
      </c>
      <c r="AV257">
        <v>24</v>
      </c>
      <c r="AW257">
        <v>1</v>
      </c>
      <c r="AX257" t="s">
        <v>74</v>
      </c>
      <c r="AY257" t="s">
        <v>74</v>
      </c>
      <c r="AZ257" t="s">
        <v>74</v>
      </c>
      <c r="BA257" t="s">
        <v>74</v>
      </c>
      <c r="BB257">
        <v>22</v>
      </c>
      <c r="BC257">
        <v>25</v>
      </c>
      <c r="BD257" t="s">
        <v>74</v>
      </c>
      <c r="BE257" t="s">
        <v>74</v>
      </c>
      <c r="BF257" t="s">
        <v>74</v>
      </c>
      <c r="BG257" t="s">
        <v>74</v>
      </c>
      <c r="BH257" t="s">
        <v>74</v>
      </c>
      <c r="BI257">
        <v>4</v>
      </c>
      <c r="BJ257" t="s">
        <v>4950</v>
      </c>
      <c r="BK257" t="s">
        <v>1318</v>
      </c>
      <c r="BL257" t="s">
        <v>4951</v>
      </c>
      <c r="BM257" t="s">
        <v>4952</v>
      </c>
      <c r="BN257" t="s">
        <v>74</v>
      </c>
      <c r="BO257" t="s">
        <v>74</v>
      </c>
      <c r="BP257" t="s">
        <v>74</v>
      </c>
      <c r="BQ257" t="s">
        <v>74</v>
      </c>
      <c r="BR257" t="s">
        <v>103</v>
      </c>
      <c r="BS257" t="s">
        <v>4953</v>
      </c>
      <c r="BT257" t="str">
        <f>HYPERLINK("https%3A%2F%2Fwww.webofscience.com%2Fwos%2Fwoscc%2Ffull-record%2FWOS:000286040900023","View Full Record in Web of Science")</f>
        <v>View Full Record in Web of Science</v>
      </c>
    </row>
    <row r="258" spans="1:72" x14ac:dyDescent="0.15">
      <c r="A258" t="s">
        <v>72</v>
      </c>
      <c r="B258" t="s">
        <v>4954</v>
      </c>
      <c r="C258" t="s">
        <v>74</v>
      </c>
      <c r="D258" t="s">
        <v>74</v>
      </c>
      <c r="E258" t="s">
        <v>74</v>
      </c>
      <c r="F258" t="s">
        <v>4955</v>
      </c>
      <c r="G258" t="s">
        <v>74</v>
      </c>
      <c r="H258" t="s">
        <v>74</v>
      </c>
      <c r="I258" t="s">
        <v>4956</v>
      </c>
      <c r="J258" t="s">
        <v>4957</v>
      </c>
      <c r="K258" t="s">
        <v>74</v>
      </c>
      <c r="L258" t="s">
        <v>74</v>
      </c>
      <c r="M258" t="s">
        <v>78</v>
      </c>
      <c r="N258" t="s">
        <v>79</v>
      </c>
      <c r="O258" t="s">
        <v>74</v>
      </c>
      <c r="P258" t="s">
        <v>74</v>
      </c>
      <c r="Q258" t="s">
        <v>74</v>
      </c>
      <c r="R258" t="s">
        <v>74</v>
      </c>
      <c r="S258" t="s">
        <v>74</v>
      </c>
      <c r="T258" t="s">
        <v>4958</v>
      </c>
      <c r="U258" t="s">
        <v>4959</v>
      </c>
      <c r="V258" t="s">
        <v>4960</v>
      </c>
      <c r="W258" t="s">
        <v>4961</v>
      </c>
      <c r="X258" t="s">
        <v>4962</v>
      </c>
      <c r="Y258" t="s">
        <v>4963</v>
      </c>
      <c r="Z258" t="s">
        <v>4964</v>
      </c>
      <c r="AA258" t="s">
        <v>4965</v>
      </c>
      <c r="AB258" t="s">
        <v>4966</v>
      </c>
      <c r="AC258" t="s">
        <v>4967</v>
      </c>
      <c r="AD258" t="s">
        <v>4968</v>
      </c>
      <c r="AE258" t="s">
        <v>4969</v>
      </c>
      <c r="AF258" t="s">
        <v>74</v>
      </c>
      <c r="AG258">
        <v>78</v>
      </c>
      <c r="AH258">
        <v>42</v>
      </c>
      <c r="AI258">
        <v>43</v>
      </c>
      <c r="AJ258">
        <v>0</v>
      </c>
      <c r="AK258">
        <v>14</v>
      </c>
      <c r="AL258" t="s">
        <v>3232</v>
      </c>
      <c r="AM258" t="s">
        <v>3233</v>
      </c>
      <c r="AN258" t="s">
        <v>3234</v>
      </c>
      <c r="AO258" t="s">
        <v>4970</v>
      </c>
      <c r="AP258" t="s">
        <v>4971</v>
      </c>
      <c r="AQ258" t="s">
        <v>74</v>
      </c>
      <c r="AR258" t="s">
        <v>4972</v>
      </c>
      <c r="AS258" t="s">
        <v>4973</v>
      </c>
      <c r="AT258" t="s">
        <v>74</v>
      </c>
      <c r="AU258">
        <v>2011</v>
      </c>
      <c r="AV258">
        <v>62</v>
      </c>
      <c r="AW258">
        <v>3</v>
      </c>
      <c r="AX258" t="s">
        <v>74</v>
      </c>
      <c r="AY258" t="s">
        <v>74</v>
      </c>
      <c r="AZ258" t="s">
        <v>74</v>
      </c>
      <c r="BA258" t="s">
        <v>74</v>
      </c>
      <c r="BB258">
        <v>215</v>
      </c>
      <c r="BC258">
        <v>230</v>
      </c>
      <c r="BD258" t="s">
        <v>74</v>
      </c>
      <c r="BE258" t="s">
        <v>4974</v>
      </c>
      <c r="BF258" t="str">
        <f>HYPERLINK("http://dx.doi.org/10.3354/ame01468","http://dx.doi.org/10.3354/ame01468")</f>
        <v>http://dx.doi.org/10.3354/ame01468</v>
      </c>
      <c r="BG258" t="s">
        <v>74</v>
      </c>
      <c r="BH258" t="s">
        <v>74</v>
      </c>
      <c r="BI258">
        <v>16</v>
      </c>
      <c r="BJ258" t="s">
        <v>4975</v>
      </c>
      <c r="BK258" t="s">
        <v>100</v>
      </c>
      <c r="BL258" t="s">
        <v>4976</v>
      </c>
      <c r="BM258" t="s">
        <v>4977</v>
      </c>
      <c r="BN258" t="s">
        <v>74</v>
      </c>
      <c r="BO258" t="s">
        <v>252</v>
      </c>
      <c r="BP258" t="s">
        <v>74</v>
      </c>
      <c r="BQ258" t="s">
        <v>74</v>
      </c>
      <c r="BR258" t="s">
        <v>103</v>
      </c>
      <c r="BS258" t="s">
        <v>4978</v>
      </c>
      <c r="BT258" t="str">
        <f>HYPERLINK("https%3A%2F%2Fwww.webofscience.com%2Fwos%2Fwoscc%2Ffull-record%2FWOS:000287203900001","View Full Record in Web of Science")</f>
        <v>View Full Record in Web of Science</v>
      </c>
    </row>
    <row r="259" spans="1:72" x14ac:dyDescent="0.15">
      <c r="A259" t="s">
        <v>72</v>
      </c>
      <c r="B259" t="s">
        <v>4979</v>
      </c>
      <c r="C259" t="s">
        <v>74</v>
      </c>
      <c r="D259" t="s">
        <v>74</v>
      </c>
      <c r="E259" t="s">
        <v>74</v>
      </c>
      <c r="F259" t="s">
        <v>4980</v>
      </c>
      <c r="G259" t="s">
        <v>74</v>
      </c>
      <c r="H259" t="s">
        <v>74</v>
      </c>
      <c r="I259" t="s">
        <v>4981</v>
      </c>
      <c r="J259" t="s">
        <v>4982</v>
      </c>
      <c r="K259" t="s">
        <v>74</v>
      </c>
      <c r="L259" t="s">
        <v>74</v>
      </c>
      <c r="M259" t="s">
        <v>78</v>
      </c>
      <c r="N259" t="s">
        <v>79</v>
      </c>
      <c r="O259" t="s">
        <v>74</v>
      </c>
      <c r="P259" t="s">
        <v>74</v>
      </c>
      <c r="Q259" t="s">
        <v>74</v>
      </c>
      <c r="R259" t="s">
        <v>74</v>
      </c>
      <c r="S259" t="s">
        <v>74</v>
      </c>
      <c r="T259" t="s">
        <v>74</v>
      </c>
      <c r="U259" t="s">
        <v>4983</v>
      </c>
      <c r="V259" t="s">
        <v>4984</v>
      </c>
      <c r="W259" t="s">
        <v>4985</v>
      </c>
      <c r="X259" t="s">
        <v>1908</v>
      </c>
      <c r="Y259" t="s">
        <v>4986</v>
      </c>
      <c r="Z259" t="s">
        <v>4987</v>
      </c>
      <c r="AA259" t="s">
        <v>4988</v>
      </c>
      <c r="AB259" t="s">
        <v>4989</v>
      </c>
      <c r="AC259" t="s">
        <v>4990</v>
      </c>
      <c r="AD259" t="s">
        <v>4991</v>
      </c>
      <c r="AE259" t="s">
        <v>4992</v>
      </c>
      <c r="AF259" t="s">
        <v>74</v>
      </c>
      <c r="AG259">
        <v>100</v>
      </c>
      <c r="AH259">
        <v>77</v>
      </c>
      <c r="AI259">
        <v>87</v>
      </c>
      <c r="AJ259">
        <v>2</v>
      </c>
      <c r="AK259">
        <v>40</v>
      </c>
      <c r="AL259" t="s">
        <v>2955</v>
      </c>
      <c r="AM259" t="s">
        <v>2956</v>
      </c>
      <c r="AN259" t="s">
        <v>2957</v>
      </c>
      <c r="AO259" t="s">
        <v>4993</v>
      </c>
      <c r="AP259" t="s">
        <v>4994</v>
      </c>
      <c r="AQ259" t="s">
        <v>74</v>
      </c>
      <c r="AR259" t="s">
        <v>4982</v>
      </c>
      <c r="AS259" t="s">
        <v>4995</v>
      </c>
      <c r="AT259" t="s">
        <v>74</v>
      </c>
      <c r="AU259">
        <v>2011</v>
      </c>
      <c r="AV259">
        <v>8</v>
      </c>
      <c r="AW259">
        <v>1</v>
      </c>
      <c r="AX259" t="s">
        <v>74</v>
      </c>
      <c r="AY259" t="s">
        <v>74</v>
      </c>
      <c r="AZ259" t="s">
        <v>74</v>
      </c>
      <c r="BA259" t="s">
        <v>74</v>
      </c>
      <c r="BB259">
        <v>69</v>
      </c>
      <c r="BC259">
        <v>88</v>
      </c>
      <c r="BD259" t="s">
        <v>74</v>
      </c>
      <c r="BE259" t="s">
        <v>4996</v>
      </c>
      <c r="BF259" t="str">
        <f>HYPERLINK("http://dx.doi.org/10.5194/bg-8-69-2011","http://dx.doi.org/10.5194/bg-8-69-2011")</f>
        <v>http://dx.doi.org/10.5194/bg-8-69-2011</v>
      </c>
      <c r="BG259" t="s">
        <v>74</v>
      </c>
      <c r="BH259" t="s">
        <v>74</v>
      </c>
      <c r="BI259">
        <v>20</v>
      </c>
      <c r="BJ259" t="s">
        <v>4387</v>
      </c>
      <c r="BK259" t="s">
        <v>100</v>
      </c>
      <c r="BL259" t="s">
        <v>4388</v>
      </c>
      <c r="BM259" t="s">
        <v>4997</v>
      </c>
      <c r="BN259" t="s">
        <v>74</v>
      </c>
      <c r="BO259" t="s">
        <v>1672</v>
      </c>
      <c r="BP259" t="s">
        <v>74</v>
      </c>
      <c r="BQ259" t="s">
        <v>74</v>
      </c>
      <c r="BR259" t="s">
        <v>103</v>
      </c>
      <c r="BS259" t="s">
        <v>4998</v>
      </c>
      <c r="BT259" t="str">
        <f>HYPERLINK("https%3A%2F%2Fwww.webofscience.com%2Fwos%2Fwoscc%2Ffull-record%2FWOS:000286722500006","View Full Record in Web of Science")</f>
        <v>View Full Record in Web of Science</v>
      </c>
    </row>
    <row r="260" spans="1:72" x14ac:dyDescent="0.15">
      <c r="A260" t="s">
        <v>72</v>
      </c>
      <c r="B260" t="s">
        <v>4999</v>
      </c>
      <c r="C260" t="s">
        <v>74</v>
      </c>
      <c r="D260" t="s">
        <v>74</v>
      </c>
      <c r="E260" t="s">
        <v>74</v>
      </c>
      <c r="F260" t="s">
        <v>5000</v>
      </c>
      <c r="G260" t="s">
        <v>74</v>
      </c>
      <c r="H260" t="s">
        <v>74</v>
      </c>
      <c r="I260" t="s">
        <v>5001</v>
      </c>
      <c r="J260" t="s">
        <v>5002</v>
      </c>
      <c r="K260" t="s">
        <v>74</v>
      </c>
      <c r="L260" t="s">
        <v>74</v>
      </c>
      <c r="M260" t="s">
        <v>78</v>
      </c>
      <c r="N260" t="s">
        <v>79</v>
      </c>
      <c r="O260" t="s">
        <v>74</v>
      </c>
      <c r="P260" t="s">
        <v>74</v>
      </c>
      <c r="Q260" t="s">
        <v>74</v>
      </c>
      <c r="R260" t="s">
        <v>74</v>
      </c>
      <c r="S260" t="s">
        <v>74</v>
      </c>
      <c r="T260" t="s">
        <v>5003</v>
      </c>
      <c r="U260" t="s">
        <v>5004</v>
      </c>
      <c r="V260" t="s">
        <v>5005</v>
      </c>
      <c r="W260" t="s">
        <v>5006</v>
      </c>
      <c r="X260" t="s">
        <v>5007</v>
      </c>
      <c r="Y260" t="s">
        <v>5008</v>
      </c>
      <c r="Z260" t="s">
        <v>5009</v>
      </c>
      <c r="AA260" t="s">
        <v>5010</v>
      </c>
      <c r="AB260" t="s">
        <v>5011</v>
      </c>
      <c r="AC260" t="s">
        <v>5012</v>
      </c>
      <c r="AD260" t="s">
        <v>5013</v>
      </c>
      <c r="AE260" t="s">
        <v>5014</v>
      </c>
      <c r="AF260" t="s">
        <v>74</v>
      </c>
      <c r="AG260">
        <v>79</v>
      </c>
      <c r="AH260">
        <v>23</v>
      </c>
      <c r="AI260">
        <v>32</v>
      </c>
      <c r="AJ260">
        <v>1</v>
      </c>
      <c r="AK260">
        <v>10</v>
      </c>
      <c r="AL260" t="s">
        <v>767</v>
      </c>
      <c r="AM260" t="s">
        <v>640</v>
      </c>
      <c r="AN260" t="s">
        <v>768</v>
      </c>
      <c r="AO260" t="s">
        <v>5015</v>
      </c>
      <c r="AP260" t="s">
        <v>5016</v>
      </c>
      <c r="AQ260" t="s">
        <v>74</v>
      </c>
      <c r="AR260" t="s">
        <v>5017</v>
      </c>
      <c r="AS260" t="s">
        <v>5018</v>
      </c>
      <c r="AT260" t="s">
        <v>3935</v>
      </c>
      <c r="AU260">
        <v>2011</v>
      </c>
      <c r="AV260">
        <v>75</v>
      </c>
      <c r="AW260" t="s">
        <v>2089</v>
      </c>
      <c r="AX260" t="s">
        <v>74</v>
      </c>
      <c r="AY260" t="s">
        <v>74</v>
      </c>
      <c r="AZ260" t="s">
        <v>74</v>
      </c>
      <c r="BA260" t="s">
        <v>74</v>
      </c>
      <c r="BB260">
        <v>31</v>
      </c>
      <c r="BC260">
        <v>46</v>
      </c>
      <c r="BD260" t="s">
        <v>74</v>
      </c>
      <c r="BE260" t="s">
        <v>5019</v>
      </c>
      <c r="BF260" t="str">
        <f>HYPERLINK("http://dx.doi.org/10.1016/j.gloplacha.2010.10.002","http://dx.doi.org/10.1016/j.gloplacha.2010.10.002")</f>
        <v>http://dx.doi.org/10.1016/j.gloplacha.2010.10.002</v>
      </c>
      <c r="BG260" t="s">
        <v>74</v>
      </c>
      <c r="BH260" t="s">
        <v>74</v>
      </c>
      <c r="BI260">
        <v>16</v>
      </c>
      <c r="BJ260" t="s">
        <v>222</v>
      </c>
      <c r="BK260" t="s">
        <v>100</v>
      </c>
      <c r="BL260" t="s">
        <v>223</v>
      </c>
      <c r="BM260" t="s">
        <v>5020</v>
      </c>
      <c r="BN260" t="s">
        <v>74</v>
      </c>
      <c r="BO260" t="s">
        <v>74</v>
      </c>
      <c r="BP260" t="s">
        <v>74</v>
      </c>
      <c r="BQ260" t="s">
        <v>74</v>
      </c>
      <c r="BR260" t="s">
        <v>103</v>
      </c>
      <c r="BS260" t="s">
        <v>5021</v>
      </c>
      <c r="BT260" t="str">
        <f>HYPERLINK("https%3A%2F%2Fwww.webofscience.com%2Fwos%2Fwoscc%2Ffull-record%2FWOS:000287074700004","View Full Record in Web of Science")</f>
        <v>View Full Record in Web of Science</v>
      </c>
    </row>
    <row r="261" spans="1:72" x14ac:dyDescent="0.15">
      <c r="A261" t="s">
        <v>72</v>
      </c>
      <c r="B261" t="s">
        <v>5022</v>
      </c>
      <c r="C261" t="s">
        <v>74</v>
      </c>
      <c r="D261" t="s">
        <v>74</v>
      </c>
      <c r="E261" t="s">
        <v>74</v>
      </c>
      <c r="F261" t="s">
        <v>5023</v>
      </c>
      <c r="G261" t="s">
        <v>74</v>
      </c>
      <c r="H261" t="s">
        <v>74</v>
      </c>
      <c r="I261" t="s">
        <v>5024</v>
      </c>
      <c r="J261" t="s">
        <v>1359</v>
      </c>
      <c r="K261" t="s">
        <v>74</v>
      </c>
      <c r="L261" t="s">
        <v>74</v>
      </c>
      <c r="M261" t="s">
        <v>78</v>
      </c>
      <c r="N261" t="s">
        <v>79</v>
      </c>
      <c r="O261" t="s">
        <v>74</v>
      </c>
      <c r="P261" t="s">
        <v>74</v>
      </c>
      <c r="Q261" t="s">
        <v>74</v>
      </c>
      <c r="R261" t="s">
        <v>74</v>
      </c>
      <c r="S261" t="s">
        <v>74</v>
      </c>
      <c r="T261" t="s">
        <v>5025</v>
      </c>
      <c r="U261" t="s">
        <v>5026</v>
      </c>
      <c r="V261" t="s">
        <v>5027</v>
      </c>
      <c r="W261" t="s">
        <v>5028</v>
      </c>
      <c r="X261" t="s">
        <v>5029</v>
      </c>
      <c r="Y261" t="s">
        <v>5030</v>
      </c>
      <c r="Z261" t="s">
        <v>5031</v>
      </c>
      <c r="AA261" t="s">
        <v>74</v>
      </c>
      <c r="AB261" t="s">
        <v>74</v>
      </c>
      <c r="AC261" t="s">
        <v>5032</v>
      </c>
      <c r="AD261" t="s">
        <v>5033</v>
      </c>
      <c r="AE261" t="s">
        <v>5034</v>
      </c>
      <c r="AF261" t="s">
        <v>74</v>
      </c>
      <c r="AG261">
        <v>44</v>
      </c>
      <c r="AH261">
        <v>15</v>
      </c>
      <c r="AI261">
        <v>21</v>
      </c>
      <c r="AJ261">
        <v>0</v>
      </c>
      <c r="AK261">
        <v>19</v>
      </c>
      <c r="AL261" t="s">
        <v>270</v>
      </c>
      <c r="AM261" t="s">
        <v>91</v>
      </c>
      <c r="AN261" t="s">
        <v>320</v>
      </c>
      <c r="AO261" t="s">
        <v>1372</v>
      </c>
      <c r="AP261" t="s">
        <v>1373</v>
      </c>
      <c r="AQ261" t="s">
        <v>74</v>
      </c>
      <c r="AR261" t="s">
        <v>1374</v>
      </c>
      <c r="AS261" t="s">
        <v>1375</v>
      </c>
      <c r="AT261" t="s">
        <v>3935</v>
      </c>
      <c r="AU261">
        <v>2011</v>
      </c>
      <c r="AV261">
        <v>34</v>
      </c>
      <c r="AW261">
        <v>1</v>
      </c>
      <c r="AX261" t="s">
        <v>74</v>
      </c>
      <c r="AY261" t="s">
        <v>74</v>
      </c>
      <c r="AZ261" t="s">
        <v>74</v>
      </c>
      <c r="BA261" t="s">
        <v>74</v>
      </c>
      <c r="BB261">
        <v>1</v>
      </c>
      <c r="BC261">
        <v>12</v>
      </c>
      <c r="BD261" t="s">
        <v>74</v>
      </c>
      <c r="BE261" t="s">
        <v>5035</v>
      </c>
      <c r="BF261" t="str">
        <f>HYPERLINK("http://dx.doi.org/10.1007/s00300-010-0850-8","http://dx.doi.org/10.1007/s00300-010-0850-8")</f>
        <v>http://dx.doi.org/10.1007/s00300-010-0850-8</v>
      </c>
      <c r="BG261" t="s">
        <v>74</v>
      </c>
      <c r="BH261" t="s">
        <v>74</v>
      </c>
      <c r="BI261">
        <v>12</v>
      </c>
      <c r="BJ261" t="s">
        <v>943</v>
      </c>
      <c r="BK261" t="s">
        <v>100</v>
      </c>
      <c r="BL261" t="s">
        <v>870</v>
      </c>
      <c r="BM261" t="s">
        <v>5036</v>
      </c>
      <c r="BN261" t="s">
        <v>74</v>
      </c>
      <c r="BO261" t="s">
        <v>5037</v>
      </c>
      <c r="BP261" t="s">
        <v>74</v>
      </c>
      <c r="BQ261" t="s">
        <v>74</v>
      </c>
      <c r="BR261" t="s">
        <v>103</v>
      </c>
      <c r="BS261" t="s">
        <v>5038</v>
      </c>
      <c r="BT261" t="str">
        <f>HYPERLINK("https%3A%2F%2Fwww.webofscience.com%2Fwos%2Fwoscc%2Ffull-record%2FWOS:000286471600001","View Full Record in Web of Science")</f>
        <v>View Full Record in Web of Science</v>
      </c>
    </row>
    <row r="262" spans="1:72" x14ac:dyDescent="0.15">
      <c r="A262" t="s">
        <v>72</v>
      </c>
      <c r="B262" t="s">
        <v>5039</v>
      </c>
      <c r="C262" t="s">
        <v>74</v>
      </c>
      <c r="D262" t="s">
        <v>74</v>
      </c>
      <c r="E262" t="s">
        <v>74</v>
      </c>
      <c r="F262" t="s">
        <v>5040</v>
      </c>
      <c r="G262" t="s">
        <v>74</v>
      </c>
      <c r="H262" t="s">
        <v>74</v>
      </c>
      <c r="I262" t="s">
        <v>5041</v>
      </c>
      <c r="J262" t="s">
        <v>1359</v>
      </c>
      <c r="K262" t="s">
        <v>74</v>
      </c>
      <c r="L262" t="s">
        <v>74</v>
      </c>
      <c r="M262" t="s">
        <v>78</v>
      </c>
      <c r="N262" t="s">
        <v>79</v>
      </c>
      <c r="O262" t="s">
        <v>74</v>
      </c>
      <c r="P262" t="s">
        <v>74</v>
      </c>
      <c r="Q262" t="s">
        <v>74</v>
      </c>
      <c r="R262" t="s">
        <v>74</v>
      </c>
      <c r="S262" t="s">
        <v>74</v>
      </c>
      <c r="T262" t="s">
        <v>5042</v>
      </c>
      <c r="U262" t="s">
        <v>5043</v>
      </c>
      <c r="V262" t="s">
        <v>5044</v>
      </c>
      <c r="W262" t="s">
        <v>5045</v>
      </c>
      <c r="X262" t="s">
        <v>5046</v>
      </c>
      <c r="Y262" t="s">
        <v>5047</v>
      </c>
      <c r="Z262" t="s">
        <v>5048</v>
      </c>
      <c r="AA262" t="s">
        <v>5049</v>
      </c>
      <c r="AB262" t="s">
        <v>5050</v>
      </c>
      <c r="AC262" t="s">
        <v>5051</v>
      </c>
      <c r="AD262" t="s">
        <v>5052</v>
      </c>
      <c r="AE262" t="s">
        <v>5053</v>
      </c>
      <c r="AF262" t="s">
        <v>74</v>
      </c>
      <c r="AG262">
        <v>46</v>
      </c>
      <c r="AH262">
        <v>39</v>
      </c>
      <c r="AI262">
        <v>40</v>
      </c>
      <c r="AJ262">
        <v>2</v>
      </c>
      <c r="AK262">
        <v>19</v>
      </c>
      <c r="AL262" t="s">
        <v>270</v>
      </c>
      <c r="AM262" t="s">
        <v>91</v>
      </c>
      <c r="AN262" t="s">
        <v>296</v>
      </c>
      <c r="AO262" t="s">
        <v>1372</v>
      </c>
      <c r="AP262" t="s">
        <v>1373</v>
      </c>
      <c r="AQ262" t="s">
        <v>74</v>
      </c>
      <c r="AR262" t="s">
        <v>1374</v>
      </c>
      <c r="AS262" t="s">
        <v>1375</v>
      </c>
      <c r="AT262" t="s">
        <v>3935</v>
      </c>
      <c r="AU262">
        <v>2011</v>
      </c>
      <c r="AV262">
        <v>34</v>
      </c>
      <c r="AW262">
        <v>1</v>
      </c>
      <c r="AX262" t="s">
        <v>74</v>
      </c>
      <c r="AY262" t="s">
        <v>74</v>
      </c>
      <c r="AZ262" t="s">
        <v>74</v>
      </c>
      <c r="BA262" t="s">
        <v>74</v>
      </c>
      <c r="BB262">
        <v>13</v>
      </c>
      <c r="BC262">
        <v>22</v>
      </c>
      <c r="BD262" t="s">
        <v>74</v>
      </c>
      <c r="BE262" t="s">
        <v>5054</v>
      </c>
      <c r="BF262" t="str">
        <f>HYPERLINK("http://dx.doi.org/10.1007/s00300-010-0851-7","http://dx.doi.org/10.1007/s00300-010-0851-7")</f>
        <v>http://dx.doi.org/10.1007/s00300-010-0851-7</v>
      </c>
      <c r="BG262" t="s">
        <v>74</v>
      </c>
      <c r="BH262" t="s">
        <v>74</v>
      </c>
      <c r="BI262">
        <v>10</v>
      </c>
      <c r="BJ262" t="s">
        <v>943</v>
      </c>
      <c r="BK262" t="s">
        <v>100</v>
      </c>
      <c r="BL262" t="s">
        <v>870</v>
      </c>
      <c r="BM262" t="s">
        <v>5036</v>
      </c>
      <c r="BN262" t="s">
        <v>74</v>
      </c>
      <c r="BO262" t="s">
        <v>74</v>
      </c>
      <c r="BP262" t="s">
        <v>74</v>
      </c>
      <c r="BQ262" t="s">
        <v>74</v>
      </c>
      <c r="BR262" t="s">
        <v>103</v>
      </c>
      <c r="BS262" t="s">
        <v>5055</v>
      </c>
      <c r="BT262" t="str">
        <f>HYPERLINK("https%3A%2F%2Fwww.webofscience.com%2Fwos%2Fwoscc%2Ffull-record%2FWOS:000286471600002","View Full Record in Web of Science")</f>
        <v>View Full Record in Web of Science</v>
      </c>
    </row>
    <row r="263" spans="1:72" x14ac:dyDescent="0.15">
      <c r="A263" t="s">
        <v>72</v>
      </c>
      <c r="B263" t="s">
        <v>5056</v>
      </c>
      <c r="C263" t="s">
        <v>74</v>
      </c>
      <c r="D263" t="s">
        <v>74</v>
      </c>
      <c r="E263" t="s">
        <v>74</v>
      </c>
      <c r="F263" t="s">
        <v>5057</v>
      </c>
      <c r="G263" t="s">
        <v>74</v>
      </c>
      <c r="H263" t="s">
        <v>74</v>
      </c>
      <c r="I263" t="s">
        <v>5058</v>
      </c>
      <c r="J263" t="s">
        <v>1359</v>
      </c>
      <c r="K263" t="s">
        <v>74</v>
      </c>
      <c r="L263" t="s">
        <v>74</v>
      </c>
      <c r="M263" t="s">
        <v>78</v>
      </c>
      <c r="N263" t="s">
        <v>79</v>
      </c>
      <c r="O263" t="s">
        <v>74</v>
      </c>
      <c r="P263" t="s">
        <v>74</v>
      </c>
      <c r="Q263" t="s">
        <v>74</v>
      </c>
      <c r="R263" t="s">
        <v>74</v>
      </c>
      <c r="S263" t="s">
        <v>74</v>
      </c>
      <c r="T263" t="s">
        <v>5059</v>
      </c>
      <c r="U263" t="s">
        <v>5060</v>
      </c>
      <c r="V263" t="s">
        <v>5061</v>
      </c>
      <c r="W263" t="s">
        <v>5062</v>
      </c>
      <c r="X263" t="s">
        <v>5063</v>
      </c>
      <c r="Y263" t="s">
        <v>5064</v>
      </c>
      <c r="Z263" t="s">
        <v>5065</v>
      </c>
      <c r="AA263" t="s">
        <v>74</v>
      </c>
      <c r="AB263" t="s">
        <v>74</v>
      </c>
      <c r="AC263" t="s">
        <v>5066</v>
      </c>
      <c r="AD263" t="s">
        <v>5067</v>
      </c>
      <c r="AE263" t="s">
        <v>5068</v>
      </c>
      <c r="AF263" t="s">
        <v>74</v>
      </c>
      <c r="AG263">
        <v>42</v>
      </c>
      <c r="AH263">
        <v>9</v>
      </c>
      <c r="AI263">
        <v>12</v>
      </c>
      <c r="AJ263">
        <v>0</v>
      </c>
      <c r="AK263">
        <v>12</v>
      </c>
      <c r="AL263" t="s">
        <v>270</v>
      </c>
      <c r="AM263" t="s">
        <v>91</v>
      </c>
      <c r="AN263" t="s">
        <v>296</v>
      </c>
      <c r="AO263" t="s">
        <v>1372</v>
      </c>
      <c r="AP263" t="s">
        <v>1373</v>
      </c>
      <c r="AQ263" t="s">
        <v>74</v>
      </c>
      <c r="AR263" t="s">
        <v>1374</v>
      </c>
      <c r="AS263" t="s">
        <v>1375</v>
      </c>
      <c r="AT263" t="s">
        <v>3935</v>
      </c>
      <c r="AU263">
        <v>2011</v>
      </c>
      <c r="AV263">
        <v>34</v>
      </c>
      <c r="AW263">
        <v>1</v>
      </c>
      <c r="AX263" t="s">
        <v>74</v>
      </c>
      <c r="AY263" t="s">
        <v>74</v>
      </c>
      <c r="AZ263" t="s">
        <v>74</v>
      </c>
      <c r="BA263" t="s">
        <v>74</v>
      </c>
      <c r="BB263">
        <v>113</v>
      </c>
      <c r="BC263">
        <v>118</v>
      </c>
      <c r="BD263" t="s">
        <v>74</v>
      </c>
      <c r="BE263" t="s">
        <v>5069</v>
      </c>
      <c r="BF263" t="str">
        <f>HYPERLINK("http://dx.doi.org/10.1007/s00300-010-0864-2","http://dx.doi.org/10.1007/s00300-010-0864-2")</f>
        <v>http://dx.doi.org/10.1007/s00300-010-0864-2</v>
      </c>
      <c r="BG263" t="s">
        <v>74</v>
      </c>
      <c r="BH263" t="s">
        <v>74</v>
      </c>
      <c r="BI263">
        <v>6</v>
      </c>
      <c r="BJ263" t="s">
        <v>943</v>
      </c>
      <c r="BK263" t="s">
        <v>100</v>
      </c>
      <c r="BL263" t="s">
        <v>870</v>
      </c>
      <c r="BM263" t="s">
        <v>5036</v>
      </c>
      <c r="BN263" t="s">
        <v>74</v>
      </c>
      <c r="BO263" t="s">
        <v>74</v>
      </c>
      <c r="BP263" t="s">
        <v>74</v>
      </c>
      <c r="BQ263" t="s">
        <v>74</v>
      </c>
      <c r="BR263" t="s">
        <v>103</v>
      </c>
      <c r="BS263" t="s">
        <v>5070</v>
      </c>
      <c r="BT263" t="str">
        <f>HYPERLINK("https%3A%2F%2Fwww.webofscience.com%2Fwos%2Fwoscc%2Ffull-record%2FWOS:000286471600011","View Full Record in Web of Science")</f>
        <v>View Full Record in Web of Science</v>
      </c>
    </row>
    <row r="264" spans="1:72" x14ac:dyDescent="0.15">
      <c r="A264" t="s">
        <v>72</v>
      </c>
      <c r="B264" t="s">
        <v>5071</v>
      </c>
      <c r="C264" t="s">
        <v>74</v>
      </c>
      <c r="D264" t="s">
        <v>74</v>
      </c>
      <c r="E264" t="s">
        <v>74</v>
      </c>
      <c r="F264" t="s">
        <v>5072</v>
      </c>
      <c r="G264" t="s">
        <v>74</v>
      </c>
      <c r="H264" t="s">
        <v>74</v>
      </c>
      <c r="I264" t="s">
        <v>5073</v>
      </c>
      <c r="J264" t="s">
        <v>1359</v>
      </c>
      <c r="K264" t="s">
        <v>74</v>
      </c>
      <c r="L264" t="s">
        <v>74</v>
      </c>
      <c r="M264" t="s">
        <v>78</v>
      </c>
      <c r="N264" t="s">
        <v>79</v>
      </c>
      <c r="O264" t="s">
        <v>74</v>
      </c>
      <c r="P264" t="s">
        <v>74</v>
      </c>
      <c r="Q264" t="s">
        <v>74</v>
      </c>
      <c r="R264" t="s">
        <v>74</v>
      </c>
      <c r="S264" t="s">
        <v>74</v>
      </c>
      <c r="T264" t="s">
        <v>5074</v>
      </c>
      <c r="U264" t="s">
        <v>5075</v>
      </c>
      <c r="V264" t="s">
        <v>5076</v>
      </c>
      <c r="W264" t="s">
        <v>5077</v>
      </c>
      <c r="X264" t="s">
        <v>5078</v>
      </c>
      <c r="Y264" t="s">
        <v>5079</v>
      </c>
      <c r="Z264" t="s">
        <v>5080</v>
      </c>
      <c r="AA264" t="s">
        <v>5081</v>
      </c>
      <c r="AB264" t="s">
        <v>5082</v>
      </c>
      <c r="AC264" t="s">
        <v>5083</v>
      </c>
      <c r="AD264" t="s">
        <v>5083</v>
      </c>
      <c r="AE264" t="s">
        <v>5084</v>
      </c>
      <c r="AF264" t="s">
        <v>74</v>
      </c>
      <c r="AG264">
        <v>50</v>
      </c>
      <c r="AH264">
        <v>7</v>
      </c>
      <c r="AI264">
        <v>7</v>
      </c>
      <c r="AJ264">
        <v>0</v>
      </c>
      <c r="AK264">
        <v>12</v>
      </c>
      <c r="AL264" t="s">
        <v>270</v>
      </c>
      <c r="AM264" t="s">
        <v>91</v>
      </c>
      <c r="AN264" t="s">
        <v>320</v>
      </c>
      <c r="AO264" t="s">
        <v>1372</v>
      </c>
      <c r="AP264" t="s">
        <v>74</v>
      </c>
      <c r="AQ264" t="s">
        <v>74</v>
      </c>
      <c r="AR264" t="s">
        <v>1374</v>
      </c>
      <c r="AS264" t="s">
        <v>1375</v>
      </c>
      <c r="AT264" t="s">
        <v>3935</v>
      </c>
      <c r="AU264">
        <v>2011</v>
      </c>
      <c r="AV264">
        <v>34</v>
      </c>
      <c r="AW264">
        <v>1</v>
      </c>
      <c r="AX264" t="s">
        <v>74</v>
      </c>
      <c r="AY264" t="s">
        <v>74</v>
      </c>
      <c r="AZ264" t="s">
        <v>74</v>
      </c>
      <c r="BA264" t="s">
        <v>74</v>
      </c>
      <c r="BB264">
        <v>127</v>
      </c>
      <c r="BC264">
        <v>137</v>
      </c>
      <c r="BD264" t="s">
        <v>74</v>
      </c>
      <c r="BE264" t="s">
        <v>5085</v>
      </c>
      <c r="BF264" t="str">
        <f>HYPERLINK("http://dx.doi.org/10.1007/s00300-010-0866-0","http://dx.doi.org/10.1007/s00300-010-0866-0")</f>
        <v>http://dx.doi.org/10.1007/s00300-010-0866-0</v>
      </c>
      <c r="BG264" t="s">
        <v>74</v>
      </c>
      <c r="BH264" t="s">
        <v>74</v>
      </c>
      <c r="BI264">
        <v>11</v>
      </c>
      <c r="BJ264" t="s">
        <v>943</v>
      </c>
      <c r="BK264" t="s">
        <v>100</v>
      </c>
      <c r="BL264" t="s">
        <v>870</v>
      </c>
      <c r="BM264" t="s">
        <v>5036</v>
      </c>
      <c r="BN264" t="s">
        <v>74</v>
      </c>
      <c r="BO264" t="s">
        <v>74</v>
      </c>
      <c r="BP264" t="s">
        <v>74</v>
      </c>
      <c r="BQ264" t="s">
        <v>74</v>
      </c>
      <c r="BR264" t="s">
        <v>103</v>
      </c>
      <c r="BS264" t="s">
        <v>5086</v>
      </c>
      <c r="BT264" t="str">
        <f>HYPERLINK("https%3A%2F%2Fwww.webofscience.com%2Fwos%2Fwoscc%2Ffull-record%2FWOS:000286471600013","View Full Record in Web of Science")</f>
        <v>View Full Record in Web of Science</v>
      </c>
    </row>
    <row r="265" spans="1:72" x14ac:dyDescent="0.15">
      <c r="A265" t="s">
        <v>72</v>
      </c>
      <c r="B265" t="s">
        <v>5087</v>
      </c>
      <c r="C265" t="s">
        <v>74</v>
      </c>
      <c r="D265" t="s">
        <v>74</v>
      </c>
      <c r="E265" t="s">
        <v>74</v>
      </c>
      <c r="F265" t="s">
        <v>5088</v>
      </c>
      <c r="G265" t="s">
        <v>74</v>
      </c>
      <c r="H265" t="s">
        <v>74</v>
      </c>
      <c r="I265" t="s">
        <v>5089</v>
      </c>
      <c r="J265" t="s">
        <v>5090</v>
      </c>
      <c r="K265" t="s">
        <v>74</v>
      </c>
      <c r="L265" t="s">
        <v>74</v>
      </c>
      <c r="M265" t="s">
        <v>78</v>
      </c>
      <c r="N265" t="s">
        <v>79</v>
      </c>
      <c r="O265" t="s">
        <v>74</v>
      </c>
      <c r="P265" t="s">
        <v>74</v>
      </c>
      <c r="Q265" t="s">
        <v>74</v>
      </c>
      <c r="R265" t="s">
        <v>74</v>
      </c>
      <c r="S265" t="s">
        <v>74</v>
      </c>
      <c r="T265" t="s">
        <v>5091</v>
      </c>
      <c r="U265" t="s">
        <v>5092</v>
      </c>
      <c r="V265" t="s">
        <v>5093</v>
      </c>
      <c r="W265" t="s">
        <v>5094</v>
      </c>
      <c r="X265" t="s">
        <v>5095</v>
      </c>
      <c r="Y265" t="s">
        <v>5096</v>
      </c>
      <c r="Z265" t="s">
        <v>5097</v>
      </c>
      <c r="AA265" t="s">
        <v>74</v>
      </c>
      <c r="AB265" t="s">
        <v>74</v>
      </c>
      <c r="AC265" t="s">
        <v>5098</v>
      </c>
      <c r="AD265" t="s">
        <v>5099</v>
      </c>
      <c r="AE265" t="s">
        <v>5100</v>
      </c>
      <c r="AF265" t="s">
        <v>74</v>
      </c>
      <c r="AG265">
        <v>49</v>
      </c>
      <c r="AH265">
        <v>14</v>
      </c>
      <c r="AI265">
        <v>15</v>
      </c>
      <c r="AJ265">
        <v>0</v>
      </c>
      <c r="AK265">
        <v>14</v>
      </c>
      <c r="AL265" t="s">
        <v>270</v>
      </c>
      <c r="AM265" t="s">
        <v>91</v>
      </c>
      <c r="AN265" t="s">
        <v>320</v>
      </c>
      <c r="AO265" t="s">
        <v>5101</v>
      </c>
      <c r="AP265" t="s">
        <v>5102</v>
      </c>
      <c r="AQ265" t="s">
        <v>74</v>
      </c>
      <c r="AR265" t="s">
        <v>5103</v>
      </c>
      <c r="AS265" t="s">
        <v>5104</v>
      </c>
      <c r="AT265" t="s">
        <v>3935</v>
      </c>
      <c r="AU265">
        <v>2011</v>
      </c>
      <c r="AV265">
        <v>62</v>
      </c>
      <c r="AW265">
        <v>2</v>
      </c>
      <c r="AX265" t="s">
        <v>74</v>
      </c>
      <c r="AY265" t="s">
        <v>74</v>
      </c>
      <c r="AZ265" t="s">
        <v>74</v>
      </c>
      <c r="BA265" t="s">
        <v>74</v>
      </c>
      <c r="BB265">
        <v>289</v>
      </c>
      <c r="BC265">
        <v>297</v>
      </c>
      <c r="BD265" t="s">
        <v>74</v>
      </c>
      <c r="BE265" t="s">
        <v>5105</v>
      </c>
      <c r="BF265" t="str">
        <f>HYPERLINK("http://dx.doi.org/10.1007/s12665-010-0522-6","http://dx.doi.org/10.1007/s12665-010-0522-6")</f>
        <v>http://dx.doi.org/10.1007/s12665-010-0522-6</v>
      </c>
      <c r="BG265" t="s">
        <v>74</v>
      </c>
      <c r="BH265" t="s">
        <v>74</v>
      </c>
      <c r="BI265">
        <v>9</v>
      </c>
      <c r="BJ265" t="s">
        <v>5106</v>
      </c>
      <c r="BK265" t="s">
        <v>100</v>
      </c>
      <c r="BL265" t="s">
        <v>5107</v>
      </c>
      <c r="BM265" t="s">
        <v>5108</v>
      </c>
      <c r="BN265" t="s">
        <v>74</v>
      </c>
      <c r="BO265" t="s">
        <v>74</v>
      </c>
      <c r="BP265" t="s">
        <v>74</v>
      </c>
      <c r="BQ265" t="s">
        <v>74</v>
      </c>
      <c r="BR265" t="s">
        <v>103</v>
      </c>
      <c r="BS265" t="s">
        <v>5109</v>
      </c>
      <c r="BT265" t="str">
        <f>HYPERLINK("https%3A%2F%2Fwww.webofscience.com%2Fwos%2Fwoscc%2Ffull-record%2FWOS:000285877900007","View Full Record in Web of Science")</f>
        <v>View Full Record in Web of Science</v>
      </c>
    </row>
    <row r="266" spans="1:72" x14ac:dyDescent="0.15">
      <c r="A266" t="s">
        <v>72</v>
      </c>
      <c r="B266" t="s">
        <v>5110</v>
      </c>
      <c r="C266" t="s">
        <v>74</v>
      </c>
      <c r="D266" t="s">
        <v>74</v>
      </c>
      <c r="E266" t="s">
        <v>74</v>
      </c>
      <c r="F266" t="s">
        <v>5111</v>
      </c>
      <c r="G266" t="s">
        <v>74</v>
      </c>
      <c r="H266" t="s">
        <v>74</v>
      </c>
      <c r="I266" t="s">
        <v>5112</v>
      </c>
      <c r="J266" t="s">
        <v>5113</v>
      </c>
      <c r="K266" t="s">
        <v>74</v>
      </c>
      <c r="L266" t="s">
        <v>74</v>
      </c>
      <c r="M266" t="s">
        <v>78</v>
      </c>
      <c r="N266" t="s">
        <v>79</v>
      </c>
      <c r="O266" t="s">
        <v>74</v>
      </c>
      <c r="P266" t="s">
        <v>74</v>
      </c>
      <c r="Q266" t="s">
        <v>74</v>
      </c>
      <c r="R266" t="s">
        <v>74</v>
      </c>
      <c r="S266" t="s">
        <v>74</v>
      </c>
      <c r="T266" t="s">
        <v>74</v>
      </c>
      <c r="U266" t="s">
        <v>5114</v>
      </c>
      <c r="V266" t="s">
        <v>5115</v>
      </c>
      <c r="W266" t="s">
        <v>5116</v>
      </c>
      <c r="X266" t="s">
        <v>5117</v>
      </c>
      <c r="Y266" t="s">
        <v>5118</v>
      </c>
      <c r="Z266" t="s">
        <v>5119</v>
      </c>
      <c r="AA266" t="s">
        <v>5120</v>
      </c>
      <c r="AB266" t="s">
        <v>5121</v>
      </c>
      <c r="AC266" t="s">
        <v>5122</v>
      </c>
      <c r="AD266" t="s">
        <v>5123</v>
      </c>
      <c r="AE266" t="s">
        <v>5124</v>
      </c>
      <c r="AF266" t="s">
        <v>74</v>
      </c>
      <c r="AG266">
        <v>83</v>
      </c>
      <c r="AH266">
        <v>8</v>
      </c>
      <c r="AI266">
        <v>8</v>
      </c>
      <c r="AJ266">
        <v>0</v>
      </c>
      <c r="AK266">
        <v>14</v>
      </c>
      <c r="AL266" t="s">
        <v>5125</v>
      </c>
      <c r="AM266" t="s">
        <v>496</v>
      </c>
      <c r="AN266" t="s">
        <v>5126</v>
      </c>
      <c r="AO266" t="s">
        <v>5127</v>
      </c>
      <c r="AP266" t="s">
        <v>5128</v>
      </c>
      <c r="AQ266" t="s">
        <v>74</v>
      </c>
      <c r="AR266" t="s">
        <v>5129</v>
      </c>
      <c r="AS266" t="s">
        <v>5130</v>
      </c>
      <c r="AT266" t="s">
        <v>3935</v>
      </c>
      <c r="AU266">
        <v>2011</v>
      </c>
      <c r="AV266">
        <v>123</v>
      </c>
      <c r="AW266" t="s">
        <v>2089</v>
      </c>
      <c r="AX266" t="s">
        <v>74</v>
      </c>
      <c r="AY266" t="s">
        <v>74</v>
      </c>
      <c r="AZ266" t="s">
        <v>74</v>
      </c>
      <c r="BA266" t="s">
        <v>74</v>
      </c>
      <c r="BB266">
        <v>255</v>
      </c>
      <c r="BC266">
        <v>273</v>
      </c>
      <c r="BD266" t="s">
        <v>74</v>
      </c>
      <c r="BE266" t="s">
        <v>5131</v>
      </c>
      <c r="BF266" t="str">
        <f>HYPERLINK("http://dx.doi.org/10.1130/B30082.1","http://dx.doi.org/10.1130/B30082.1")</f>
        <v>http://dx.doi.org/10.1130/B30082.1</v>
      </c>
      <c r="BG266" t="s">
        <v>74</v>
      </c>
      <c r="BH266" t="s">
        <v>74</v>
      </c>
      <c r="BI266">
        <v>19</v>
      </c>
      <c r="BJ266" t="s">
        <v>396</v>
      </c>
      <c r="BK266" t="s">
        <v>100</v>
      </c>
      <c r="BL266" t="s">
        <v>397</v>
      </c>
      <c r="BM266" t="s">
        <v>5132</v>
      </c>
      <c r="BN266" t="s">
        <v>74</v>
      </c>
      <c r="BO266" t="s">
        <v>74</v>
      </c>
      <c r="BP266" t="s">
        <v>74</v>
      </c>
      <c r="BQ266" t="s">
        <v>74</v>
      </c>
      <c r="BR266" t="s">
        <v>103</v>
      </c>
      <c r="BS266" t="s">
        <v>5133</v>
      </c>
      <c r="BT266" t="str">
        <f>HYPERLINK("https%3A%2F%2Fwww.webofscience.com%2Fwos%2Fwoscc%2Ffull-record%2FWOS:000285696100016","View Full Record in Web of Science")</f>
        <v>View Full Record in Web of Science</v>
      </c>
    </row>
    <row r="267" spans="1:72" x14ac:dyDescent="0.15">
      <c r="A267" t="s">
        <v>72</v>
      </c>
      <c r="B267" t="s">
        <v>5134</v>
      </c>
      <c r="C267" t="s">
        <v>74</v>
      </c>
      <c r="D267" t="s">
        <v>74</v>
      </c>
      <c r="E267" t="s">
        <v>74</v>
      </c>
      <c r="F267" t="s">
        <v>5135</v>
      </c>
      <c r="G267" t="s">
        <v>74</v>
      </c>
      <c r="H267" t="s">
        <v>74</v>
      </c>
      <c r="I267" t="s">
        <v>5136</v>
      </c>
      <c r="J267" t="s">
        <v>5137</v>
      </c>
      <c r="K267" t="s">
        <v>74</v>
      </c>
      <c r="L267" t="s">
        <v>74</v>
      </c>
      <c r="M267" t="s">
        <v>78</v>
      </c>
      <c r="N267" t="s">
        <v>79</v>
      </c>
      <c r="O267" t="s">
        <v>74</v>
      </c>
      <c r="P267" t="s">
        <v>74</v>
      </c>
      <c r="Q267" t="s">
        <v>74</v>
      </c>
      <c r="R267" t="s">
        <v>74</v>
      </c>
      <c r="S267" t="s">
        <v>74</v>
      </c>
      <c r="T267" t="s">
        <v>5138</v>
      </c>
      <c r="U267" t="s">
        <v>5139</v>
      </c>
      <c r="V267" t="s">
        <v>5140</v>
      </c>
      <c r="W267" t="s">
        <v>5141</v>
      </c>
      <c r="X267" t="s">
        <v>5142</v>
      </c>
      <c r="Y267" t="s">
        <v>5143</v>
      </c>
      <c r="Z267" t="s">
        <v>5144</v>
      </c>
      <c r="AA267" t="s">
        <v>5145</v>
      </c>
      <c r="AB267" t="s">
        <v>5146</v>
      </c>
      <c r="AC267" t="s">
        <v>5147</v>
      </c>
      <c r="AD267" t="s">
        <v>5148</v>
      </c>
      <c r="AE267" t="s">
        <v>5149</v>
      </c>
      <c r="AF267" t="s">
        <v>74</v>
      </c>
      <c r="AG267">
        <v>53</v>
      </c>
      <c r="AH267">
        <v>27</v>
      </c>
      <c r="AI267">
        <v>31</v>
      </c>
      <c r="AJ267">
        <v>0</v>
      </c>
      <c r="AK267">
        <v>15</v>
      </c>
      <c r="AL267" t="s">
        <v>767</v>
      </c>
      <c r="AM267" t="s">
        <v>640</v>
      </c>
      <c r="AN267" t="s">
        <v>768</v>
      </c>
      <c r="AO267" t="s">
        <v>5150</v>
      </c>
      <c r="AP267" t="s">
        <v>5151</v>
      </c>
      <c r="AQ267" t="s">
        <v>74</v>
      </c>
      <c r="AR267" t="s">
        <v>5152</v>
      </c>
      <c r="AS267" t="s">
        <v>5153</v>
      </c>
      <c r="AT267" t="s">
        <v>3935</v>
      </c>
      <c r="AU267">
        <v>2011</v>
      </c>
      <c r="AV267">
        <v>65</v>
      </c>
      <c r="AW267">
        <v>1</v>
      </c>
      <c r="AX267" t="s">
        <v>74</v>
      </c>
      <c r="AY267" t="s">
        <v>74</v>
      </c>
      <c r="AZ267" t="s">
        <v>74</v>
      </c>
      <c r="BA267" t="s">
        <v>74</v>
      </c>
      <c r="BB267">
        <v>94</v>
      </c>
      <c r="BC267">
        <v>102</v>
      </c>
      <c r="BD267" t="s">
        <v>74</v>
      </c>
      <c r="BE267" t="s">
        <v>5154</v>
      </c>
      <c r="BF267" t="str">
        <f>HYPERLINK("http://dx.doi.org/10.1016/j.seares.2010.07.005","http://dx.doi.org/10.1016/j.seares.2010.07.005")</f>
        <v>http://dx.doi.org/10.1016/j.seares.2010.07.005</v>
      </c>
      <c r="BG267" t="s">
        <v>74</v>
      </c>
      <c r="BH267" t="s">
        <v>74</v>
      </c>
      <c r="BI267">
        <v>9</v>
      </c>
      <c r="BJ267" t="s">
        <v>3751</v>
      </c>
      <c r="BK267" t="s">
        <v>100</v>
      </c>
      <c r="BL267" t="s">
        <v>3751</v>
      </c>
      <c r="BM267" t="s">
        <v>5155</v>
      </c>
      <c r="BN267" t="s">
        <v>74</v>
      </c>
      <c r="BO267" t="s">
        <v>74</v>
      </c>
      <c r="BP267" t="s">
        <v>74</v>
      </c>
      <c r="BQ267" t="s">
        <v>74</v>
      </c>
      <c r="BR267" t="s">
        <v>103</v>
      </c>
      <c r="BS267" t="s">
        <v>5156</v>
      </c>
      <c r="BT267" t="str">
        <f>HYPERLINK("https%3A%2F%2Fwww.webofscience.com%2Fwos%2Fwoscc%2Ffull-record%2FWOS:000287281700011","View Full Record in Web of Science")</f>
        <v>View Full Record in Web of Science</v>
      </c>
    </row>
    <row r="268" spans="1:72" x14ac:dyDescent="0.15">
      <c r="A268" t="s">
        <v>72</v>
      </c>
      <c r="B268" t="s">
        <v>5157</v>
      </c>
      <c r="C268" t="s">
        <v>74</v>
      </c>
      <c r="D268" t="s">
        <v>74</v>
      </c>
      <c r="E268" t="s">
        <v>74</v>
      </c>
      <c r="F268" t="s">
        <v>5158</v>
      </c>
      <c r="G268" t="s">
        <v>74</v>
      </c>
      <c r="H268" t="s">
        <v>74</v>
      </c>
      <c r="I268" t="s">
        <v>5159</v>
      </c>
      <c r="J268" t="s">
        <v>5160</v>
      </c>
      <c r="K268" t="s">
        <v>74</v>
      </c>
      <c r="L268" t="s">
        <v>74</v>
      </c>
      <c r="M268" t="s">
        <v>78</v>
      </c>
      <c r="N268" t="s">
        <v>79</v>
      </c>
      <c r="O268" t="s">
        <v>74</v>
      </c>
      <c r="P268" t="s">
        <v>74</v>
      </c>
      <c r="Q268" t="s">
        <v>74</v>
      </c>
      <c r="R268" t="s">
        <v>74</v>
      </c>
      <c r="S268" t="s">
        <v>74</v>
      </c>
      <c r="T268" t="s">
        <v>5161</v>
      </c>
      <c r="U268" t="s">
        <v>74</v>
      </c>
      <c r="V268" t="s">
        <v>5162</v>
      </c>
      <c r="W268" t="s">
        <v>5163</v>
      </c>
      <c r="X268" t="s">
        <v>5164</v>
      </c>
      <c r="Y268" t="s">
        <v>5165</v>
      </c>
      <c r="Z268" t="s">
        <v>5166</v>
      </c>
      <c r="AA268" t="s">
        <v>5167</v>
      </c>
      <c r="AB268" t="s">
        <v>5168</v>
      </c>
      <c r="AC268" t="s">
        <v>5169</v>
      </c>
      <c r="AD268" t="s">
        <v>5170</v>
      </c>
      <c r="AE268" t="s">
        <v>5171</v>
      </c>
      <c r="AF268" t="s">
        <v>74</v>
      </c>
      <c r="AG268">
        <v>15</v>
      </c>
      <c r="AH268">
        <v>4</v>
      </c>
      <c r="AI268">
        <v>5</v>
      </c>
      <c r="AJ268">
        <v>1</v>
      </c>
      <c r="AK268">
        <v>16</v>
      </c>
      <c r="AL268" t="s">
        <v>5172</v>
      </c>
      <c r="AM268" t="s">
        <v>1578</v>
      </c>
      <c r="AN268" t="s">
        <v>5173</v>
      </c>
      <c r="AO268" t="s">
        <v>5174</v>
      </c>
      <c r="AP268" t="s">
        <v>74</v>
      </c>
      <c r="AQ268" t="s">
        <v>74</v>
      </c>
      <c r="AR268" t="s">
        <v>5175</v>
      </c>
      <c r="AS268" t="s">
        <v>5176</v>
      </c>
      <c r="AT268" t="s">
        <v>3935</v>
      </c>
      <c r="AU268">
        <v>2011</v>
      </c>
      <c r="AV268">
        <v>54</v>
      </c>
      <c r="AW268">
        <v>1</v>
      </c>
      <c r="AX268" t="s">
        <v>74</v>
      </c>
      <c r="AY268" t="s">
        <v>74</v>
      </c>
      <c r="AZ268" t="s">
        <v>74</v>
      </c>
      <c r="BA268" t="s">
        <v>74</v>
      </c>
      <c r="BB268">
        <v>113</v>
      </c>
      <c r="BC268">
        <v>118</v>
      </c>
      <c r="BD268" t="s">
        <v>74</v>
      </c>
      <c r="BE268" t="s">
        <v>5177</v>
      </c>
      <c r="BF268" t="str">
        <f>HYPERLINK("http://dx.doi.org/10.1007/s11430-010-4108-7","http://dx.doi.org/10.1007/s11430-010-4108-7")</f>
        <v>http://dx.doi.org/10.1007/s11430-010-4108-7</v>
      </c>
      <c r="BG268" t="s">
        <v>74</v>
      </c>
      <c r="BH268" t="s">
        <v>74</v>
      </c>
      <c r="BI268">
        <v>6</v>
      </c>
      <c r="BJ268" t="s">
        <v>396</v>
      </c>
      <c r="BK268" t="s">
        <v>100</v>
      </c>
      <c r="BL268" t="s">
        <v>397</v>
      </c>
      <c r="BM268" t="s">
        <v>5178</v>
      </c>
      <c r="BN268" t="s">
        <v>74</v>
      </c>
      <c r="BO268" t="s">
        <v>74</v>
      </c>
      <c r="BP268" t="s">
        <v>74</v>
      </c>
      <c r="BQ268" t="s">
        <v>74</v>
      </c>
      <c r="BR268" t="s">
        <v>103</v>
      </c>
      <c r="BS268" t="s">
        <v>5179</v>
      </c>
      <c r="BT268" t="str">
        <f>HYPERLINK("https%3A%2F%2Fwww.webofscience.com%2Fwos%2Fwoscc%2Ffull-record%2FWOS:000286497900011","View Full Record in Web of Science")</f>
        <v>View Full Record in Web of Science</v>
      </c>
    </row>
    <row r="269" spans="1:72" x14ac:dyDescent="0.15">
      <c r="A269" t="s">
        <v>72</v>
      </c>
      <c r="B269" t="s">
        <v>5180</v>
      </c>
      <c r="C269" t="s">
        <v>74</v>
      </c>
      <c r="D269" t="s">
        <v>74</v>
      </c>
      <c r="E269" t="s">
        <v>74</v>
      </c>
      <c r="F269" t="s">
        <v>5181</v>
      </c>
      <c r="G269" t="s">
        <v>74</v>
      </c>
      <c r="H269" t="s">
        <v>74</v>
      </c>
      <c r="I269" t="s">
        <v>5182</v>
      </c>
      <c r="J269" t="s">
        <v>5183</v>
      </c>
      <c r="K269" t="s">
        <v>74</v>
      </c>
      <c r="L269" t="s">
        <v>74</v>
      </c>
      <c r="M269" t="s">
        <v>78</v>
      </c>
      <c r="N269" t="s">
        <v>79</v>
      </c>
      <c r="O269" t="s">
        <v>74</v>
      </c>
      <c r="P269" t="s">
        <v>74</v>
      </c>
      <c r="Q269" t="s">
        <v>74</v>
      </c>
      <c r="R269" t="s">
        <v>74</v>
      </c>
      <c r="S269" t="s">
        <v>74</v>
      </c>
      <c r="T269" t="s">
        <v>5184</v>
      </c>
      <c r="U269" t="s">
        <v>5185</v>
      </c>
      <c r="V269" t="s">
        <v>5186</v>
      </c>
      <c r="W269" t="s">
        <v>5187</v>
      </c>
      <c r="X269" t="s">
        <v>5188</v>
      </c>
      <c r="Y269" t="s">
        <v>5189</v>
      </c>
      <c r="Z269" t="s">
        <v>5190</v>
      </c>
      <c r="AA269" t="s">
        <v>74</v>
      </c>
      <c r="AB269" t="s">
        <v>5191</v>
      </c>
      <c r="AC269" t="s">
        <v>74</v>
      </c>
      <c r="AD269" t="s">
        <v>74</v>
      </c>
      <c r="AE269" t="s">
        <v>74</v>
      </c>
      <c r="AF269" t="s">
        <v>74</v>
      </c>
      <c r="AG269">
        <v>49</v>
      </c>
      <c r="AH269">
        <v>10</v>
      </c>
      <c r="AI269">
        <v>11</v>
      </c>
      <c r="AJ269">
        <v>0</v>
      </c>
      <c r="AK269">
        <v>12</v>
      </c>
      <c r="AL269" t="s">
        <v>214</v>
      </c>
      <c r="AM269" t="s">
        <v>215</v>
      </c>
      <c r="AN269" t="s">
        <v>216</v>
      </c>
      <c r="AO269" t="s">
        <v>5192</v>
      </c>
      <c r="AP269" t="s">
        <v>5193</v>
      </c>
      <c r="AQ269" t="s">
        <v>74</v>
      </c>
      <c r="AR269" t="s">
        <v>5194</v>
      </c>
      <c r="AS269" t="s">
        <v>5195</v>
      </c>
      <c r="AT269" t="s">
        <v>5196</v>
      </c>
      <c r="AU269">
        <v>2011</v>
      </c>
      <c r="AV269">
        <v>25</v>
      </c>
      <c r="AW269">
        <v>1</v>
      </c>
      <c r="AX269" t="s">
        <v>74</v>
      </c>
      <c r="AY269" t="s">
        <v>74</v>
      </c>
      <c r="AZ269" t="s">
        <v>74</v>
      </c>
      <c r="BA269" t="s">
        <v>74</v>
      </c>
      <c r="BB269">
        <v>54</v>
      </c>
      <c r="BC269">
        <v>63</v>
      </c>
      <c r="BD269" t="s">
        <v>74</v>
      </c>
      <c r="BE269" t="s">
        <v>5197</v>
      </c>
      <c r="BF269" t="str">
        <f>HYPERLINK("http://dx.doi.org/10.1002/hyp.7816","http://dx.doi.org/10.1002/hyp.7816")</f>
        <v>http://dx.doi.org/10.1002/hyp.7816</v>
      </c>
      <c r="BG269" t="s">
        <v>74</v>
      </c>
      <c r="BH269" t="s">
        <v>74</v>
      </c>
      <c r="BI269">
        <v>10</v>
      </c>
      <c r="BJ269" t="s">
        <v>5198</v>
      </c>
      <c r="BK269" t="s">
        <v>100</v>
      </c>
      <c r="BL269" t="s">
        <v>5198</v>
      </c>
      <c r="BM269" t="s">
        <v>5199</v>
      </c>
      <c r="BN269" t="s">
        <v>74</v>
      </c>
      <c r="BO269" t="s">
        <v>74</v>
      </c>
      <c r="BP269" t="s">
        <v>74</v>
      </c>
      <c r="BQ269" t="s">
        <v>74</v>
      </c>
      <c r="BR269" t="s">
        <v>103</v>
      </c>
      <c r="BS269" t="s">
        <v>5200</v>
      </c>
      <c r="BT269" t="str">
        <f>HYPERLINK("https%3A%2F%2Fwww.webofscience.com%2Fwos%2Fwoscc%2Ffull-record%2FWOS:000286282300004","View Full Record in Web of Science")</f>
        <v>View Full Record in Web of Science</v>
      </c>
    </row>
    <row r="270" spans="1:72" x14ac:dyDescent="0.15">
      <c r="A270" t="s">
        <v>72</v>
      </c>
      <c r="B270" t="s">
        <v>5201</v>
      </c>
      <c r="C270" t="s">
        <v>74</v>
      </c>
      <c r="D270" t="s">
        <v>74</v>
      </c>
      <c r="E270" t="s">
        <v>74</v>
      </c>
      <c r="F270" t="s">
        <v>5202</v>
      </c>
      <c r="G270" t="s">
        <v>74</v>
      </c>
      <c r="H270" t="s">
        <v>74</v>
      </c>
      <c r="I270" t="s">
        <v>5203</v>
      </c>
      <c r="J270" t="s">
        <v>5204</v>
      </c>
      <c r="K270" t="s">
        <v>74</v>
      </c>
      <c r="L270" t="s">
        <v>74</v>
      </c>
      <c r="M270" t="s">
        <v>78</v>
      </c>
      <c r="N270" t="s">
        <v>79</v>
      </c>
      <c r="O270" t="s">
        <v>74</v>
      </c>
      <c r="P270" t="s">
        <v>74</v>
      </c>
      <c r="Q270" t="s">
        <v>74</v>
      </c>
      <c r="R270" t="s">
        <v>74</v>
      </c>
      <c r="S270" t="s">
        <v>74</v>
      </c>
      <c r="T270" t="s">
        <v>5205</v>
      </c>
      <c r="U270" t="s">
        <v>5206</v>
      </c>
      <c r="V270" t="s">
        <v>5207</v>
      </c>
      <c r="W270" t="s">
        <v>5208</v>
      </c>
      <c r="X270" t="s">
        <v>5209</v>
      </c>
      <c r="Y270" t="s">
        <v>5210</v>
      </c>
      <c r="Z270" t="s">
        <v>5211</v>
      </c>
      <c r="AA270" t="s">
        <v>713</v>
      </c>
      <c r="AB270" t="s">
        <v>5212</v>
      </c>
      <c r="AC270" t="s">
        <v>5213</v>
      </c>
      <c r="AD270" t="s">
        <v>5214</v>
      </c>
      <c r="AE270" t="s">
        <v>5215</v>
      </c>
      <c r="AF270" t="s">
        <v>74</v>
      </c>
      <c r="AG270">
        <v>59</v>
      </c>
      <c r="AH270">
        <v>18</v>
      </c>
      <c r="AI270">
        <v>18</v>
      </c>
      <c r="AJ270">
        <v>0</v>
      </c>
      <c r="AK270">
        <v>12</v>
      </c>
      <c r="AL270" t="s">
        <v>1195</v>
      </c>
      <c r="AM270" t="s">
        <v>1196</v>
      </c>
      <c r="AN270" t="s">
        <v>1197</v>
      </c>
      <c r="AO270" t="s">
        <v>5216</v>
      </c>
      <c r="AP270" t="s">
        <v>5217</v>
      </c>
      <c r="AQ270" t="s">
        <v>74</v>
      </c>
      <c r="AR270" t="s">
        <v>5218</v>
      </c>
      <c r="AS270" t="s">
        <v>5219</v>
      </c>
      <c r="AT270" t="s">
        <v>3935</v>
      </c>
      <c r="AU270">
        <v>2011</v>
      </c>
      <c r="AV270">
        <v>61</v>
      </c>
      <c r="AW270">
        <v>1</v>
      </c>
      <c r="AX270" t="s">
        <v>74</v>
      </c>
      <c r="AY270" t="s">
        <v>74</v>
      </c>
      <c r="AZ270" t="s">
        <v>74</v>
      </c>
      <c r="BA270" t="s">
        <v>74</v>
      </c>
      <c r="BB270">
        <v>51</v>
      </c>
      <c r="BC270">
        <v>68</v>
      </c>
      <c r="BD270" t="s">
        <v>74</v>
      </c>
      <c r="BE270" t="s">
        <v>5220</v>
      </c>
      <c r="BF270" t="str">
        <f>HYPERLINK("http://dx.doi.org/10.1007/s10236-010-0342-y","http://dx.doi.org/10.1007/s10236-010-0342-y")</f>
        <v>http://dx.doi.org/10.1007/s10236-010-0342-y</v>
      </c>
      <c r="BG270" t="s">
        <v>74</v>
      </c>
      <c r="BH270" t="s">
        <v>74</v>
      </c>
      <c r="BI270">
        <v>18</v>
      </c>
      <c r="BJ270" t="s">
        <v>250</v>
      </c>
      <c r="BK270" t="s">
        <v>100</v>
      </c>
      <c r="BL270" t="s">
        <v>250</v>
      </c>
      <c r="BM270" t="s">
        <v>5221</v>
      </c>
      <c r="BN270" t="s">
        <v>74</v>
      </c>
      <c r="BO270" t="s">
        <v>138</v>
      </c>
      <c r="BP270" t="s">
        <v>74</v>
      </c>
      <c r="BQ270" t="s">
        <v>74</v>
      </c>
      <c r="BR270" t="s">
        <v>103</v>
      </c>
      <c r="BS270" t="s">
        <v>5222</v>
      </c>
      <c r="BT270" t="str">
        <f>HYPERLINK("https%3A%2F%2Fwww.webofscience.com%2Fwos%2Fwoscc%2Ffull-record%2FWOS:000286353200004","View Full Record in Web of Science")</f>
        <v>View Full Record in Web of Science</v>
      </c>
    </row>
    <row r="271" spans="1:72" x14ac:dyDescent="0.15">
      <c r="A271" t="s">
        <v>2268</v>
      </c>
      <c r="B271" t="s">
        <v>5223</v>
      </c>
      <c r="C271" t="s">
        <v>74</v>
      </c>
      <c r="D271" t="s">
        <v>5224</v>
      </c>
      <c r="E271" t="s">
        <v>74</v>
      </c>
      <c r="F271" t="s">
        <v>5225</v>
      </c>
      <c r="G271" t="s">
        <v>74</v>
      </c>
      <c r="H271" t="s">
        <v>74</v>
      </c>
      <c r="I271" t="s">
        <v>5226</v>
      </c>
      <c r="J271" t="s">
        <v>5227</v>
      </c>
      <c r="K271" t="s">
        <v>74</v>
      </c>
      <c r="L271" t="s">
        <v>74</v>
      </c>
      <c r="M271" t="s">
        <v>78</v>
      </c>
      <c r="N271" t="s">
        <v>2275</v>
      </c>
      <c r="O271" t="s">
        <v>5228</v>
      </c>
      <c r="P271" t="s">
        <v>5229</v>
      </c>
      <c r="Q271" t="s">
        <v>5230</v>
      </c>
      <c r="R271" t="s">
        <v>74</v>
      </c>
      <c r="S271" t="s">
        <v>74</v>
      </c>
      <c r="T271" t="s">
        <v>5231</v>
      </c>
      <c r="U271" t="s">
        <v>74</v>
      </c>
      <c r="V271" t="s">
        <v>5232</v>
      </c>
      <c r="W271" t="s">
        <v>5233</v>
      </c>
      <c r="X271" t="s">
        <v>5234</v>
      </c>
      <c r="Y271" t="s">
        <v>5235</v>
      </c>
      <c r="Z271" t="s">
        <v>5236</v>
      </c>
      <c r="AA271" t="s">
        <v>5237</v>
      </c>
      <c r="AB271" t="s">
        <v>5238</v>
      </c>
      <c r="AC271" t="s">
        <v>5239</v>
      </c>
      <c r="AD271" t="s">
        <v>5240</v>
      </c>
      <c r="AE271" t="s">
        <v>5241</v>
      </c>
      <c r="AF271" t="s">
        <v>74</v>
      </c>
      <c r="AG271">
        <v>7</v>
      </c>
      <c r="AH271">
        <v>0</v>
      </c>
      <c r="AI271">
        <v>0</v>
      </c>
      <c r="AJ271">
        <v>0</v>
      </c>
      <c r="AK271">
        <v>3</v>
      </c>
      <c r="AL271" t="s">
        <v>5242</v>
      </c>
      <c r="AM271" t="s">
        <v>5243</v>
      </c>
      <c r="AN271" t="s">
        <v>5244</v>
      </c>
      <c r="AO271" t="s">
        <v>74</v>
      </c>
      <c r="AP271" t="s">
        <v>74</v>
      </c>
      <c r="AQ271" t="s">
        <v>5245</v>
      </c>
      <c r="AR271" t="s">
        <v>74</v>
      </c>
      <c r="AS271" t="s">
        <v>74</v>
      </c>
      <c r="AT271" t="s">
        <v>74</v>
      </c>
      <c r="AU271">
        <v>2011</v>
      </c>
      <c r="AV271" t="s">
        <v>74</v>
      </c>
      <c r="AW271" t="s">
        <v>74</v>
      </c>
      <c r="AX271" t="s">
        <v>74</v>
      </c>
      <c r="AY271" t="s">
        <v>74</v>
      </c>
      <c r="AZ271" t="s">
        <v>74</v>
      </c>
      <c r="BA271" t="s">
        <v>74</v>
      </c>
      <c r="BB271">
        <v>66</v>
      </c>
      <c r="BC271">
        <v>69</v>
      </c>
      <c r="BD271" t="s">
        <v>74</v>
      </c>
      <c r="BE271" t="s">
        <v>74</v>
      </c>
      <c r="BF271" t="s">
        <v>74</v>
      </c>
      <c r="BG271" t="s">
        <v>74</v>
      </c>
      <c r="BH271" t="s">
        <v>74</v>
      </c>
      <c r="BI271">
        <v>4</v>
      </c>
      <c r="BJ271" t="s">
        <v>5246</v>
      </c>
      <c r="BK271" t="s">
        <v>2292</v>
      </c>
      <c r="BL271" t="s">
        <v>5247</v>
      </c>
      <c r="BM271" t="s">
        <v>5248</v>
      </c>
      <c r="BN271" t="s">
        <v>74</v>
      </c>
      <c r="BO271" t="s">
        <v>74</v>
      </c>
      <c r="BP271" t="s">
        <v>74</v>
      </c>
      <c r="BQ271" t="s">
        <v>74</v>
      </c>
      <c r="BR271" t="s">
        <v>103</v>
      </c>
      <c r="BS271" t="s">
        <v>5249</v>
      </c>
      <c r="BT271" t="str">
        <f>HYPERLINK("https%3A%2F%2Fwww.webofscience.com%2Fwos%2Fwoscc%2Ffull-record%2FWOS:000393726100015","View Full Record in Web of Science")</f>
        <v>View Full Record in Web of Science</v>
      </c>
    </row>
    <row r="272" spans="1:72" x14ac:dyDescent="0.15">
      <c r="A272" t="s">
        <v>2268</v>
      </c>
      <c r="B272" t="s">
        <v>5250</v>
      </c>
      <c r="C272" t="s">
        <v>74</v>
      </c>
      <c r="D272" t="s">
        <v>5251</v>
      </c>
      <c r="E272" t="s">
        <v>74</v>
      </c>
      <c r="F272" t="s">
        <v>5252</v>
      </c>
      <c r="G272" t="s">
        <v>74</v>
      </c>
      <c r="H272" t="s">
        <v>74</v>
      </c>
      <c r="I272" t="s">
        <v>5253</v>
      </c>
      <c r="J272" t="s">
        <v>5254</v>
      </c>
      <c r="K272" t="s">
        <v>74</v>
      </c>
      <c r="L272" t="s">
        <v>74</v>
      </c>
      <c r="M272" t="s">
        <v>78</v>
      </c>
      <c r="N272" t="s">
        <v>2275</v>
      </c>
      <c r="O272" t="s">
        <v>5255</v>
      </c>
      <c r="P272" t="s">
        <v>5256</v>
      </c>
      <c r="Q272" t="s">
        <v>5257</v>
      </c>
      <c r="R272" t="s">
        <v>74</v>
      </c>
      <c r="S272" t="s">
        <v>74</v>
      </c>
      <c r="T272" t="s">
        <v>5258</v>
      </c>
      <c r="U272" t="s">
        <v>5259</v>
      </c>
      <c r="V272" t="s">
        <v>5260</v>
      </c>
      <c r="W272" t="s">
        <v>5261</v>
      </c>
      <c r="X272" t="s">
        <v>5262</v>
      </c>
      <c r="Y272" t="s">
        <v>5263</v>
      </c>
      <c r="Z272" t="s">
        <v>5264</v>
      </c>
      <c r="AA272" t="s">
        <v>5265</v>
      </c>
      <c r="AB272" t="s">
        <v>5266</v>
      </c>
      <c r="AC272" t="s">
        <v>5267</v>
      </c>
      <c r="AD272" t="s">
        <v>5268</v>
      </c>
      <c r="AE272" t="s">
        <v>5269</v>
      </c>
      <c r="AF272" t="s">
        <v>74</v>
      </c>
      <c r="AG272">
        <v>12</v>
      </c>
      <c r="AH272">
        <v>0</v>
      </c>
      <c r="AI272">
        <v>0</v>
      </c>
      <c r="AJ272">
        <v>0</v>
      </c>
      <c r="AK272">
        <v>16</v>
      </c>
      <c r="AL272" t="s">
        <v>5270</v>
      </c>
      <c r="AM272" t="s">
        <v>5271</v>
      </c>
      <c r="AN272" t="s">
        <v>5272</v>
      </c>
      <c r="AO272" t="s">
        <v>74</v>
      </c>
      <c r="AP272" t="s">
        <v>74</v>
      </c>
      <c r="AQ272" t="s">
        <v>5273</v>
      </c>
      <c r="AR272" t="s">
        <v>74</v>
      </c>
      <c r="AS272" t="s">
        <v>74</v>
      </c>
      <c r="AT272" t="s">
        <v>74</v>
      </c>
      <c r="AU272">
        <v>2011</v>
      </c>
      <c r="AV272" t="s">
        <v>74</v>
      </c>
      <c r="AW272" t="s">
        <v>74</v>
      </c>
      <c r="AX272" t="s">
        <v>74</v>
      </c>
      <c r="AY272" t="s">
        <v>74</v>
      </c>
      <c r="AZ272" t="s">
        <v>74</v>
      </c>
      <c r="BA272" t="s">
        <v>74</v>
      </c>
      <c r="BB272">
        <v>207</v>
      </c>
      <c r="BC272">
        <v>213</v>
      </c>
      <c r="BD272" t="s">
        <v>74</v>
      </c>
      <c r="BE272" t="s">
        <v>74</v>
      </c>
      <c r="BF272" t="s">
        <v>74</v>
      </c>
      <c r="BG272" t="s">
        <v>74</v>
      </c>
      <c r="BH272" t="s">
        <v>74</v>
      </c>
      <c r="BI272">
        <v>7</v>
      </c>
      <c r="BJ272" t="s">
        <v>5274</v>
      </c>
      <c r="BK272" t="s">
        <v>2292</v>
      </c>
      <c r="BL272" t="s">
        <v>5275</v>
      </c>
      <c r="BM272" t="s">
        <v>5276</v>
      </c>
      <c r="BN272" t="s">
        <v>74</v>
      </c>
      <c r="BO272" t="s">
        <v>74</v>
      </c>
      <c r="BP272" t="s">
        <v>74</v>
      </c>
      <c r="BQ272" t="s">
        <v>74</v>
      </c>
      <c r="BR272" t="s">
        <v>103</v>
      </c>
      <c r="BS272" t="s">
        <v>5277</v>
      </c>
      <c r="BT272" t="str">
        <f>HYPERLINK("https%3A%2F%2Fwww.webofscience.com%2Fwos%2Fwoscc%2Ffull-record%2FWOS:000314989300023","View Full Record in Web of Science")</f>
        <v>View Full Record in Web of Science</v>
      </c>
    </row>
    <row r="273" spans="1:72" x14ac:dyDescent="0.15">
      <c r="A273" t="s">
        <v>2268</v>
      </c>
      <c r="B273" t="s">
        <v>5278</v>
      </c>
      <c r="C273" t="s">
        <v>74</v>
      </c>
      <c r="D273" t="s">
        <v>5251</v>
      </c>
      <c r="E273" t="s">
        <v>74</v>
      </c>
      <c r="F273" t="s">
        <v>5279</v>
      </c>
      <c r="G273" t="s">
        <v>74</v>
      </c>
      <c r="H273" t="s">
        <v>74</v>
      </c>
      <c r="I273" t="s">
        <v>5280</v>
      </c>
      <c r="J273" t="s">
        <v>5254</v>
      </c>
      <c r="K273" t="s">
        <v>74</v>
      </c>
      <c r="L273" t="s">
        <v>74</v>
      </c>
      <c r="M273" t="s">
        <v>78</v>
      </c>
      <c r="N273" t="s">
        <v>2275</v>
      </c>
      <c r="O273" t="s">
        <v>5255</v>
      </c>
      <c r="P273" t="s">
        <v>5256</v>
      </c>
      <c r="Q273" t="s">
        <v>5257</v>
      </c>
      <c r="R273" t="s">
        <v>74</v>
      </c>
      <c r="S273" t="s">
        <v>74</v>
      </c>
      <c r="T273" t="s">
        <v>5281</v>
      </c>
      <c r="U273" t="s">
        <v>5282</v>
      </c>
      <c r="V273" t="s">
        <v>5283</v>
      </c>
      <c r="W273" t="s">
        <v>5284</v>
      </c>
      <c r="X273" t="s">
        <v>5285</v>
      </c>
      <c r="Y273" t="s">
        <v>5286</v>
      </c>
      <c r="Z273" t="s">
        <v>5287</v>
      </c>
      <c r="AA273" t="s">
        <v>5288</v>
      </c>
      <c r="AB273" t="s">
        <v>5289</v>
      </c>
      <c r="AC273" t="s">
        <v>5290</v>
      </c>
      <c r="AD273" t="s">
        <v>5291</v>
      </c>
      <c r="AE273" t="s">
        <v>5292</v>
      </c>
      <c r="AF273" t="s">
        <v>74</v>
      </c>
      <c r="AG273">
        <v>8</v>
      </c>
      <c r="AH273">
        <v>0</v>
      </c>
      <c r="AI273">
        <v>0</v>
      </c>
      <c r="AJ273">
        <v>0</v>
      </c>
      <c r="AK273">
        <v>0</v>
      </c>
      <c r="AL273" t="s">
        <v>5270</v>
      </c>
      <c r="AM273" t="s">
        <v>5271</v>
      </c>
      <c r="AN273" t="s">
        <v>5272</v>
      </c>
      <c r="AO273" t="s">
        <v>74</v>
      </c>
      <c r="AP273" t="s">
        <v>74</v>
      </c>
      <c r="AQ273" t="s">
        <v>5273</v>
      </c>
      <c r="AR273" t="s">
        <v>74</v>
      </c>
      <c r="AS273" t="s">
        <v>74</v>
      </c>
      <c r="AT273" t="s">
        <v>74</v>
      </c>
      <c r="AU273">
        <v>2011</v>
      </c>
      <c r="AV273" t="s">
        <v>74</v>
      </c>
      <c r="AW273" t="s">
        <v>74</v>
      </c>
      <c r="AX273" t="s">
        <v>74</v>
      </c>
      <c r="AY273" t="s">
        <v>74</v>
      </c>
      <c r="AZ273" t="s">
        <v>74</v>
      </c>
      <c r="BA273" t="s">
        <v>74</v>
      </c>
      <c r="BB273">
        <v>558</v>
      </c>
      <c r="BC273">
        <v>564</v>
      </c>
      <c r="BD273" t="s">
        <v>74</v>
      </c>
      <c r="BE273" t="s">
        <v>74</v>
      </c>
      <c r="BF273" t="s">
        <v>74</v>
      </c>
      <c r="BG273" t="s">
        <v>74</v>
      </c>
      <c r="BH273" t="s">
        <v>74</v>
      </c>
      <c r="BI273">
        <v>7</v>
      </c>
      <c r="BJ273" t="s">
        <v>5274</v>
      </c>
      <c r="BK273" t="s">
        <v>2292</v>
      </c>
      <c r="BL273" t="s">
        <v>5275</v>
      </c>
      <c r="BM273" t="s">
        <v>5276</v>
      </c>
      <c r="BN273" t="s">
        <v>74</v>
      </c>
      <c r="BO273" t="s">
        <v>74</v>
      </c>
      <c r="BP273" t="s">
        <v>74</v>
      </c>
      <c r="BQ273" t="s">
        <v>74</v>
      </c>
      <c r="BR273" t="s">
        <v>103</v>
      </c>
      <c r="BS273" t="s">
        <v>5293</v>
      </c>
      <c r="BT273" t="str">
        <f>HYPERLINK("https%3A%2F%2Fwww.webofscience.com%2Fwos%2Fwoscc%2Ffull-record%2FWOS:000314989300072","View Full Record in Web of Science")</f>
        <v>View Full Record in Web of Science</v>
      </c>
    </row>
    <row r="274" spans="1:72" x14ac:dyDescent="0.15">
      <c r="A274" t="s">
        <v>2268</v>
      </c>
      <c r="B274" t="s">
        <v>5294</v>
      </c>
      <c r="C274" t="s">
        <v>74</v>
      </c>
      <c r="D274" t="s">
        <v>5251</v>
      </c>
      <c r="E274" t="s">
        <v>74</v>
      </c>
      <c r="F274" t="s">
        <v>5295</v>
      </c>
      <c r="G274" t="s">
        <v>74</v>
      </c>
      <c r="H274" t="s">
        <v>74</v>
      </c>
      <c r="I274" t="s">
        <v>5296</v>
      </c>
      <c r="J274" t="s">
        <v>5254</v>
      </c>
      <c r="K274" t="s">
        <v>74</v>
      </c>
      <c r="L274" t="s">
        <v>74</v>
      </c>
      <c r="M274" t="s">
        <v>78</v>
      </c>
      <c r="N274" t="s">
        <v>2275</v>
      </c>
      <c r="O274" t="s">
        <v>5255</v>
      </c>
      <c r="P274" t="s">
        <v>5256</v>
      </c>
      <c r="Q274" t="s">
        <v>5257</v>
      </c>
      <c r="R274" t="s">
        <v>74</v>
      </c>
      <c r="S274" t="s">
        <v>74</v>
      </c>
      <c r="T274" t="s">
        <v>5297</v>
      </c>
      <c r="U274" t="s">
        <v>5298</v>
      </c>
      <c r="V274" t="s">
        <v>5299</v>
      </c>
      <c r="W274" t="s">
        <v>5300</v>
      </c>
      <c r="X274" t="s">
        <v>5301</v>
      </c>
      <c r="Y274" t="s">
        <v>5302</v>
      </c>
      <c r="Z274" t="s">
        <v>5303</v>
      </c>
      <c r="AA274" t="s">
        <v>5304</v>
      </c>
      <c r="AB274" t="s">
        <v>5305</v>
      </c>
      <c r="AC274" t="s">
        <v>74</v>
      </c>
      <c r="AD274" t="s">
        <v>74</v>
      </c>
      <c r="AE274" t="s">
        <v>74</v>
      </c>
      <c r="AF274" t="s">
        <v>74</v>
      </c>
      <c r="AG274">
        <v>19</v>
      </c>
      <c r="AH274">
        <v>1</v>
      </c>
      <c r="AI274">
        <v>1</v>
      </c>
      <c r="AJ274">
        <v>0</v>
      </c>
      <c r="AK274">
        <v>26</v>
      </c>
      <c r="AL274" t="s">
        <v>5270</v>
      </c>
      <c r="AM274" t="s">
        <v>5271</v>
      </c>
      <c r="AN274" t="s">
        <v>5272</v>
      </c>
      <c r="AO274" t="s">
        <v>74</v>
      </c>
      <c r="AP274" t="s">
        <v>74</v>
      </c>
      <c r="AQ274" t="s">
        <v>5273</v>
      </c>
      <c r="AR274" t="s">
        <v>74</v>
      </c>
      <c r="AS274" t="s">
        <v>74</v>
      </c>
      <c r="AT274" t="s">
        <v>74</v>
      </c>
      <c r="AU274">
        <v>2011</v>
      </c>
      <c r="AV274" t="s">
        <v>74</v>
      </c>
      <c r="AW274" t="s">
        <v>74</v>
      </c>
      <c r="AX274" t="s">
        <v>74</v>
      </c>
      <c r="AY274" t="s">
        <v>74</v>
      </c>
      <c r="AZ274" t="s">
        <v>74</v>
      </c>
      <c r="BA274" t="s">
        <v>74</v>
      </c>
      <c r="BB274">
        <v>2044</v>
      </c>
      <c r="BC274">
        <v>2050</v>
      </c>
      <c r="BD274" t="s">
        <v>74</v>
      </c>
      <c r="BE274" t="s">
        <v>74</v>
      </c>
      <c r="BF274" t="s">
        <v>74</v>
      </c>
      <c r="BG274" t="s">
        <v>74</v>
      </c>
      <c r="BH274" t="s">
        <v>74</v>
      </c>
      <c r="BI274">
        <v>7</v>
      </c>
      <c r="BJ274" t="s">
        <v>5274</v>
      </c>
      <c r="BK274" t="s">
        <v>2292</v>
      </c>
      <c r="BL274" t="s">
        <v>5275</v>
      </c>
      <c r="BM274" t="s">
        <v>5276</v>
      </c>
      <c r="BN274" t="s">
        <v>74</v>
      </c>
      <c r="BO274" t="s">
        <v>74</v>
      </c>
      <c r="BP274" t="s">
        <v>74</v>
      </c>
      <c r="BQ274" t="s">
        <v>74</v>
      </c>
      <c r="BR274" t="s">
        <v>103</v>
      </c>
      <c r="BS274" t="s">
        <v>5306</v>
      </c>
      <c r="BT274" t="str">
        <f>HYPERLINK("https%3A%2F%2Fwww.webofscience.com%2Fwos%2Fwoscc%2Ffull-record%2FWOS:000314989302005","View Full Record in Web of Science")</f>
        <v>View Full Record in Web of Science</v>
      </c>
    </row>
    <row r="275" spans="1:72" x14ac:dyDescent="0.15">
      <c r="A275" t="s">
        <v>2268</v>
      </c>
      <c r="B275" t="s">
        <v>5307</v>
      </c>
      <c r="C275" t="s">
        <v>74</v>
      </c>
      <c r="D275" t="s">
        <v>5251</v>
      </c>
      <c r="E275" t="s">
        <v>74</v>
      </c>
      <c r="F275" t="s">
        <v>5308</v>
      </c>
      <c r="G275" t="s">
        <v>74</v>
      </c>
      <c r="H275" t="s">
        <v>74</v>
      </c>
      <c r="I275" t="s">
        <v>5309</v>
      </c>
      <c r="J275" t="s">
        <v>5254</v>
      </c>
      <c r="K275" t="s">
        <v>74</v>
      </c>
      <c r="L275" t="s">
        <v>74</v>
      </c>
      <c r="M275" t="s">
        <v>78</v>
      </c>
      <c r="N275" t="s">
        <v>2275</v>
      </c>
      <c r="O275" t="s">
        <v>5255</v>
      </c>
      <c r="P275" t="s">
        <v>5256</v>
      </c>
      <c r="Q275" t="s">
        <v>5257</v>
      </c>
      <c r="R275" t="s">
        <v>74</v>
      </c>
      <c r="S275" t="s">
        <v>74</v>
      </c>
      <c r="T275" t="s">
        <v>5310</v>
      </c>
      <c r="U275" t="s">
        <v>74</v>
      </c>
      <c r="V275" t="s">
        <v>5311</v>
      </c>
      <c r="W275" t="s">
        <v>5312</v>
      </c>
      <c r="X275" t="s">
        <v>405</v>
      </c>
      <c r="Y275" t="s">
        <v>5313</v>
      </c>
      <c r="Z275" t="s">
        <v>5314</v>
      </c>
      <c r="AA275" t="s">
        <v>5315</v>
      </c>
      <c r="AB275" t="s">
        <v>5316</v>
      </c>
      <c r="AC275" t="s">
        <v>74</v>
      </c>
      <c r="AD275" t="s">
        <v>74</v>
      </c>
      <c r="AE275" t="s">
        <v>74</v>
      </c>
      <c r="AF275" t="s">
        <v>74</v>
      </c>
      <c r="AG275">
        <v>13</v>
      </c>
      <c r="AH275">
        <v>0</v>
      </c>
      <c r="AI275">
        <v>0</v>
      </c>
      <c r="AJ275">
        <v>0</v>
      </c>
      <c r="AK275">
        <v>28</v>
      </c>
      <c r="AL275" t="s">
        <v>5270</v>
      </c>
      <c r="AM275" t="s">
        <v>5271</v>
      </c>
      <c r="AN275" t="s">
        <v>5272</v>
      </c>
      <c r="AO275" t="s">
        <v>74</v>
      </c>
      <c r="AP275" t="s">
        <v>74</v>
      </c>
      <c r="AQ275" t="s">
        <v>5273</v>
      </c>
      <c r="AR275" t="s">
        <v>74</v>
      </c>
      <c r="AS275" t="s">
        <v>74</v>
      </c>
      <c r="AT275" t="s">
        <v>74</v>
      </c>
      <c r="AU275">
        <v>2011</v>
      </c>
      <c r="AV275" t="s">
        <v>74</v>
      </c>
      <c r="AW275" t="s">
        <v>74</v>
      </c>
      <c r="AX275" t="s">
        <v>74</v>
      </c>
      <c r="AY275" t="s">
        <v>74</v>
      </c>
      <c r="AZ275" t="s">
        <v>74</v>
      </c>
      <c r="BA275" t="s">
        <v>74</v>
      </c>
      <c r="BB275">
        <v>2142</v>
      </c>
      <c r="BC275">
        <v>2148</v>
      </c>
      <c r="BD275" t="s">
        <v>74</v>
      </c>
      <c r="BE275" t="s">
        <v>74</v>
      </c>
      <c r="BF275" t="s">
        <v>74</v>
      </c>
      <c r="BG275" t="s">
        <v>74</v>
      </c>
      <c r="BH275" t="s">
        <v>74</v>
      </c>
      <c r="BI275">
        <v>7</v>
      </c>
      <c r="BJ275" t="s">
        <v>5274</v>
      </c>
      <c r="BK275" t="s">
        <v>2292</v>
      </c>
      <c r="BL275" t="s">
        <v>5275</v>
      </c>
      <c r="BM275" t="s">
        <v>5276</v>
      </c>
      <c r="BN275" t="s">
        <v>74</v>
      </c>
      <c r="BO275" t="s">
        <v>74</v>
      </c>
      <c r="BP275" t="s">
        <v>74</v>
      </c>
      <c r="BQ275" t="s">
        <v>74</v>
      </c>
      <c r="BR275" t="s">
        <v>103</v>
      </c>
      <c r="BS275" t="s">
        <v>5317</v>
      </c>
      <c r="BT275" t="str">
        <f>HYPERLINK("https%3A%2F%2Fwww.webofscience.com%2Fwos%2Fwoscc%2Ffull-record%2FWOS:000314989302019","View Full Record in Web of Science")</f>
        <v>View Full Record in Web of Science</v>
      </c>
    </row>
    <row r="276" spans="1:72" x14ac:dyDescent="0.15">
      <c r="A276" t="s">
        <v>2268</v>
      </c>
      <c r="B276" t="s">
        <v>5318</v>
      </c>
      <c r="C276" t="s">
        <v>74</v>
      </c>
      <c r="D276" t="s">
        <v>74</v>
      </c>
      <c r="E276" t="s">
        <v>2819</v>
      </c>
      <c r="F276" t="s">
        <v>5319</v>
      </c>
      <c r="G276" t="s">
        <v>74</v>
      </c>
      <c r="H276" t="s">
        <v>74</v>
      </c>
      <c r="I276" t="s">
        <v>5320</v>
      </c>
      <c r="J276" t="s">
        <v>2822</v>
      </c>
      <c r="K276" t="s">
        <v>2823</v>
      </c>
      <c r="L276" t="s">
        <v>74</v>
      </c>
      <c r="M276" t="s">
        <v>78</v>
      </c>
      <c r="N276" t="s">
        <v>2275</v>
      </c>
      <c r="O276" t="s">
        <v>2824</v>
      </c>
      <c r="P276" t="s">
        <v>2825</v>
      </c>
      <c r="Q276" t="s">
        <v>2826</v>
      </c>
      <c r="R276" t="s">
        <v>74</v>
      </c>
      <c r="S276" t="s">
        <v>74</v>
      </c>
      <c r="T276" t="s">
        <v>5321</v>
      </c>
      <c r="U276" t="s">
        <v>5322</v>
      </c>
      <c r="V276" t="s">
        <v>5323</v>
      </c>
      <c r="W276" t="s">
        <v>5324</v>
      </c>
      <c r="X276" t="s">
        <v>5325</v>
      </c>
      <c r="Y276" t="s">
        <v>5326</v>
      </c>
      <c r="Z276" t="s">
        <v>74</v>
      </c>
      <c r="AA276" t="s">
        <v>5327</v>
      </c>
      <c r="AB276" t="s">
        <v>5328</v>
      </c>
      <c r="AC276" t="s">
        <v>5329</v>
      </c>
      <c r="AD276" t="s">
        <v>5329</v>
      </c>
      <c r="AE276" t="s">
        <v>5330</v>
      </c>
      <c r="AF276" t="s">
        <v>74</v>
      </c>
      <c r="AG276">
        <v>6</v>
      </c>
      <c r="AH276">
        <v>1</v>
      </c>
      <c r="AI276">
        <v>1</v>
      </c>
      <c r="AJ276">
        <v>1</v>
      </c>
      <c r="AK276">
        <v>8</v>
      </c>
      <c r="AL276" t="s">
        <v>2819</v>
      </c>
      <c r="AM276" t="s">
        <v>91</v>
      </c>
      <c r="AN276" t="s">
        <v>2833</v>
      </c>
      <c r="AO276" t="s">
        <v>2834</v>
      </c>
      <c r="AP276" t="s">
        <v>74</v>
      </c>
      <c r="AQ276" t="s">
        <v>2835</v>
      </c>
      <c r="AR276" t="s">
        <v>2836</v>
      </c>
      <c r="AS276" t="s">
        <v>74</v>
      </c>
      <c r="AT276" t="s">
        <v>74</v>
      </c>
      <c r="AU276">
        <v>2011</v>
      </c>
      <c r="AV276" t="s">
        <v>74</v>
      </c>
      <c r="AW276" t="s">
        <v>74</v>
      </c>
      <c r="AX276" t="s">
        <v>74</v>
      </c>
      <c r="AY276" t="s">
        <v>74</v>
      </c>
      <c r="AZ276" t="s">
        <v>74</v>
      </c>
      <c r="BA276" t="s">
        <v>74</v>
      </c>
      <c r="BB276">
        <v>3645</v>
      </c>
      <c r="BC276">
        <v>3648</v>
      </c>
      <c r="BD276" t="s">
        <v>74</v>
      </c>
      <c r="BE276" t="s">
        <v>5331</v>
      </c>
      <c r="BF276" t="str">
        <f>HYPERLINK("http://dx.doi.org/10.1109/IGARSS.2011.6050014","http://dx.doi.org/10.1109/IGARSS.2011.6050014")</f>
        <v>http://dx.doi.org/10.1109/IGARSS.2011.6050014</v>
      </c>
      <c r="BG276" t="s">
        <v>74</v>
      </c>
      <c r="BH276" t="s">
        <v>74</v>
      </c>
      <c r="BI276">
        <v>4</v>
      </c>
      <c r="BJ276" t="s">
        <v>2838</v>
      </c>
      <c r="BK276" t="s">
        <v>2292</v>
      </c>
      <c r="BL276" t="s">
        <v>2839</v>
      </c>
      <c r="BM276" t="s">
        <v>2840</v>
      </c>
      <c r="BN276" t="s">
        <v>74</v>
      </c>
      <c r="BO276" t="s">
        <v>74</v>
      </c>
      <c r="BP276" t="s">
        <v>74</v>
      </c>
      <c r="BQ276" t="s">
        <v>74</v>
      </c>
      <c r="BR276" t="s">
        <v>103</v>
      </c>
      <c r="BS276" t="s">
        <v>5332</v>
      </c>
      <c r="BT276" t="str">
        <f>HYPERLINK("https%3A%2F%2Fwww.webofscience.com%2Fwos%2Fwoscc%2Ffull-record%2FWOS:000297496303157","View Full Record in Web of Science")</f>
        <v>View Full Record in Web of Science</v>
      </c>
    </row>
    <row r="277" spans="1:72" x14ac:dyDescent="0.15">
      <c r="A277" t="s">
        <v>2268</v>
      </c>
      <c r="B277" t="s">
        <v>5333</v>
      </c>
      <c r="C277" t="s">
        <v>74</v>
      </c>
      <c r="D277" t="s">
        <v>74</v>
      </c>
      <c r="E277" t="s">
        <v>2819</v>
      </c>
      <c r="F277" t="s">
        <v>5334</v>
      </c>
      <c r="G277" t="s">
        <v>74</v>
      </c>
      <c r="H277" t="s">
        <v>74</v>
      </c>
      <c r="I277" t="s">
        <v>5335</v>
      </c>
      <c r="J277" t="s">
        <v>2822</v>
      </c>
      <c r="K277" t="s">
        <v>2823</v>
      </c>
      <c r="L277" t="s">
        <v>74</v>
      </c>
      <c r="M277" t="s">
        <v>78</v>
      </c>
      <c r="N277" t="s">
        <v>2275</v>
      </c>
      <c r="O277" t="s">
        <v>2824</v>
      </c>
      <c r="P277" t="s">
        <v>2825</v>
      </c>
      <c r="Q277" t="s">
        <v>2826</v>
      </c>
      <c r="R277" t="s">
        <v>74</v>
      </c>
      <c r="S277" t="s">
        <v>74</v>
      </c>
      <c r="T277" t="s">
        <v>5336</v>
      </c>
      <c r="U277" t="s">
        <v>5337</v>
      </c>
      <c r="V277" t="s">
        <v>5338</v>
      </c>
      <c r="W277" t="s">
        <v>74</v>
      </c>
      <c r="X277" t="s">
        <v>74</v>
      </c>
      <c r="Y277" t="s">
        <v>74</v>
      </c>
      <c r="Z277" t="s">
        <v>74</v>
      </c>
      <c r="AA277" t="s">
        <v>2893</v>
      </c>
      <c r="AB277" t="s">
        <v>74</v>
      </c>
      <c r="AC277" t="s">
        <v>74</v>
      </c>
      <c r="AD277" t="s">
        <v>74</v>
      </c>
      <c r="AE277" t="s">
        <v>74</v>
      </c>
      <c r="AF277" t="s">
        <v>74</v>
      </c>
      <c r="AG277">
        <v>9</v>
      </c>
      <c r="AH277">
        <v>3</v>
      </c>
      <c r="AI277">
        <v>4</v>
      </c>
      <c r="AJ277">
        <v>0</v>
      </c>
      <c r="AK277">
        <v>6</v>
      </c>
      <c r="AL277" t="s">
        <v>2819</v>
      </c>
      <c r="AM277" t="s">
        <v>91</v>
      </c>
      <c r="AN277" t="s">
        <v>2833</v>
      </c>
      <c r="AO277" t="s">
        <v>2834</v>
      </c>
      <c r="AP277" t="s">
        <v>74</v>
      </c>
      <c r="AQ277" t="s">
        <v>2835</v>
      </c>
      <c r="AR277" t="s">
        <v>2836</v>
      </c>
      <c r="AS277" t="s">
        <v>74</v>
      </c>
      <c r="AT277" t="s">
        <v>74</v>
      </c>
      <c r="AU277">
        <v>2011</v>
      </c>
      <c r="AV277" t="s">
        <v>74</v>
      </c>
      <c r="AW277" t="s">
        <v>74</v>
      </c>
      <c r="AX277" t="s">
        <v>74</v>
      </c>
      <c r="AY277" t="s">
        <v>74</v>
      </c>
      <c r="AZ277" t="s">
        <v>74</v>
      </c>
      <c r="BA277" t="s">
        <v>74</v>
      </c>
      <c r="BB277">
        <v>3835</v>
      </c>
      <c r="BC277">
        <v>3838</v>
      </c>
      <c r="BD277" t="s">
        <v>74</v>
      </c>
      <c r="BE277" t="s">
        <v>5339</v>
      </c>
      <c r="BF277" t="str">
        <f>HYPERLINK("http://dx.doi.org/10.1109/IGARSS.2011.6050067","http://dx.doi.org/10.1109/IGARSS.2011.6050067")</f>
        <v>http://dx.doi.org/10.1109/IGARSS.2011.6050067</v>
      </c>
      <c r="BG277" t="s">
        <v>74</v>
      </c>
      <c r="BH277" t="s">
        <v>74</v>
      </c>
      <c r="BI277">
        <v>4</v>
      </c>
      <c r="BJ277" t="s">
        <v>2838</v>
      </c>
      <c r="BK277" t="s">
        <v>2292</v>
      </c>
      <c r="BL277" t="s">
        <v>2839</v>
      </c>
      <c r="BM277" t="s">
        <v>2840</v>
      </c>
      <c r="BN277" t="s">
        <v>74</v>
      </c>
      <c r="BO277" t="s">
        <v>74</v>
      </c>
      <c r="BP277" t="s">
        <v>74</v>
      </c>
      <c r="BQ277" t="s">
        <v>74</v>
      </c>
      <c r="BR277" t="s">
        <v>103</v>
      </c>
      <c r="BS277" t="s">
        <v>5340</v>
      </c>
      <c r="BT277" t="str">
        <f>HYPERLINK("https%3A%2F%2Fwww.webofscience.com%2Fwos%2Fwoscc%2Ffull-record%2FWOS:000297496303204","View Full Record in Web of Science")</f>
        <v>View Full Record in Web of Science</v>
      </c>
    </row>
    <row r="278" spans="1:72" x14ac:dyDescent="0.15">
      <c r="A278" t="s">
        <v>2268</v>
      </c>
      <c r="B278" t="s">
        <v>5341</v>
      </c>
      <c r="C278" t="s">
        <v>74</v>
      </c>
      <c r="D278" t="s">
        <v>74</v>
      </c>
      <c r="E278" t="s">
        <v>2819</v>
      </c>
      <c r="F278" t="s">
        <v>5342</v>
      </c>
      <c r="G278" t="s">
        <v>74</v>
      </c>
      <c r="H278" t="s">
        <v>74</v>
      </c>
      <c r="I278" t="s">
        <v>5343</v>
      </c>
      <c r="J278" t="s">
        <v>5344</v>
      </c>
      <c r="K278" t="s">
        <v>74</v>
      </c>
      <c r="L278" t="s">
        <v>74</v>
      </c>
      <c r="M278" t="s">
        <v>78</v>
      </c>
      <c r="N278" t="s">
        <v>2275</v>
      </c>
      <c r="O278" t="s">
        <v>5345</v>
      </c>
      <c r="P278" t="s">
        <v>5346</v>
      </c>
      <c r="Q278" t="s">
        <v>5347</v>
      </c>
      <c r="R278" t="s">
        <v>74</v>
      </c>
      <c r="S278" t="s">
        <v>74</v>
      </c>
      <c r="T278" t="s">
        <v>5348</v>
      </c>
      <c r="U278" t="s">
        <v>74</v>
      </c>
      <c r="V278" t="s">
        <v>5349</v>
      </c>
      <c r="W278" t="s">
        <v>5350</v>
      </c>
      <c r="X278" t="s">
        <v>5351</v>
      </c>
      <c r="Y278" t="s">
        <v>5352</v>
      </c>
      <c r="Z278" t="s">
        <v>5353</v>
      </c>
      <c r="AA278" t="s">
        <v>74</v>
      </c>
      <c r="AB278" t="s">
        <v>74</v>
      </c>
      <c r="AC278" t="s">
        <v>74</v>
      </c>
      <c r="AD278" t="s">
        <v>74</v>
      </c>
      <c r="AE278" t="s">
        <v>74</v>
      </c>
      <c r="AF278" t="s">
        <v>74</v>
      </c>
      <c r="AG278">
        <v>15</v>
      </c>
      <c r="AH278">
        <v>1</v>
      </c>
      <c r="AI278">
        <v>1</v>
      </c>
      <c r="AJ278">
        <v>0</v>
      </c>
      <c r="AK278">
        <v>1</v>
      </c>
      <c r="AL278" t="s">
        <v>2819</v>
      </c>
      <c r="AM278" t="s">
        <v>91</v>
      </c>
      <c r="AN278" t="s">
        <v>2833</v>
      </c>
      <c r="AO278" t="s">
        <v>74</v>
      </c>
      <c r="AP278" t="s">
        <v>74</v>
      </c>
      <c r="AQ278" t="s">
        <v>5354</v>
      </c>
      <c r="AR278" t="s">
        <v>74</v>
      </c>
      <c r="AS278" t="s">
        <v>74</v>
      </c>
      <c r="AT278" t="s">
        <v>74</v>
      </c>
      <c r="AU278">
        <v>2011</v>
      </c>
      <c r="AV278" t="s">
        <v>74</v>
      </c>
      <c r="AW278" t="s">
        <v>74</v>
      </c>
      <c r="AX278" t="s">
        <v>74</v>
      </c>
      <c r="AY278" t="s">
        <v>74</v>
      </c>
      <c r="AZ278" t="s">
        <v>74</v>
      </c>
      <c r="BA278" t="s">
        <v>74</v>
      </c>
      <c r="BB278">
        <v>1696</v>
      </c>
      <c r="BC278">
        <v>1699</v>
      </c>
      <c r="BD278" t="s">
        <v>74</v>
      </c>
      <c r="BE278" t="s">
        <v>74</v>
      </c>
      <c r="BF278" t="s">
        <v>74</v>
      </c>
      <c r="BG278" t="s">
        <v>74</v>
      </c>
      <c r="BH278" t="s">
        <v>74</v>
      </c>
      <c r="BI278">
        <v>4</v>
      </c>
      <c r="BJ278" t="s">
        <v>5355</v>
      </c>
      <c r="BK278" t="s">
        <v>2292</v>
      </c>
      <c r="BL278" t="s">
        <v>5356</v>
      </c>
      <c r="BM278" t="s">
        <v>5357</v>
      </c>
      <c r="BN278" t="s">
        <v>74</v>
      </c>
      <c r="BO278" t="s">
        <v>74</v>
      </c>
      <c r="BP278" t="s">
        <v>74</v>
      </c>
      <c r="BQ278" t="s">
        <v>74</v>
      </c>
      <c r="BR278" t="s">
        <v>103</v>
      </c>
      <c r="BS278" t="s">
        <v>5358</v>
      </c>
      <c r="BT278" t="str">
        <f>HYPERLINK("https%3A%2F%2Fwww.webofscience.com%2Fwos%2Fwoscc%2Ffull-record%2FWOS:000298656801195","View Full Record in Web of Science")</f>
        <v>View Full Record in Web of Science</v>
      </c>
    </row>
    <row r="279" spans="1:72" x14ac:dyDescent="0.15">
      <c r="A279" t="s">
        <v>2268</v>
      </c>
      <c r="B279" t="s">
        <v>5359</v>
      </c>
      <c r="C279" t="s">
        <v>74</v>
      </c>
      <c r="D279" t="s">
        <v>5360</v>
      </c>
      <c r="E279" t="s">
        <v>74</v>
      </c>
      <c r="F279" t="s">
        <v>5361</v>
      </c>
      <c r="G279" t="s">
        <v>74</v>
      </c>
      <c r="H279" t="s">
        <v>74</v>
      </c>
      <c r="I279" t="s">
        <v>5362</v>
      </c>
      <c r="J279" t="s">
        <v>5363</v>
      </c>
      <c r="K279" t="s">
        <v>5364</v>
      </c>
      <c r="L279" t="s">
        <v>74</v>
      </c>
      <c r="M279" t="s">
        <v>78</v>
      </c>
      <c r="N279" t="s">
        <v>5365</v>
      </c>
      <c r="O279" t="s">
        <v>5366</v>
      </c>
      <c r="P279" t="s">
        <v>5367</v>
      </c>
      <c r="Q279" t="s">
        <v>5368</v>
      </c>
      <c r="R279" t="s">
        <v>74</v>
      </c>
      <c r="S279" t="s">
        <v>74</v>
      </c>
      <c r="T279" t="s">
        <v>5369</v>
      </c>
      <c r="U279" t="s">
        <v>5370</v>
      </c>
      <c r="V279" t="s">
        <v>5371</v>
      </c>
      <c r="W279" t="s">
        <v>5372</v>
      </c>
      <c r="X279" t="s">
        <v>5373</v>
      </c>
      <c r="Y279" t="s">
        <v>5374</v>
      </c>
      <c r="Z279" t="s">
        <v>5375</v>
      </c>
      <c r="AA279" t="s">
        <v>74</v>
      </c>
      <c r="AB279" t="s">
        <v>74</v>
      </c>
      <c r="AC279" t="s">
        <v>74</v>
      </c>
      <c r="AD279" t="s">
        <v>74</v>
      </c>
      <c r="AE279" t="s">
        <v>74</v>
      </c>
      <c r="AF279" t="s">
        <v>74</v>
      </c>
      <c r="AG279">
        <v>11</v>
      </c>
      <c r="AH279">
        <v>0</v>
      </c>
      <c r="AI279">
        <v>0</v>
      </c>
      <c r="AJ279">
        <v>0</v>
      </c>
      <c r="AK279">
        <v>4</v>
      </c>
      <c r="AL279" t="s">
        <v>639</v>
      </c>
      <c r="AM279" t="s">
        <v>640</v>
      </c>
      <c r="AN279" t="s">
        <v>3533</v>
      </c>
      <c r="AO279" t="s">
        <v>5376</v>
      </c>
      <c r="AP279" t="s">
        <v>74</v>
      </c>
      <c r="AQ279" t="s">
        <v>74</v>
      </c>
      <c r="AR279" t="s">
        <v>5377</v>
      </c>
      <c r="AS279" t="s">
        <v>74</v>
      </c>
      <c r="AT279" t="s">
        <v>74</v>
      </c>
      <c r="AU279">
        <v>2011</v>
      </c>
      <c r="AV279">
        <v>11</v>
      </c>
      <c r="AW279" t="s">
        <v>74</v>
      </c>
      <c r="AX279" t="s">
        <v>74</v>
      </c>
      <c r="AY279" t="s">
        <v>74</v>
      </c>
      <c r="AZ279" t="s">
        <v>74</v>
      </c>
      <c r="BA279" t="s">
        <v>74</v>
      </c>
      <c r="BB279" t="s">
        <v>74</v>
      </c>
      <c r="BC279" t="s">
        <v>74</v>
      </c>
      <c r="BD279" t="s">
        <v>74</v>
      </c>
      <c r="BE279" t="s">
        <v>5378</v>
      </c>
      <c r="BF279" t="str">
        <f>HYPERLINK("http://dx.doi.org/10.1016/j.egypro.2011.10.833","http://dx.doi.org/10.1016/j.egypro.2011.10.833")</f>
        <v>http://dx.doi.org/10.1016/j.egypro.2011.10.833</v>
      </c>
      <c r="BG279" t="s">
        <v>74</v>
      </c>
      <c r="BH279" t="s">
        <v>74</v>
      </c>
      <c r="BI279">
        <v>5</v>
      </c>
      <c r="BJ279" t="s">
        <v>5379</v>
      </c>
      <c r="BK279" t="s">
        <v>2292</v>
      </c>
      <c r="BL279" t="s">
        <v>5380</v>
      </c>
      <c r="BM279" t="s">
        <v>5381</v>
      </c>
      <c r="BN279" t="s">
        <v>74</v>
      </c>
      <c r="BO279" t="s">
        <v>2317</v>
      </c>
      <c r="BP279" t="s">
        <v>74</v>
      </c>
      <c r="BQ279" t="s">
        <v>74</v>
      </c>
      <c r="BR279" t="s">
        <v>103</v>
      </c>
      <c r="BS279" t="s">
        <v>5382</v>
      </c>
      <c r="BT279" t="str">
        <f>HYPERLINK("https%3A%2F%2Fwww.webofscience.com%2Fwos%2Fwoscc%2Ffull-record%2FWOS:000299096404050","View Full Record in Web of Science")</f>
        <v>View Full Record in Web of Science</v>
      </c>
    </row>
    <row r="280" spans="1:72" x14ac:dyDescent="0.15">
      <c r="A280" t="s">
        <v>2268</v>
      </c>
      <c r="B280" t="s">
        <v>5383</v>
      </c>
      <c r="C280" t="s">
        <v>5384</v>
      </c>
      <c r="D280" t="s">
        <v>74</v>
      </c>
      <c r="E280" t="s">
        <v>74</v>
      </c>
      <c r="F280" t="s">
        <v>5385</v>
      </c>
      <c r="G280" t="s">
        <v>5384</v>
      </c>
      <c r="H280" t="s">
        <v>74</v>
      </c>
      <c r="I280" t="s">
        <v>5386</v>
      </c>
      <c r="J280" t="s">
        <v>5387</v>
      </c>
      <c r="K280" t="s">
        <v>74</v>
      </c>
      <c r="L280" t="s">
        <v>74</v>
      </c>
      <c r="M280" t="s">
        <v>78</v>
      </c>
      <c r="N280" t="s">
        <v>2275</v>
      </c>
      <c r="O280" t="s">
        <v>5388</v>
      </c>
      <c r="P280" t="s">
        <v>5389</v>
      </c>
      <c r="Q280" t="s">
        <v>5390</v>
      </c>
      <c r="R280" t="s">
        <v>74</v>
      </c>
      <c r="S280" t="s">
        <v>74</v>
      </c>
      <c r="T280" t="s">
        <v>5391</v>
      </c>
      <c r="U280" t="s">
        <v>74</v>
      </c>
      <c r="V280" t="s">
        <v>5392</v>
      </c>
      <c r="W280" t="s">
        <v>5393</v>
      </c>
      <c r="X280" t="s">
        <v>5394</v>
      </c>
      <c r="Y280" t="s">
        <v>5395</v>
      </c>
      <c r="Z280" t="s">
        <v>5396</v>
      </c>
      <c r="AA280" t="s">
        <v>5397</v>
      </c>
      <c r="AB280" t="s">
        <v>5398</v>
      </c>
      <c r="AC280" t="s">
        <v>74</v>
      </c>
      <c r="AD280" t="s">
        <v>74</v>
      </c>
      <c r="AE280" t="s">
        <v>74</v>
      </c>
      <c r="AF280" t="s">
        <v>74</v>
      </c>
      <c r="AG280">
        <v>5</v>
      </c>
      <c r="AH280">
        <v>0</v>
      </c>
      <c r="AI280">
        <v>0</v>
      </c>
      <c r="AJ280">
        <v>1</v>
      </c>
      <c r="AK280">
        <v>4</v>
      </c>
      <c r="AL280" t="s">
        <v>2819</v>
      </c>
      <c r="AM280" t="s">
        <v>91</v>
      </c>
      <c r="AN280" t="s">
        <v>2833</v>
      </c>
      <c r="AO280" t="s">
        <v>74</v>
      </c>
      <c r="AP280" t="s">
        <v>74</v>
      </c>
      <c r="AQ280" t="s">
        <v>5399</v>
      </c>
      <c r="AR280" t="s">
        <v>74</v>
      </c>
      <c r="AS280" t="s">
        <v>74</v>
      </c>
      <c r="AT280" t="s">
        <v>74</v>
      </c>
      <c r="AU280">
        <v>2011</v>
      </c>
      <c r="AV280" t="s">
        <v>74</v>
      </c>
      <c r="AW280" t="s">
        <v>74</v>
      </c>
      <c r="AX280" t="s">
        <v>74</v>
      </c>
      <c r="AY280" t="s">
        <v>74</v>
      </c>
      <c r="AZ280" t="s">
        <v>74</v>
      </c>
      <c r="BA280" t="s">
        <v>74</v>
      </c>
      <c r="BB280">
        <v>147</v>
      </c>
      <c r="BC280">
        <v>150</v>
      </c>
      <c r="BD280" t="s">
        <v>74</v>
      </c>
      <c r="BE280" t="s">
        <v>74</v>
      </c>
      <c r="BF280" t="s">
        <v>74</v>
      </c>
      <c r="BG280" t="s">
        <v>74</v>
      </c>
      <c r="BH280" t="s">
        <v>74</v>
      </c>
      <c r="BI280">
        <v>4</v>
      </c>
      <c r="BJ280" t="s">
        <v>5400</v>
      </c>
      <c r="BK280" t="s">
        <v>2292</v>
      </c>
      <c r="BL280" t="s">
        <v>5401</v>
      </c>
      <c r="BM280" t="s">
        <v>5402</v>
      </c>
      <c r="BN280" t="s">
        <v>74</v>
      </c>
      <c r="BO280" t="s">
        <v>74</v>
      </c>
      <c r="BP280" t="s">
        <v>74</v>
      </c>
      <c r="BQ280" t="s">
        <v>74</v>
      </c>
      <c r="BR280" t="s">
        <v>103</v>
      </c>
      <c r="BS280" t="s">
        <v>5403</v>
      </c>
      <c r="BT280" t="str">
        <f>HYPERLINK("https%3A%2F%2Fwww.webofscience.com%2Fwos%2Fwoscc%2Ffull-record%2FWOS:000398330000037","View Full Record in Web of Science")</f>
        <v>View Full Record in Web of Science</v>
      </c>
    </row>
    <row r="281" spans="1:72" x14ac:dyDescent="0.15">
      <c r="A281" t="s">
        <v>2268</v>
      </c>
      <c r="B281" t="s">
        <v>5404</v>
      </c>
      <c r="C281" t="s">
        <v>74</v>
      </c>
      <c r="D281" t="s">
        <v>5405</v>
      </c>
      <c r="E281" t="s">
        <v>74</v>
      </c>
      <c r="F281" t="s">
        <v>5406</v>
      </c>
      <c r="G281" t="s">
        <v>74</v>
      </c>
      <c r="H281" t="s">
        <v>74</v>
      </c>
      <c r="I281" t="s">
        <v>5407</v>
      </c>
      <c r="J281" t="s">
        <v>5408</v>
      </c>
      <c r="K281" t="s">
        <v>74</v>
      </c>
      <c r="L281" t="s">
        <v>74</v>
      </c>
      <c r="M281" t="s">
        <v>1568</v>
      </c>
      <c r="N281" t="s">
        <v>2275</v>
      </c>
      <c r="O281" t="s">
        <v>5409</v>
      </c>
      <c r="P281" t="s">
        <v>5410</v>
      </c>
      <c r="Q281" t="s">
        <v>5390</v>
      </c>
      <c r="R281" t="s">
        <v>74</v>
      </c>
      <c r="S281" t="s">
        <v>74</v>
      </c>
      <c r="T281" t="s">
        <v>5411</v>
      </c>
      <c r="U281" t="s">
        <v>74</v>
      </c>
      <c r="V281" t="s">
        <v>5412</v>
      </c>
      <c r="W281" t="s">
        <v>5413</v>
      </c>
      <c r="X281" t="s">
        <v>2981</v>
      </c>
      <c r="Y281" t="s">
        <v>5414</v>
      </c>
      <c r="Z281" t="s">
        <v>5415</v>
      </c>
      <c r="AA281" t="s">
        <v>74</v>
      </c>
      <c r="AB281" t="s">
        <v>74</v>
      </c>
      <c r="AC281" t="s">
        <v>74</v>
      </c>
      <c r="AD281" t="s">
        <v>74</v>
      </c>
      <c r="AE281" t="s">
        <v>74</v>
      </c>
      <c r="AF281" t="s">
        <v>74</v>
      </c>
      <c r="AG281">
        <v>10</v>
      </c>
      <c r="AH281">
        <v>0</v>
      </c>
      <c r="AI281">
        <v>0</v>
      </c>
      <c r="AJ281">
        <v>0</v>
      </c>
      <c r="AK281">
        <v>1</v>
      </c>
      <c r="AL281" t="s">
        <v>5416</v>
      </c>
      <c r="AM281" t="s">
        <v>5417</v>
      </c>
      <c r="AN281" t="s">
        <v>5418</v>
      </c>
      <c r="AO281" t="s">
        <v>74</v>
      </c>
      <c r="AP281" t="s">
        <v>74</v>
      </c>
      <c r="AQ281" t="s">
        <v>5419</v>
      </c>
      <c r="AR281" t="s">
        <v>74</v>
      </c>
      <c r="AS281" t="s">
        <v>74</v>
      </c>
      <c r="AT281" t="s">
        <v>74</v>
      </c>
      <c r="AU281">
        <v>2011</v>
      </c>
      <c r="AV281" t="s">
        <v>74</v>
      </c>
      <c r="AW281" t="s">
        <v>74</v>
      </c>
      <c r="AX281" t="s">
        <v>74</v>
      </c>
      <c r="AY281" t="s">
        <v>74</v>
      </c>
      <c r="AZ281" t="s">
        <v>74</v>
      </c>
      <c r="BA281" t="s">
        <v>74</v>
      </c>
      <c r="BB281">
        <v>67</v>
      </c>
      <c r="BC281">
        <v>70</v>
      </c>
      <c r="BD281" t="s">
        <v>74</v>
      </c>
      <c r="BE281" t="s">
        <v>74</v>
      </c>
      <c r="BF281" t="s">
        <v>74</v>
      </c>
      <c r="BG281" t="s">
        <v>74</v>
      </c>
      <c r="BH281" t="s">
        <v>74</v>
      </c>
      <c r="BI281">
        <v>4</v>
      </c>
      <c r="BJ281" t="s">
        <v>5420</v>
      </c>
      <c r="BK281" t="s">
        <v>2292</v>
      </c>
      <c r="BL281" t="s">
        <v>2927</v>
      </c>
      <c r="BM281" t="s">
        <v>5421</v>
      </c>
      <c r="BN281" t="s">
        <v>74</v>
      </c>
      <c r="BO281" t="s">
        <v>74</v>
      </c>
      <c r="BP281" t="s">
        <v>74</v>
      </c>
      <c r="BQ281" t="s">
        <v>74</v>
      </c>
      <c r="BR281" t="s">
        <v>103</v>
      </c>
      <c r="BS281" t="s">
        <v>5422</v>
      </c>
      <c r="BT281" t="str">
        <f>HYPERLINK("https%3A%2F%2Fwww.webofscience.com%2Fwos%2Fwoscc%2Ffull-record%2FWOS:000393363200016","View Full Record in Web of Science")</f>
        <v>View Full Record in Web of Science</v>
      </c>
    </row>
    <row r="282" spans="1:72" x14ac:dyDescent="0.15">
      <c r="A282" t="s">
        <v>2268</v>
      </c>
      <c r="B282" t="s">
        <v>5423</v>
      </c>
      <c r="C282" t="s">
        <v>74</v>
      </c>
      <c r="D282" t="s">
        <v>5424</v>
      </c>
      <c r="E282" t="s">
        <v>74</v>
      </c>
      <c r="F282" t="s">
        <v>5425</v>
      </c>
      <c r="G282" t="s">
        <v>74</v>
      </c>
      <c r="H282" t="s">
        <v>74</v>
      </c>
      <c r="I282" t="s">
        <v>5426</v>
      </c>
      <c r="J282" t="s">
        <v>5427</v>
      </c>
      <c r="K282" t="s">
        <v>5428</v>
      </c>
      <c r="L282" t="s">
        <v>74</v>
      </c>
      <c r="M282" t="s">
        <v>78</v>
      </c>
      <c r="N282" t="s">
        <v>2275</v>
      </c>
      <c r="O282" t="s">
        <v>5429</v>
      </c>
      <c r="P282" t="s">
        <v>5430</v>
      </c>
      <c r="Q282" t="s">
        <v>5431</v>
      </c>
      <c r="R282" t="s">
        <v>74</v>
      </c>
      <c r="S282" t="s">
        <v>74</v>
      </c>
      <c r="T282" t="s">
        <v>74</v>
      </c>
      <c r="U282" t="s">
        <v>74</v>
      </c>
      <c r="V282" t="s">
        <v>5432</v>
      </c>
      <c r="W282" t="s">
        <v>5433</v>
      </c>
      <c r="X282" t="s">
        <v>5434</v>
      </c>
      <c r="Y282" t="s">
        <v>5435</v>
      </c>
      <c r="Z282" t="s">
        <v>5436</v>
      </c>
      <c r="AA282" t="s">
        <v>5437</v>
      </c>
      <c r="AB282" t="s">
        <v>5438</v>
      </c>
      <c r="AC282" t="s">
        <v>74</v>
      </c>
      <c r="AD282" t="s">
        <v>74</v>
      </c>
      <c r="AE282" t="s">
        <v>74</v>
      </c>
      <c r="AF282" t="s">
        <v>74</v>
      </c>
      <c r="AG282">
        <v>11</v>
      </c>
      <c r="AH282">
        <v>0</v>
      </c>
      <c r="AI282">
        <v>0</v>
      </c>
      <c r="AJ282">
        <v>0</v>
      </c>
      <c r="AK282">
        <v>0</v>
      </c>
      <c r="AL282" t="s">
        <v>5439</v>
      </c>
      <c r="AM282" t="s">
        <v>5440</v>
      </c>
      <c r="AN282" t="s">
        <v>5441</v>
      </c>
      <c r="AO282" t="s">
        <v>5442</v>
      </c>
      <c r="AP282" t="s">
        <v>74</v>
      </c>
      <c r="AQ282" t="s">
        <v>5443</v>
      </c>
      <c r="AR282" t="s">
        <v>5444</v>
      </c>
      <c r="AS282" t="s">
        <v>74</v>
      </c>
      <c r="AT282" t="s">
        <v>74</v>
      </c>
      <c r="AU282">
        <v>2011</v>
      </c>
      <c r="AV282">
        <v>700</v>
      </c>
      <c r="AW282" t="s">
        <v>74</v>
      </c>
      <c r="AX282" t="s">
        <v>74</v>
      </c>
      <c r="AY282" t="s">
        <v>74</v>
      </c>
      <c r="AZ282" t="s">
        <v>74</v>
      </c>
      <c r="BA282" t="s">
        <v>74</v>
      </c>
      <c r="BB282">
        <v>379</v>
      </c>
      <c r="BC282">
        <v>386</v>
      </c>
      <c r="BD282" t="s">
        <v>74</v>
      </c>
      <c r="BE282" t="s">
        <v>74</v>
      </c>
      <c r="BF282" t="s">
        <v>74</v>
      </c>
      <c r="BG282" t="s">
        <v>74</v>
      </c>
      <c r="BH282" t="s">
        <v>74</v>
      </c>
      <c r="BI282">
        <v>8</v>
      </c>
      <c r="BJ282" t="s">
        <v>5445</v>
      </c>
      <c r="BK282" t="s">
        <v>2292</v>
      </c>
      <c r="BL282" t="s">
        <v>2927</v>
      </c>
      <c r="BM282" t="s">
        <v>5446</v>
      </c>
      <c r="BN282" t="s">
        <v>74</v>
      </c>
      <c r="BO282" t="s">
        <v>74</v>
      </c>
      <c r="BP282" t="s">
        <v>74</v>
      </c>
      <c r="BQ282" t="s">
        <v>74</v>
      </c>
      <c r="BR282" t="s">
        <v>103</v>
      </c>
      <c r="BS282" t="s">
        <v>5447</v>
      </c>
      <c r="BT282" t="str">
        <f>HYPERLINK("https%3A%2F%2Fwww.webofscience.com%2Fwos%2Fwoscc%2Ffull-record%2FWOS:000324759000060","View Full Record in Web of Science")</f>
        <v>View Full Record in Web of Science</v>
      </c>
    </row>
    <row r="283" spans="1:72" x14ac:dyDescent="0.15">
      <c r="A283" t="s">
        <v>72</v>
      </c>
      <c r="B283" t="s">
        <v>5448</v>
      </c>
      <c r="C283" t="s">
        <v>74</v>
      </c>
      <c r="D283" t="s">
        <v>74</v>
      </c>
      <c r="E283" t="s">
        <v>74</v>
      </c>
      <c r="F283" t="s">
        <v>5449</v>
      </c>
      <c r="G283" t="s">
        <v>74</v>
      </c>
      <c r="H283" t="s">
        <v>74</v>
      </c>
      <c r="I283" t="s">
        <v>5450</v>
      </c>
      <c r="J283" t="s">
        <v>5451</v>
      </c>
      <c r="K283" t="s">
        <v>74</v>
      </c>
      <c r="L283" t="s">
        <v>74</v>
      </c>
      <c r="M283" t="s">
        <v>78</v>
      </c>
      <c r="N283" t="s">
        <v>52</v>
      </c>
      <c r="O283" t="s">
        <v>74</v>
      </c>
      <c r="P283" t="s">
        <v>74</v>
      </c>
      <c r="Q283" t="s">
        <v>74</v>
      </c>
      <c r="R283" t="s">
        <v>74</v>
      </c>
      <c r="S283" t="s">
        <v>74</v>
      </c>
      <c r="T283" t="s">
        <v>5452</v>
      </c>
      <c r="U283" t="s">
        <v>74</v>
      </c>
      <c r="V283" t="s">
        <v>74</v>
      </c>
      <c r="W283" t="s">
        <v>5453</v>
      </c>
      <c r="X283" t="s">
        <v>5454</v>
      </c>
      <c r="Y283" t="s">
        <v>74</v>
      </c>
      <c r="Z283" t="s">
        <v>5455</v>
      </c>
      <c r="AA283" t="s">
        <v>5456</v>
      </c>
      <c r="AB283" t="s">
        <v>5457</v>
      </c>
      <c r="AC283" t="s">
        <v>5458</v>
      </c>
      <c r="AD283" t="s">
        <v>5458</v>
      </c>
      <c r="AE283" t="s">
        <v>5459</v>
      </c>
      <c r="AF283" t="s">
        <v>74</v>
      </c>
      <c r="AG283">
        <v>7</v>
      </c>
      <c r="AH283">
        <v>0</v>
      </c>
      <c r="AI283">
        <v>0</v>
      </c>
      <c r="AJ283">
        <v>0</v>
      </c>
      <c r="AK283">
        <v>0</v>
      </c>
      <c r="AL283" t="s">
        <v>5460</v>
      </c>
      <c r="AM283" t="s">
        <v>5461</v>
      </c>
      <c r="AN283" t="s">
        <v>5462</v>
      </c>
      <c r="AO283" t="s">
        <v>5463</v>
      </c>
      <c r="AP283" t="s">
        <v>74</v>
      </c>
      <c r="AQ283" t="s">
        <v>74</v>
      </c>
      <c r="AR283" t="s">
        <v>5464</v>
      </c>
      <c r="AS283" t="s">
        <v>5465</v>
      </c>
      <c r="AT283" t="s">
        <v>74</v>
      </c>
      <c r="AU283">
        <v>2011</v>
      </c>
      <c r="AV283">
        <v>67</v>
      </c>
      <c r="AW283" t="s">
        <v>74</v>
      </c>
      <c r="AX283" t="s">
        <v>74</v>
      </c>
      <c r="AY283" t="s">
        <v>2017</v>
      </c>
      <c r="AZ283" t="s">
        <v>74</v>
      </c>
      <c r="BA283" t="s">
        <v>5466</v>
      </c>
      <c r="BB283" t="s">
        <v>5467</v>
      </c>
      <c r="BC283" t="s">
        <v>5467</v>
      </c>
      <c r="BD283" t="s">
        <v>74</v>
      </c>
      <c r="BE283" t="s">
        <v>5468</v>
      </c>
      <c r="BF283" t="str">
        <f>HYPERLINK("http://dx.doi.org/10.1107/S0108767311086016","http://dx.doi.org/10.1107/S0108767311086016")</f>
        <v>http://dx.doi.org/10.1107/S0108767311086016</v>
      </c>
      <c r="BG283" t="s">
        <v>74</v>
      </c>
      <c r="BH283" t="s">
        <v>74</v>
      </c>
      <c r="BI283">
        <v>1</v>
      </c>
      <c r="BJ283" t="s">
        <v>5469</v>
      </c>
      <c r="BK283" t="s">
        <v>100</v>
      </c>
      <c r="BL283" t="s">
        <v>5470</v>
      </c>
      <c r="BM283" t="s">
        <v>5471</v>
      </c>
      <c r="BN283" t="s">
        <v>74</v>
      </c>
      <c r="BO283" t="s">
        <v>252</v>
      </c>
      <c r="BP283" t="s">
        <v>74</v>
      </c>
      <c r="BQ283" t="s">
        <v>74</v>
      </c>
      <c r="BR283" t="s">
        <v>103</v>
      </c>
      <c r="BS283" t="s">
        <v>5472</v>
      </c>
      <c r="BT283" t="str">
        <f>HYPERLINK("https%3A%2F%2Fwww.webofscience.com%2Fwos%2Fwoscc%2Ffull-record%2FWOS:000484219402385","View Full Record in Web of Science")</f>
        <v>View Full Record in Web of Science</v>
      </c>
    </row>
    <row r="284" spans="1:72" x14ac:dyDescent="0.15">
      <c r="A284" t="s">
        <v>2017</v>
      </c>
      <c r="B284" t="s">
        <v>5473</v>
      </c>
      <c r="C284" t="s">
        <v>74</v>
      </c>
      <c r="D284" t="s">
        <v>5474</v>
      </c>
      <c r="E284" t="s">
        <v>74</v>
      </c>
      <c r="F284" t="s">
        <v>5475</v>
      </c>
      <c r="G284" t="s">
        <v>74</v>
      </c>
      <c r="H284" t="s">
        <v>74</v>
      </c>
      <c r="I284" t="s">
        <v>5476</v>
      </c>
      <c r="J284" t="s">
        <v>5477</v>
      </c>
      <c r="K284" t="s">
        <v>5478</v>
      </c>
      <c r="L284" t="s">
        <v>74</v>
      </c>
      <c r="M284" t="s">
        <v>78</v>
      </c>
      <c r="N284" t="s">
        <v>2533</v>
      </c>
      <c r="O284" t="s">
        <v>74</v>
      </c>
      <c r="P284" t="s">
        <v>74</v>
      </c>
      <c r="Q284" t="s">
        <v>74</v>
      </c>
      <c r="R284" t="s">
        <v>74</v>
      </c>
      <c r="S284" t="s">
        <v>74</v>
      </c>
      <c r="T284" t="s">
        <v>74</v>
      </c>
      <c r="U284" t="s">
        <v>5479</v>
      </c>
      <c r="V284" t="s">
        <v>5480</v>
      </c>
      <c r="W284" t="s">
        <v>5481</v>
      </c>
      <c r="X284" t="s">
        <v>5482</v>
      </c>
      <c r="Y284" t="s">
        <v>5483</v>
      </c>
      <c r="Z284" t="s">
        <v>5484</v>
      </c>
      <c r="AA284" t="s">
        <v>5485</v>
      </c>
      <c r="AB284" t="s">
        <v>5486</v>
      </c>
      <c r="AC284" t="s">
        <v>5487</v>
      </c>
      <c r="AD284" t="s">
        <v>5488</v>
      </c>
      <c r="AE284" t="s">
        <v>74</v>
      </c>
      <c r="AF284" t="s">
        <v>74</v>
      </c>
      <c r="AG284">
        <v>127</v>
      </c>
      <c r="AH284">
        <v>78</v>
      </c>
      <c r="AI284">
        <v>89</v>
      </c>
      <c r="AJ284">
        <v>3</v>
      </c>
      <c r="AK284">
        <v>100</v>
      </c>
      <c r="AL284" t="s">
        <v>2543</v>
      </c>
      <c r="AM284" t="s">
        <v>2544</v>
      </c>
      <c r="AN284" t="s">
        <v>2545</v>
      </c>
      <c r="AO284" t="s">
        <v>5489</v>
      </c>
      <c r="AP284" t="s">
        <v>5490</v>
      </c>
      <c r="AQ284" t="s">
        <v>5491</v>
      </c>
      <c r="AR284" t="s">
        <v>5492</v>
      </c>
      <c r="AS284" t="s">
        <v>5493</v>
      </c>
      <c r="AT284" t="s">
        <v>74</v>
      </c>
      <c r="AU284">
        <v>2011</v>
      </c>
      <c r="AV284">
        <v>45</v>
      </c>
      <c r="AW284" t="s">
        <v>74</v>
      </c>
      <c r="AX284" t="s">
        <v>74</v>
      </c>
      <c r="AY284" t="s">
        <v>74</v>
      </c>
      <c r="AZ284" t="s">
        <v>74</v>
      </c>
      <c r="BA284" t="s">
        <v>74</v>
      </c>
      <c r="BB284">
        <v>181</v>
      </c>
      <c r="BC284">
        <v>223</v>
      </c>
      <c r="BD284" t="s">
        <v>74</v>
      </c>
      <c r="BE284" t="s">
        <v>5494</v>
      </c>
      <c r="BF284" t="str">
        <f>HYPERLINK("http://dx.doi.org/10.1016/B978-0-12-386475-8.00005-8","http://dx.doi.org/10.1016/B978-0-12-386475-8.00005-8")</f>
        <v>http://dx.doi.org/10.1016/B978-0-12-386475-8.00005-8</v>
      </c>
      <c r="BG284" t="s">
        <v>74</v>
      </c>
      <c r="BH284" t="s">
        <v>74</v>
      </c>
      <c r="BI284">
        <v>43</v>
      </c>
      <c r="BJ284" t="s">
        <v>821</v>
      </c>
      <c r="BK284" t="s">
        <v>2551</v>
      </c>
      <c r="BL284" t="s">
        <v>822</v>
      </c>
      <c r="BM284" t="s">
        <v>5495</v>
      </c>
      <c r="BN284" t="s">
        <v>74</v>
      </c>
      <c r="BO284" t="s">
        <v>74</v>
      </c>
      <c r="BP284" t="s">
        <v>74</v>
      </c>
      <c r="BQ284" t="s">
        <v>74</v>
      </c>
      <c r="BR284" t="s">
        <v>103</v>
      </c>
      <c r="BS284" t="s">
        <v>5496</v>
      </c>
      <c r="BT284" t="str">
        <f>HYPERLINK("https%3A%2F%2Fwww.webofscience.com%2Fwos%2Fwoscc%2Ffull-record%2FWOS:000303215900005","View Full Record in Web of Science")</f>
        <v>View Full Record in Web of Science</v>
      </c>
    </row>
    <row r="285" spans="1:72" x14ac:dyDescent="0.15">
      <c r="A285" t="s">
        <v>2017</v>
      </c>
      <c r="B285" t="s">
        <v>5497</v>
      </c>
      <c r="C285" t="s">
        <v>74</v>
      </c>
      <c r="D285" t="s">
        <v>2528</v>
      </c>
      <c r="E285" t="s">
        <v>74</v>
      </c>
      <c r="F285" t="s">
        <v>5498</v>
      </c>
      <c r="G285" t="s">
        <v>74</v>
      </c>
      <c r="H285" t="s">
        <v>74</v>
      </c>
      <c r="I285" t="s">
        <v>5499</v>
      </c>
      <c r="J285" t="s">
        <v>2531</v>
      </c>
      <c r="K285" t="s">
        <v>2532</v>
      </c>
      <c r="L285" t="s">
        <v>74</v>
      </c>
      <c r="M285" t="s">
        <v>78</v>
      </c>
      <c r="N285" t="s">
        <v>2533</v>
      </c>
      <c r="O285" t="s">
        <v>74</v>
      </c>
      <c r="P285" t="s">
        <v>74</v>
      </c>
      <c r="Q285" t="s">
        <v>74</v>
      </c>
      <c r="R285" t="s">
        <v>74</v>
      </c>
      <c r="S285" t="s">
        <v>74</v>
      </c>
      <c r="T285" t="s">
        <v>74</v>
      </c>
      <c r="U285" t="s">
        <v>5500</v>
      </c>
      <c r="V285" t="s">
        <v>74</v>
      </c>
      <c r="W285" t="s">
        <v>5501</v>
      </c>
      <c r="X285" t="s">
        <v>5502</v>
      </c>
      <c r="Y285" t="s">
        <v>5503</v>
      </c>
      <c r="Z285" t="s">
        <v>5504</v>
      </c>
      <c r="AA285" t="s">
        <v>5505</v>
      </c>
      <c r="AB285" t="s">
        <v>5506</v>
      </c>
      <c r="AC285" t="s">
        <v>74</v>
      </c>
      <c r="AD285" t="s">
        <v>74</v>
      </c>
      <c r="AE285" t="s">
        <v>74</v>
      </c>
      <c r="AF285" t="s">
        <v>74</v>
      </c>
      <c r="AG285">
        <v>222</v>
      </c>
      <c r="AH285">
        <v>114</v>
      </c>
      <c r="AI285">
        <v>117</v>
      </c>
      <c r="AJ285">
        <v>5</v>
      </c>
      <c r="AK285">
        <v>116</v>
      </c>
      <c r="AL285" t="s">
        <v>2543</v>
      </c>
      <c r="AM285" t="s">
        <v>2544</v>
      </c>
      <c r="AN285" t="s">
        <v>2545</v>
      </c>
      <c r="AO285" t="s">
        <v>2546</v>
      </c>
      <c r="AP285" t="s">
        <v>74</v>
      </c>
      <c r="AQ285" t="s">
        <v>2547</v>
      </c>
      <c r="AR285" t="s">
        <v>2548</v>
      </c>
      <c r="AS285" t="s">
        <v>2549</v>
      </c>
      <c r="AT285" t="s">
        <v>74</v>
      </c>
      <c r="AU285">
        <v>2011</v>
      </c>
      <c r="AV285">
        <v>60</v>
      </c>
      <c r="AW285" t="s">
        <v>74</v>
      </c>
      <c r="AX285" t="s">
        <v>74</v>
      </c>
      <c r="AY285" t="s">
        <v>74</v>
      </c>
      <c r="AZ285" t="s">
        <v>74</v>
      </c>
      <c r="BA285" t="s">
        <v>74</v>
      </c>
      <c r="BB285">
        <v>41</v>
      </c>
      <c r="BC285">
        <v>122</v>
      </c>
      <c r="BD285" t="s">
        <v>74</v>
      </c>
      <c r="BE285" t="s">
        <v>5507</v>
      </c>
      <c r="BF285" t="str">
        <f>HYPERLINK("http://dx.doi.org/10.1016/B978-0-12-385529-9.00002-0","http://dx.doi.org/10.1016/B978-0-12-385529-9.00002-0")</f>
        <v>http://dx.doi.org/10.1016/B978-0-12-385529-9.00002-0</v>
      </c>
      <c r="BG285" t="s">
        <v>74</v>
      </c>
      <c r="BH285" t="s">
        <v>74</v>
      </c>
      <c r="BI285">
        <v>82</v>
      </c>
      <c r="BJ285" t="s">
        <v>893</v>
      </c>
      <c r="BK285" t="s">
        <v>2551</v>
      </c>
      <c r="BL285" t="s">
        <v>893</v>
      </c>
      <c r="BM285" t="s">
        <v>2552</v>
      </c>
      <c r="BN285">
        <v>21962750</v>
      </c>
      <c r="BO285" t="s">
        <v>74</v>
      </c>
      <c r="BP285" t="s">
        <v>74</v>
      </c>
      <c r="BQ285" t="s">
        <v>74</v>
      </c>
      <c r="BR285" t="s">
        <v>103</v>
      </c>
      <c r="BS285" t="s">
        <v>5508</v>
      </c>
      <c r="BT285" t="str">
        <f>HYPERLINK("https%3A%2F%2Fwww.webofscience.com%2Fwos%2Fwoscc%2Ffull-record%2FWOS:000301675300002","View Full Record in Web of Science")</f>
        <v>View Full Record in Web of Science</v>
      </c>
    </row>
    <row r="286" spans="1:72" x14ac:dyDescent="0.15">
      <c r="A286" t="s">
        <v>72</v>
      </c>
      <c r="B286" t="s">
        <v>5509</v>
      </c>
      <c r="C286" t="s">
        <v>74</v>
      </c>
      <c r="D286" t="s">
        <v>74</v>
      </c>
      <c r="E286" t="s">
        <v>74</v>
      </c>
      <c r="F286" t="s">
        <v>5510</v>
      </c>
      <c r="G286" t="s">
        <v>74</v>
      </c>
      <c r="H286" t="s">
        <v>74</v>
      </c>
      <c r="I286" t="s">
        <v>5511</v>
      </c>
      <c r="J286" t="s">
        <v>4076</v>
      </c>
      <c r="K286" t="s">
        <v>74</v>
      </c>
      <c r="L286" t="s">
        <v>74</v>
      </c>
      <c r="M286" t="s">
        <v>78</v>
      </c>
      <c r="N286" t="s">
        <v>79</v>
      </c>
      <c r="O286" t="s">
        <v>74</v>
      </c>
      <c r="P286" t="s">
        <v>74</v>
      </c>
      <c r="Q286" t="s">
        <v>74</v>
      </c>
      <c r="R286" t="s">
        <v>74</v>
      </c>
      <c r="S286" t="s">
        <v>74</v>
      </c>
      <c r="T286" t="s">
        <v>5512</v>
      </c>
      <c r="U286" t="s">
        <v>5513</v>
      </c>
      <c r="V286" t="s">
        <v>5514</v>
      </c>
      <c r="W286" t="s">
        <v>5515</v>
      </c>
      <c r="X286" t="s">
        <v>5095</v>
      </c>
      <c r="Y286" t="s">
        <v>5516</v>
      </c>
      <c r="Z286" t="s">
        <v>5517</v>
      </c>
      <c r="AA286" t="s">
        <v>5518</v>
      </c>
      <c r="AB286" t="s">
        <v>5519</v>
      </c>
      <c r="AC286" t="s">
        <v>5520</v>
      </c>
      <c r="AD286" t="s">
        <v>5521</v>
      </c>
      <c r="AE286" t="s">
        <v>5522</v>
      </c>
      <c r="AF286" t="s">
        <v>74</v>
      </c>
      <c r="AG286">
        <v>53</v>
      </c>
      <c r="AH286">
        <v>30</v>
      </c>
      <c r="AI286">
        <v>31</v>
      </c>
      <c r="AJ286">
        <v>0</v>
      </c>
      <c r="AK286">
        <v>27</v>
      </c>
      <c r="AL286" t="s">
        <v>4089</v>
      </c>
      <c r="AM286" t="s">
        <v>4090</v>
      </c>
      <c r="AN286" t="s">
        <v>4091</v>
      </c>
      <c r="AO286" t="s">
        <v>4092</v>
      </c>
      <c r="AP286" t="s">
        <v>74</v>
      </c>
      <c r="AQ286" t="s">
        <v>74</v>
      </c>
      <c r="AR286" t="s">
        <v>4094</v>
      </c>
      <c r="AS286" t="s">
        <v>4095</v>
      </c>
      <c r="AT286" t="s">
        <v>74</v>
      </c>
      <c r="AU286">
        <v>2011</v>
      </c>
      <c r="AV286">
        <v>33</v>
      </c>
      <c r="AW286">
        <v>1</v>
      </c>
      <c r="AX286" t="s">
        <v>74</v>
      </c>
      <c r="AY286" t="s">
        <v>74</v>
      </c>
      <c r="AZ286" t="s">
        <v>74</v>
      </c>
      <c r="BA286" t="s">
        <v>74</v>
      </c>
      <c r="BB286">
        <v>99</v>
      </c>
      <c r="BC286">
        <v>105</v>
      </c>
      <c r="BD286" t="s">
        <v>74</v>
      </c>
      <c r="BE286" t="s">
        <v>5523</v>
      </c>
      <c r="BF286" t="str">
        <f>HYPERLINK("http://dx.doi.org/10.2989/1814232X.2011.572356","http://dx.doi.org/10.2989/1814232X.2011.572356")</f>
        <v>http://dx.doi.org/10.2989/1814232X.2011.572356</v>
      </c>
      <c r="BG286" t="s">
        <v>74</v>
      </c>
      <c r="BH286" t="s">
        <v>74</v>
      </c>
      <c r="BI286">
        <v>7</v>
      </c>
      <c r="BJ286" t="s">
        <v>893</v>
      </c>
      <c r="BK286" t="s">
        <v>100</v>
      </c>
      <c r="BL286" t="s">
        <v>893</v>
      </c>
      <c r="BM286" t="s">
        <v>4097</v>
      </c>
      <c r="BN286" t="s">
        <v>74</v>
      </c>
      <c r="BO286" t="s">
        <v>138</v>
      </c>
      <c r="BP286" t="s">
        <v>74</v>
      </c>
      <c r="BQ286" t="s">
        <v>74</v>
      </c>
      <c r="BR286" t="s">
        <v>103</v>
      </c>
      <c r="BS286" t="s">
        <v>5524</v>
      </c>
      <c r="BT286" t="str">
        <f>HYPERLINK("https%3A%2F%2Fwww.webofscience.com%2Fwos%2Fwoscc%2Ffull-record%2FWOS:000291498700009","View Full Record in Web of Science")</f>
        <v>View Full Record in Web of Science</v>
      </c>
    </row>
    <row r="287" spans="1:72" x14ac:dyDescent="0.15">
      <c r="A287" t="s">
        <v>72</v>
      </c>
      <c r="B287" t="s">
        <v>5525</v>
      </c>
      <c r="C287" t="s">
        <v>74</v>
      </c>
      <c r="D287" t="s">
        <v>74</v>
      </c>
      <c r="E287" t="s">
        <v>74</v>
      </c>
      <c r="F287" t="s">
        <v>5526</v>
      </c>
      <c r="G287" t="s">
        <v>74</v>
      </c>
      <c r="H287" t="s">
        <v>74</v>
      </c>
      <c r="I287" t="s">
        <v>5527</v>
      </c>
      <c r="J287" t="s">
        <v>4076</v>
      </c>
      <c r="K287" t="s">
        <v>74</v>
      </c>
      <c r="L287" t="s">
        <v>74</v>
      </c>
      <c r="M287" t="s">
        <v>78</v>
      </c>
      <c r="N287" t="s">
        <v>79</v>
      </c>
      <c r="O287" t="s">
        <v>74</v>
      </c>
      <c r="P287" t="s">
        <v>74</v>
      </c>
      <c r="Q287" t="s">
        <v>74</v>
      </c>
      <c r="R287" t="s">
        <v>74</v>
      </c>
      <c r="S287" t="s">
        <v>74</v>
      </c>
      <c r="T287" t="s">
        <v>5528</v>
      </c>
      <c r="U287" t="s">
        <v>5529</v>
      </c>
      <c r="V287" t="s">
        <v>5530</v>
      </c>
      <c r="W287" t="s">
        <v>5531</v>
      </c>
      <c r="X287" t="s">
        <v>5532</v>
      </c>
      <c r="Y287" t="s">
        <v>5533</v>
      </c>
      <c r="Z287" t="s">
        <v>5534</v>
      </c>
      <c r="AA287" t="s">
        <v>5535</v>
      </c>
      <c r="AB287" t="s">
        <v>5536</v>
      </c>
      <c r="AC287" t="s">
        <v>5537</v>
      </c>
      <c r="AD287" t="s">
        <v>5538</v>
      </c>
      <c r="AE287" t="s">
        <v>5539</v>
      </c>
      <c r="AF287" t="s">
        <v>74</v>
      </c>
      <c r="AG287">
        <v>80</v>
      </c>
      <c r="AH287">
        <v>35</v>
      </c>
      <c r="AI287">
        <v>42</v>
      </c>
      <c r="AJ287">
        <v>0</v>
      </c>
      <c r="AK287">
        <v>34</v>
      </c>
      <c r="AL287" t="s">
        <v>474</v>
      </c>
      <c r="AM287" t="s">
        <v>475</v>
      </c>
      <c r="AN287" t="s">
        <v>476</v>
      </c>
      <c r="AO287" t="s">
        <v>4092</v>
      </c>
      <c r="AP287" t="s">
        <v>4093</v>
      </c>
      <c r="AQ287" t="s">
        <v>74</v>
      </c>
      <c r="AR287" t="s">
        <v>4094</v>
      </c>
      <c r="AS287" t="s">
        <v>4095</v>
      </c>
      <c r="AT287" t="s">
        <v>74</v>
      </c>
      <c r="AU287">
        <v>2011</v>
      </c>
      <c r="AV287">
        <v>33</v>
      </c>
      <c r="AW287">
        <v>3</v>
      </c>
      <c r="AX287" t="s">
        <v>74</v>
      </c>
      <c r="AY287" t="s">
        <v>74</v>
      </c>
      <c r="AZ287" t="s">
        <v>74</v>
      </c>
      <c r="BA287" t="s">
        <v>74</v>
      </c>
      <c r="BB287">
        <v>353</v>
      </c>
      <c r="BC287">
        <v>373</v>
      </c>
      <c r="BD287" t="s">
        <v>74</v>
      </c>
      <c r="BE287" t="s">
        <v>5540</v>
      </c>
      <c r="BF287" t="str">
        <f>HYPERLINK("http://dx.doi.org/10.2989/1814232X.2011.637343","http://dx.doi.org/10.2989/1814232X.2011.637343")</f>
        <v>http://dx.doi.org/10.2989/1814232X.2011.637343</v>
      </c>
      <c r="BG287" t="s">
        <v>74</v>
      </c>
      <c r="BH287" t="s">
        <v>74</v>
      </c>
      <c r="BI287">
        <v>21</v>
      </c>
      <c r="BJ287" t="s">
        <v>893</v>
      </c>
      <c r="BK287" t="s">
        <v>100</v>
      </c>
      <c r="BL287" t="s">
        <v>893</v>
      </c>
      <c r="BM287" t="s">
        <v>5541</v>
      </c>
      <c r="BN287" t="s">
        <v>74</v>
      </c>
      <c r="BO287" t="s">
        <v>74</v>
      </c>
      <c r="BP287" t="s">
        <v>74</v>
      </c>
      <c r="BQ287" t="s">
        <v>74</v>
      </c>
      <c r="BR287" t="s">
        <v>103</v>
      </c>
      <c r="BS287" t="s">
        <v>5542</v>
      </c>
      <c r="BT287" t="str">
        <f>HYPERLINK("https%3A%2F%2Fwww.webofscience.com%2Fwos%2Fwoscc%2Ffull-record%2FWOS:000299037500003","View Full Record in Web of Science")</f>
        <v>View Full Record in Web of Science</v>
      </c>
    </row>
    <row r="288" spans="1:72" x14ac:dyDescent="0.15">
      <c r="A288" t="s">
        <v>72</v>
      </c>
      <c r="B288" t="s">
        <v>5543</v>
      </c>
      <c r="C288" t="s">
        <v>74</v>
      </c>
      <c r="D288" t="s">
        <v>74</v>
      </c>
      <c r="E288" t="s">
        <v>74</v>
      </c>
      <c r="F288" t="s">
        <v>5544</v>
      </c>
      <c r="G288" t="s">
        <v>74</v>
      </c>
      <c r="H288" t="s">
        <v>74</v>
      </c>
      <c r="I288" t="s">
        <v>5545</v>
      </c>
      <c r="J288" t="s">
        <v>4076</v>
      </c>
      <c r="K288" t="s">
        <v>74</v>
      </c>
      <c r="L288" t="s">
        <v>74</v>
      </c>
      <c r="M288" t="s">
        <v>78</v>
      </c>
      <c r="N288" t="s">
        <v>79</v>
      </c>
      <c r="O288" t="s">
        <v>74</v>
      </c>
      <c r="P288" t="s">
        <v>74</v>
      </c>
      <c r="Q288" t="s">
        <v>74</v>
      </c>
      <c r="R288" t="s">
        <v>74</v>
      </c>
      <c r="S288" t="s">
        <v>74</v>
      </c>
      <c r="T288" t="s">
        <v>5546</v>
      </c>
      <c r="U288" t="s">
        <v>5547</v>
      </c>
      <c r="V288" t="s">
        <v>5548</v>
      </c>
      <c r="W288" t="s">
        <v>5549</v>
      </c>
      <c r="X288" t="s">
        <v>5095</v>
      </c>
      <c r="Y288" t="s">
        <v>5550</v>
      </c>
      <c r="Z288" t="s">
        <v>5551</v>
      </c>
      <c r="AA288" t="s">
        <v>5552</v>
      </c>
      <c r="AB288" t="s">
        <v>5553</v>
      </c>
      <c r="AC288" t="s">
        <v>5554</v>
      </c>
      <c r="AD288" t="s">
        <v>5554</v>
      </c>
      <c r="AE288" t="s">
        <v>5555</v>
      </c>
      <c r="AF288" t="s">
        <v>74</v>
      </c>
      <c r="AG288">
        <v>176</v>
      </c>
      <c r="AH288">
        <v>26</v>
      </c>
      <c r="AI288">
        <v>27</v>
      </c>
      <c r="AJ288">
        <v>1</v>
      </c>
      <c r="AK288">
        <v>32</v>
      </c>
      <c r="AL288" t="s">
        <v>4089</v>
      </c>
      <c r="AM288" t="s">
        <v>4090</v>
      </c>
      <c r="AN288" t="s">
        <v>4091</v>
      </c>
      <c r="AO288" t="s">
        <v>4092</v>
      </c>
      <c r="AP288" t="s">
        <v>4093</v>
      </c>
      <c r="AQ288" t="s">
        <v>74</v>
      </c>
      <c r="AR288" t="s">
        <v>4094</v>
      </c>
      <c r="AS288" t="s">
        <v>4095</v>
      </c>
      <c r="AT288" t="s">
        <v>74</v>
      </c>
      <c r="AU288">
        <v>2011</v>
      </c>
      <c r="AV288">
        <v>33</v>
      </c>
      <c r="AW288">
        <v>3</v>
      </c>
      <c r="AX288" t="s">
        <v>74</v>
      </c>
      <c r="AY288" t="s">
        <v>74</v>
      </c>
      <c r="AZ288" t="s">
        <v>74</v>
      </c>
      <c r="BA288" t="s">
        <v>74</v>
      </c>
      <c r="BB288">
        <v>511</v>
      </c>
      <c r="BC288">
        <v>521</v>
      </c>
      <c r="BD288" t="s">
        <v>74</v>
      </c>
      <c r="BE288" t="s">
        <v>5556</v>
      </c>
      <c r="BF288" t="str">
        <f>HYPERLINK("http://dx.doi.org/10.2989/1814232X.2011.637356","http://dx.doi.org/10.2989/1814232X.2011.637356")</f>
        <v>http://dx.doi.org/10.2989/1814232X.2011.637356</v>
      </c>
      <c r="BG288" t="s">
        <v>74</v>
      </c>
      <c r="BH288" t="s">
        <v>74</v>
      </c>
      <c r="BI288">
        <v>11</v>
      </c>
      <c r="BJ288" t="s">
        <v>893</v>
      </c>
      <c r="BK288" t="s">
        <v>100</v>
      </c>
      <c r="BL288" t="s">
        <v>893</v>
      </c>
      <c r="BM288" t="s">
        <v>5541</v>
      </c>
      <c r="BN288" t="s">
        <v>74</v>
      </c>
      <c r="BO288" t="s">
        <v>74</v>
      </c>
      <c r="BP288" t="s">
        <v>74</v>
      </c>
      <c r="BQ288" t="s">
        <v>74</v>
      </c>
      <c r="BR288" t="s">
        <v>103</v>
      </c>
      <c r="BS288" t="s">
        <v>5557</v>
      </c>
      <c r="BT288" t="str">
        <f>HYPERLINK("https%3A%2F%2Fwww.webofscience.com%2Fwos%2Fwoscc%2Ffull-record%2FWOS:000299037500014","View Full Record in Web of Science")</f>
        <v>View Full Record in Web of Science</v>
      </c>
    </row>
    <row r="289" spans="1:72" x14ac:dyDescent="0.15">
      <c r="A289" t="s">
        <v>72</v>
      </c>
      <c r="B289" t="s">
        <v>5558</v>
      </c>
      <c r="C289" t="s">
        <v>74</v>
      </c>
      <c r="D289" t="s">
        <v>74</v>
      </c>
      <c r="E289" t="s">
        <v>74</v>
      </c>
      <c r="F289" t="s">
        <v>5559</v>
      </c>
      <c r="G289" t="s">
        <v>74</v>
      </c>
      <c r="H289" t="s">
        <v>74</v>
      </c>
      <c r="I289" t="s">
        <v>5560</v>
      </c>
      <c r="J289" t="s">
        <v>4076</v>
      </c>
      <c r="K289" t="s">
        <v>74</v>
      </c>
      <c r="L289" t="s">
        <v>74</v>
      </c>
      <c r="M289" t="s">
        <v>78</v>
      </c>
      <c r="N289" t="s">
        <v>79</v>
      </c>
      <c r="O289" t="s">
        <v>74</v>
      </c>
      <c r="P289" t="s">
        <v>74</v>
      </c>
      <c r="Q289" t="s">
        <v>74</v>
      </c>
      <c r="R289" t="s">
        <v>74</v>
      </c>
      <c r="S289" t="s">
        <v>74</v>
      </c>
      <c r="T289" t="s">
        <v>5561</v>
      </c>
      <c r="U289" t="s">
        <v>5562</v>
      </c>
      <c r="V289" t="s">
        <v>5563</v>
      </c>
      <c r="W289" t="s">
        <v>5564</v>
      </c>
      <c r="X289" t="s">
        <v>5565</v>
      </c>
      <c r="Y289" t="s">
        <v>5566</v>
      </c>
      <c r="Z289" t="s">
        <v>5567</v>
      </c>
      <c r="AA289" t="s">
        <v>5568</v>
      </c>
      <c r="AB289" t="s">
        <v>5569</v>
      </c>
      <c r="AC289" t="s">
        <v>5570</v>
      </c>
      <c r="AD289" t="s">
        <v>5571</v>
      </c>
      <c r="AE289" t="s">
        <v>5572</v>
      </c>
      <c r="AF289" t="s">
        <v>74</v>
      </c>
      <c r="AG289">
        <v>142</v>
      </c>
      <c r="AH289">
        <v>37</v>
      </c>
      <c r="AI289">
        <v>40</v>
      </c>
      <c r="AJ289">
        <v>1</v>
      </c>
      <c r="AK289">
        <v>39</v>
      </c>
      <c r="AL289" t="s">
        <v>474</v>
      </c>
      <c r="AM289" t="s">
        <v>475</v>
      </c>
      <c r="AN289" t="s">
        <v>476</v>
      </c>
      <c r="AO289" t="s">
        <v>4092</v>
      </c>
      <c r="AP289" t="s">
        <v>4093</v>
      </c>
      <c r="AQ289" t="s">
        <v>74</v>
      </c>
      <c r="AR289" t="s">
        <v>4094</v>
      </c>
      <c r="AS289" t="s">
        <v>4095</v>
      </c>
      <c r="AT289" t="s">
        <v>74</v>
      </c>
      <c r="AU289">
        <v>2011</v>
      </c>
      <c r="AV289">
        <v>33</v>
      </c>
      <c r="AW289">
        <v>3</v>
      </c>
      <c r="AX289" t="s">
        <v>74</v>
      </c>
      <c r="AY289" t="s">
        <v>74</v>
      </c>
      <c r="AZ289" t="s">
        <v>74</v>
      </c>
      <c r="BA289" t="s">
        <v>74</v>
      </c>
      <c r="BB289">
        <v>523</v>
      </c>
      <c r="BC289">
        <v>534</v>
      </c>
      <c r="BD289" t="s">
        <v>74</v>
      </c>
      <c r="BE289" t="s">
        <v>5573</v>
      </c>
      <c r="BF289" t="str">
        <f>HYPERLINK("http://dx.doi.org/10.2989/1814232X.2011.637357","http://dx.doi.org/10.2989/1814232X.2011.637357")</f>
        <v>http://dx.doi.org/10.2989/1814232X.2011.637357</v>
      </c>
      <c r="BG289" t="s">
        <v>74</v>
      </c>
      <c r="BH289" t="s">
        <v>74</v>
      </c>
      <c r="BI289">
        <v>12</v>
      </c>
      <c r="BJ289" t="s">
        <v>893</v>
      </c>
      <c r="BK289" t="s">
        <v>100</v>
      </c>
      <c r="BL289" t="s">
        <v>893</v>
      </c>
      <c r="BM289" t="s">
        <v>5541</v>
      </c>
      <c r="BN289" t="s">
        <v>74</v>
      </c>
      <c r="BO289" t="s">
        <v>138</v>
      </c>
      <c r="BP289" t="s">
        <v>74</v>
      </c>
      <c r="BQ289" t="s">
        <v>74</v>
      </c>
      <c r="BR289" t="s">
        <v>103</v>
      </c>
      <c r="BS289" t="s">
        <v>5574</v>
      </c>
      <c r="BT289" t="str">
        <f>HYPERLINK("https%3A%2F%2Fwww.webofscience.com%2Fwos%2Fwoscc%2Ffull-record%2FWOS:000299037500015","View Full Record in Web of Science")</f>
        <v>View Full Record in Web of Science</v>
      </c>
    </row>
    <row r="290" spans="1:72" x14ac:dyDescent="0.15">
      <c r="A290" t="s">
        <v>72</v>
      </c>
      <c r="B290" t="s">
        <v>5575</v>
      </c>
      <c r="C290" t="s">
        <v>74</v>
      </c>
      <c r="D290" t="s">
        <v>74</v>
      </c>
      <c r="E290" t="s">
        <v>74</v>
      </c>
      <c r="F290" t="s">
        <v>5576</v>
      </c>
      <c r="G290" t="s">
        <v>74</v>
      </c>
      <c r="H290" t="s">
        <v>74</v>
      </c>
      <c r="I290" t="s">
        <v>5577</v>
      </c>
      <c r="J290" t="s">
        <v>5578</v>
      </c>
      <c r="K290" t="s">
        <v>74</v>
      </c>
      <c r="L290" t="s">
        <v>74</v>
      </c>
      <c r="M290" t="s">
        <v>78</v>
      </c>
      <c r="N290" t="s">
        <v>79</v>
      </c>
      <c r="O290" t="s">
        <v>74</v>
      </c>
      <c r="P290" t="s">
        <v>74</v>
      </c>
      <c r="Q290" t="s">
        <v>74</v>
      </c>
      <c r="R290" t="s">
        <v>74</v>
      </c>
      <c r="S290" t="s">
        <v>74</v>
      </c>
      <c r="T290" t="s">
        <v>5579</v>
      </c>
      <c r="U290" t="s">
        <v>5580</v>
      </c>
      <c r="V290" t="s">
        <v>5581</v>
      </c>
      <c r="W290" t="s">
        <v>5582</v>
      </c>
      <c r="X290" t="s">
        <v>5583</v>
      </c>
      <c r="Y290" t="s">
        <v>5584</v>
      </c>
      <c r="Z290" t="s">
        <v>5585</v>
      </c>
      <c r="AA290" t="s">
        <v>5586</v>
      </c>
      <c r="AB290" t="s">
        <v>5587</v>
      </c>
      <c r="AC290" t="s">
        <v>5588</v>
      </c>
      <c r="AD290" t="s">
        <v>5589</v>
      </c>
      <c r="AE290" t="s">
        <v>5590</v>
      </c>
      <c r="AF290" t="s">
        <v>74</v>
      </c>
      <c r="AG290">
        <v>108</v>
      </c>
      <c r="AH290">
        <v>22</v>
      </c>
      <c r="AI290">
        <v>22</v>
      </c>
      <c r="AJ290">
        <v>0</v>
      </c>
      <c r="AK290">
        <v>11</v>
      </c>
      <c r="AL290" t="s">
        <v>474</v>
      </c>
      <c r="AM290" t="s">
        <v>475</v>
      </c>
      <c r="AN290" t="s">
        <v>476</v>
      </c>
      <c r="AO290" t="s">
        <v>5591</v>
      </c>
      <c r="AP290" t="s">
        <v>5592</v>
      </c>
      <c r="AQ290" t="s">
        <v>74</v>
      </c>
      <c r="AR290" t="s">
        <v>5578</v>
      </c>
      <c r="AS290" t="s">
        <v>5593</v>
      </c>
      <c r="AT290" t="s">
        <v>74</v>
      </c>
      <c r="AU290">
        <v>2011</v>
      </c>
      <c r="AV290">
        <v>35</v>
      </c>
      <c r="AW290">
        <v>2</v>
      </c>
      <c r="AX290" t="s">
        <v>74</v>
      </c>
      <c r="AY290" t="s">
        <v>74</v>
      </c>
      <c r="AZ290" t="s">
        <v>74</v>
      </c>
      <c r="BA290" t="s">
        <v>74</v>
      </c>
      <c r="BB290">
        <v>309</v>
      </c>
      <c r="BC290">
        <v>328</v>
      </c>
      <c r="BD290" t="s">
        <v>5594</v>
      </c>
      <c r="BE290" t="s">
        <v>5595</v>
      </c>
      <c r="BF290" t="str">
        <f>HYPERLINK("http://dx.doi.org/10.1080/03115518.2011.565214","http://dx.doi.org/10.1080/03115518.2011.565214")</f>
        <v>http://dx.doi.org/10.1080/03115518.2011.565214</v>
      </c>
      <c r="BG290" t="s">
        <v>74</v>
      </c>
      <c r="BH290" t="s">
        <v>74</v>
      </c>
      <c r="BI290">
        <v>20</v>
      </c>
      <c r="BJ290" t="s">
        <v>5596</v>
      </c>
      <c r="BK290" t="s">
        <v>100</v>
      </c>
      <c r="BL290" t="s">
        <v>5596</v>
      </c>
      <c r="BM290" t="s">
        <v>5597</v>
      </c>
      <c r="BN290" t="s">
        <v>74</v>
      </c>
      <c r="BO290" t="s">
        <v>74</v>
      </c>
      <c r="BP290" t="s">
        <v>74</v>
      </c>
      <c r="BQ290" t="s">
        <v>74</v>
      </c>
      <c r="BR290" t="s">
        <v>103</v>
      </c>
      <c r="BS290" t="s">
        <v>5598</v>
      </c>
      <c r="BT290" t="str">
        <f>HYPERLINK("https%3A%2F%2Fwww.webofscience.com%2Fwos%2Fwoscc%2Ffull-record%2FWOS:000290675500007","View Full Record in Web of Science")</f>
        <v>View Full Record in Web of Science</v>
      </c>
    </row>
    <row r="291" spans="1:72" x14ac:dyDescent="0.15">
      <c r="A291" t="s">
        <v>72</v>
      </c>
      <c r="B291" t="s">
        <v>5599</v>
      </c>
      <c r="C291" t="s">
        <v>74</v>
      </c>
      <c r="D291" t="s">
        <v>74</v>
      </c>
      <c r="E291" t="s">
        <v>74</v>
      </c>
      <c r="F291" t="s">
        <v>5600</v>
      </c>
      <c r="G291" t="s">
        <v>74</v>
      </c>
      <c r="H291" t="s">
        <v>74</v>
      </c>
      <c r="I291" t="s">
        <v>5601</v>
      </c>
      <c r="J291" t="s">
        <v>5578</v>
      </c>
      <c r="K291" t="s">
        <v>74</v>
      </c>
      <c r="L291" t="s">
        <v>74</v>
      </c>
      <c r="M291" t="s">
        <v>78</v>
      </c>
      <c r="N291" t="s">
        <v>79</v>
      </c>
      <c r="O291" t="s">
        <v>74</v>
      </c>
      <c r="P291" t="s">
        <v>74</v>
      </c>
      <c r="Q291" t="s">
        <v>74</v>
      </c>
      <c r="R291" t="s">
        <v>74</v>
      </c>
      <c r="S291" t="s">
        <v>74</v>
      </c>
      <c r="T291" t="s">
        <v>5602</v>
      </c>
      <c r="U291" t="s">
        <v>5603</v>
      </c>
      <c r="V291" t="s">
        <v>5604</v>
      </c>
      <c r="W291" t="s">
        <v>5605</v>
      </c>
      <c r="X291" t="s">
        <v>5606</v>
      </c>
      <c r="Y291" t="s">
        <v>5607</v>
      </c>
      <c r="Z291" t="s">
        <v>5608</v>
      </c>
      <c r="AA291" t="s">
        <v>5609</v>
      </c>
      <c r="AB291" t="s">
        <v>5610</v>
      </c>
      <c r="AC291" t="s">
        <v>5611</v>
      </c>
      <c r="AD291" t="s">
        <v>5612</v>
      </c>
      <c r="AE291" t="s">
        <v>5613</v>
      </c>
      <c r="AF291" t="s">
        <v>74</v>
      </c>
      <c r="AG291">
        <v>23</v>
      </c>
      <c r="AH291">
        <v>0</v>
      </c>
      <c r="AI291">
        <v>1</v>
      </c>
      <c r="AJ291">
        <v>0</v>
      </c>
      <c r="AK291">
        <v>4</v>
      </c>
      <c r="AL291" t="s">
        <v>474</v>
      </c>
      <c r="AM291" t="s">
        <v>475</v>
      </c>
      <c r="AN291" t="s">
        <v>476</v>
      </c>
      <c r="AO291" t="s">
        <v>5591</v>
      </c>
      <c r="AP291" t="s">
        <v>5592</v>
      </c>
      <c r="AQ291" t="s">
        <v>74</v>
      </c>
      <c r="AR291" t="s">
        <v>5578</v>
      </c>
      <c r="AS291" t="s">
        <v>5593</v>
      </c>
      <c r="AT291" t="s">
        <v>74</v>
      </c>
      <c r="AU291">
        <v>2011</v>
      </c>
      <c r="AV291">
        <v>35</v>
      </c>
      <c r="AW291">
        <v>3</v>
      </c>
      <c r="AX291" t="s">
        <v>74</v>
      </c>
      <c r="AY291" t="s">
        <v>74</v>
      </c>
      <c r="AZ291" t="s">
        <v>74</v>
      </c>
      <c r="BA291" t="s">
        <v>74</v>
      </c>
      <c r="BB291">
        <v>463</v>
      </c>
      <c r="BC291">
        <v>466</v>
      </c>
      <c r="BD291" t="s">
        <v>74</v>
      </c>
      <c r="BE291" t="s">
        <v>5614</v>
      </c>
      <c r="BF291" t="str">
        <f>HYPERLINK("http://dx.doi.org/10.1080/03115518.2011.527476","http://dx.doi.org/10.1080/03115518.2011.527476")</f>
        <v>http://dx.doi.org/10.1080/03115518.2011.527476</v>
      </c>
      <c r="BG291" t="s">
        <v>74</v>
      </c>
      <c r="BH291" t="s">
        <v>74</v>
      </c>
      <c r="BI291">
        <v>4</v>
      </c>
      <c r="BJ291" t="s">
        <v>5596</v>
      </c>
      <c r="BK291" t="s">
        <v>100</v>
      </c>
      <c r="BL291" t="s">
        <v>5596</v>
      </c>
      <c r="BM291" t="s">
        <v>5615</v>
      </c>
      <c r="BN291" t="s">
        <v>74</v>
      </c>
      <c r="BO291" t="s">
        <v>74</v>
      </c>
      <c r="BP291" t="s">
        <v>74</v>
      </c>
      <c r="BQ291" t="s">
        <v>74</v>
      </c>
      <c r="BR291" t="s">
        <v>103</v>
      </c>
      <c r="BS291" t="s">
        <v>5616</v>
      </c>
      <c r="BT291" t="str">
        <f>HYPERLINK("https%3A%2F%2Fwww.webofscience.com%2Fwos%2Fwoscc%2Ffull-record%2FWOS:000299422600012","View Full Record in Web of Science")</f>
        <v>View Full Record in Web of Science</v>
      </c>
    </row>
    <row r="292" spans="1:72" x14ac:dyDescent="0.15">
      <c r="A292" t="s">
        <v>72</v>
      </c>
      <c r="B292" t="s">
        <v>5617</v>
      </c>
      <c r="C292" t="s">
        <v>74</v>
      </c>
      <c r="D292" t="s">
        <v>74</v>
      </c>
      <c r="E292" t="s">
        <v>74</v>
      </c>
      <c r="F292" t="s">
        <v>5618</v>
      </c>
      <c r="G292" t="s">
        <v>74</v>
      </c>
      <c r="H292" t="s">
        <v>74</v>
      </c>
      <c r="I292" t="s">
        <v>5619</v>
      </c>
      <c r="J292" t="s">
        <v>5620</v>
      </c>
      <c r="K292" t="s">
        <v>74</v>
      </c>
      <c r="L292" t="s">
        <v>74</v>
      </c>
      <c r="M292" t="s">
        <v>78</v>
      </c>
      <c r="N292" t="s">
        <v>79</v>
      </c>
      <c r="O292" t="s">
        <v>74</v>
      </c>
      <c r="P292" t="s">
        <v>74</v>
      </c>
      <c r="Q292" t="s">
        <v>74</v>
      </c>
      <c r="R292" t="s">
        <v>74</v>
      </c>
      <c r="S292" t="s">
        <v>74</v>
      </c>
      <c r="T292" t="s">
        <v>5621</v>
      </c>
      <c r="U292" t="s">
        <v>5622</v>
      </c>
      <c r="V292" t="s">
        <v>5623</v>
      </c>
      <c r="W292" t="s">
        <v>5624</v>
      </c>
      <c r="X292" t="s">
        <v>5625</v>
      </c>
      <c r="Y292" t="s">
        <v>5626</v>
      </c>
      <c r="Z292" t="s">
        <v>5627</v>
      </c>
      <c r="AA292" t="s">
        <v>5628</v>
      </c>
      <c r="AB292" t="s">
        <v>5629</v>
      </c>
      <c r="AC292" t="s">
        <v>5630</v>
      </c>
      <c r="AD292" t="s">
        <v>5631</v>
      </c>
      <c r="AE292" t="s">
        <v>5632</v>
      </c>
      <c r="AF292" t="s">
        <v>74</v>
      </c>
      <c r="AG292">
        <v>94</v>
      </c>
      <c r="AH292">
        <v>40</v>
      </c>
      <c r="AI292">
        <v>43</v>
      </c>
      <c r="AJ292">
        <v>0</v>
      </c>
      <c r="AK292">
        <v>18</v>
      </c>
      <c r="AL292" t="s">
        <v>214</v>
      </c>
      <c r="AM292" t="s">
        <v>215</v>
      </c>
      <c r="AN292" t="s">
        <v>216</v>
      </c>
      <c r="AO292" t="s">
        <v>5633</v>
      </c>
      <c r="AP292" t="s">
        <v>5634</v>
      </c>
      <c r="AQ292" t="s">
        <v>74</v>
      </c>
      <c r="AR292" t="s">
        <v>5635</v>
      </c>
      <c r="AS292" t="s">
        <v>5636</v>
      </c>
      <c r="AT292" t="s">
        <v>3935</v>
      </c>
      <c r="AU292">
        <v>2011</v>
      </c>
      <c r="AV292">
        <v>98</v>
      </c>
      <c r="AW292">
        <v>1</v>
      </c>
      <c r="AX292" t="s">
        <v>74</v>
      </c>
      <c r="AY292" t="s">
        <v>74</v>
      </c>
      <c r="AZ292" t="s">
        <v>74</v>
      </c>
      <c r="BA292" t="s">
        <v>74</v>
      </c>
      <c r="BB292">
        <v>62</v>
      </c>
      <c r="BC292">
        <v>75</v>
      </c>
      <c r="BD292" t="s">
        <v>74</v>
      </c>
      <c r="BE292" t="s">
        <v>5637</v>
      </c>
      <c r="BF292" t="str">
        <f>HYPERLINK("http://dx.doi.org/10.3732/ajb.1000238","http://dx.doi.org/10.3732/ajb.1000238")</f>
        <v>http://dx.doi.org/10.3732/ajb.1000238</v>
      </c>
      <c r="BG292" t="s">
        <v>74</v>
      </c>
      <c r="BH292" t="s">
        <v>74</v>
      </c>
      <c r="BI292">
        <v>14</v>
      </c>
      <c r="BJ292" t="s">
        <v>3611</v>
      </c>
      <c r="BK292" t="s">
        <v>100</v>
      </c>
      <c r="BL292" t="s">
        <v>3611</v>
      </c>
      <c r="BM292" t="s">
        <v>5638</v>
      </c>
      <c r="BN292">
        <v>21613085</v>
      </c>
      <c r="BO292" t="s">
        <v>74</v>
      </c>
      <c r="BP292" t="s">
        <v>74</v>
      </c>
      <c r="BQ292" t="s">
        <v>74</v>
      </c>
      <c r="BR292" t="s">
        <v>103</v>
      </c>
      <c r="BS292" t="s">
        <v>5639</v>
      </c>
      <c r="BT292" t="str">
        <f>HYPERLINK("https%3A%2F%2Fwww.webofscience.com%2Fwos%2Fwoscc%2Ffull-record%2FWOS:000285747900012","View Full Record in Web of Science")</f>
        <v>View Full Record in Web of Science</v>
      </c>
    </row>
    <row r="293" spans="1:72" x14ac:dyDescent="0.15">
      <c r="A293" t="s">
        <v>72</v>
      </c>
      <c r="B293" t="s">
        <v>5640</v>
      </c>
      <c r="C293" t="s">
        <v>74</v>
      </c>
      <c r="D293" t="s">
        <v>74</v>
      </c>
      <c r="E293" t="s">
        <v>74</v>
      </c>
      <c r="F293" t="s">
        <v>5641</v>
      </c>
      <c r="G293" t="s">
        <v>74</v>
      </c>
      <c r="H293" t="s">
        <v>74</v>
      </c>
      <c r="I293" t="s">
        <v>5642</v>
      </c>
      <c r="J293" t="s">
        <v>5643</v>
      </c>
      <c r="K293" t="s">
        <v>74</v>
      </c>
      <c r="L293" t="s">
        <v>74</v>
      </c>
      <c r="M293" t="s">
        <v>78</v>
      </c>
      <c r="N293" t="s">
        <v>79</v>
      </c>
      <c r="O293" t="s">
        <v>74</v>
      </c>
      <c r="P293" t="s">
        <v>74</v>
      </c>
      <c r="Q293" t="s">
        <v>74</v>
      </c>
      <c r="R293" t="s">
        <v>74</v>
      </c>
      <c r="S293" t="s">
        <v>74</v>
      </c>
      <c r="T293" t="s">
        <v>5644</v>
      </c>
      <c r="U293" t="s">
        <v>5645</v>
      </c>
      <c r="V293" t="s">
        <v>5646</v>
      </c>
      <c r="W293" t="s">
        <v>5647</v>
      </c>
      <c r="X293" t="s">
        <v>5648</v>
      </c>
      <c r="Y293" t="s">
        <v>5649</v>
      </c>
      <c r="Z293" t="s">
        <v>5650</v>
      </c>
      <c r="AA293" t="s">
        <v>5651</v>
      </c>
      <c r="AB293" t="s">
        <v>5652</v>
      </c>
      <c r="AC293" t="s">
        <v>5653</v>
      </c>
      <c r="AD293" t="s">
        <v>5654</v>
      </c>
      <c r="AE293" t="s">
        <v>5655</v>
      </c>
      <c r="AF293" t="s">
        <v>74</v>
      </c>
      <c r="AG293">
        <v>93</v>
      </c>
      <c r="AH293">
        <v>65</v>
      </c>
      <c r="AI293">
        <v>70</v>
      </c>
      <c r="AJ293">
        <v>0</v>
      </c>
      <c r="AK293">
        <v>59</v>
      </c>
      <c r="AL293" t="s">
        <v>5656</v>
      </c>
      <c r="AM293" t="s">
        <v>5657</v>
      </c>
      <c r="AN293" t="s">
        <v>5658</v>
      </c>
      <c r="AO293" t="s">
        <v>5659</v>
      </c>
      <c r="AP293" t="s">
        <v>5660</v>
      </c>
      <c r="AQ293" t="s">
        <v>74</v>
      </c>
      <c r="AR293" t="s">
        <v>5661</v>
      </c>
      <c r="AS293" t="s">
        <v>5662</v>
      </c>
      <c r="AT293" t="s">
        <v>3935</v>
      </c>
      <c r="AU293">
        <v>2011</v>
      </c>
      <c r="AV293">
        <v>311</v>
      </c>
      <c r="AW293">
        <v>1</v>
      </c>
      <c r="AX293" t="s">
        <v>74</v>
      </c>
      <c r="AY293" t="s">
        <v>74</v>
      </c>
      <c r="AZ293" t="s">
        <v>74</v>
      </c>
      <c r="BA293" t="s">
        <v>74</v>
      </c>
      <c r="BB293">
        <v>63</v>
      </c>
      <c r="BC293">
        <v>75</v>
      </c>
      <c r="BD293" t="s">
        <v>74</v>
      </c>
      <c r="BE293" t="s">
        <v>5663</v>
      </c>
      <c r="BF293" t="str">
        <f>HYPERLINK("http://dx.doi.org/10.2475/01.2011.03","http://dx.doi.org/10.2475/01.2011.03")</f>
        <v>http://dx.doi.org/10.2475/01.2011.03</v>
      </c>
      <c r="BG293" t="s">
        <v>74</v>
      </c>
      <c r="BH293" t="s">
        <v>74</v>
      </c>
      <c r="BI293">
        <v>13</v>
      </c>
      <c r="BJ293" t="s">
        <v>396</v>
      </c>
      <c r="BK293" t="s">
        <v>100</v>
      </c>
      <c r="BL293" t="s">
        <v>397</v>
      </c>
      <c r="BM293" t="s">
        <v>5664</v>
      </c>
      <c r="BN293" t="s">
        <v>74</v>
      </c>
      <c r="BO293" t="s">
        <v>3320</v>
      </c>
      <c r="BP293" t="s">
        <v>74</v>
      </c>
      <c r="BQ293" t="s">
        <v>74</v>
      </c>
      <c r="BR293" t="s">
        <v>103</v>
      </c>
      <c r="BS293" t="s">
        <v>5665</v>
      </c>
      <c r="BT293" t="str">
        <f>HYPERLINK("https%3A%2F%2Fwww.webofscience.com%2Fwos%2Fwoscc%2Ffull-record%2FWOS:000290696300003","View Full Record in Web of Science")</f>
        <v>View Full Record in Web of Science</v>
      </c>
    </row>
    <row r="294" spans="1:72" x14ac:dyDescent="0.15">
      <c r="A294" t="s">
        <v>2017</v>
      </c>
      <c r="B294" t="s">
        <v>5666</v>
      </c>
      <c r="C294" t="s">
        <v>74</v>
      </c>
      <c r="D294" t="s">
        <v>5667</v>
      </c>
      <c r="E294" t="s">
        <v>74</v>
      </c>
      <c r="F294" t="s">
        <v>5668</v>
      </c>
      <c r="G294" t="s">
        <v>74</v>
      </c>
      <c r="H294" t="s">
        <v>74</v>
      </c>
      <c r="I294" t="s">
        <v>5669</v>
      </c>
      <c r="J294" t="s">
        <v>5670</v>
      </c>
      <c r="K294" t="s">
        <v>5671</v>
      </c>
      <c r="L294" t="s">
        <v>74</v>
      </c>
      <c r="M294" t="s">
        <v>78</v>
      </c>
      <c r="N294" t="s">
        <v>2370</v>
      </c>
      <c r="O294" t="s">
        <v>74</v>
      </c>
      <c r="P294" t="s">
        <v>74</v>
      </c>
      <c r="Q294" t="s">
        <v>74</v>
      </c>
      <c r="R294" t="s">
        <v>74</v>
      </c>
      <c r="S294" t="s">
        <v>74</v>
      </c>
      <c r="T294" t="s">
        <v>74</v>
      </c>
      <c r="U294" t="s">
        <v>74</v>
      </c>
      <c r="V294" t="s">
        <v>5672</v>
      </c>
      <c r="W294" t="s">
        <v>5673</v>
      </c>
      <c r="X294" t="s">
        <v>5674</v>
      </c>
      <c r="Y294" t="s">
        <v>5675</v>
      </c>
      <c r="Z294" t="s">
        <v>74</v>
      </c>
      <c r="AA294" t="s">
        <v>74</v>
      </c>
      <c r="AB294" t="s">
        <v>74</v>
      </c>
      <c r="AC294" t="s">
        <v>74</v>
      </c>
      <c r="AD294" t="s">
        <v>74</v>
      </c>
      <c r="AE294" t="s">
        <v>74</v>
      </c>
      <c r="AF294" t="s">
        <v>74</v>
      </c>
      <c r="AG294">
        <v>10</v>
      </c>
      <c r="AH294">
        <v>5</v>
      </c>
      <c r="AI294">
        <v>5</v>
      </c>
      <c r="AJ294">
        <v>0</v>
      </c>
      <c r="AK294">
        <v>0</v>
      </c>
      <c r="AL294" t="s">
        <v>5676</v>
      </c>
      <c r="AM294" t="s">
        <v>496</v>
      </c>
      <c r="AN294" t="s">
        <v>5677</v>
      </c>
      <c r="AO294" t="s">
        <v>5678</v>
      </c>
      <c r="AP294" t="s">
        <v>74</v>
      </c>
      <c r="AQ294" t="s">
        <v>5679</v>
      </c>
      <c r="AR294" t="s">
        <v>5680</v>
      </c>
      <c r="AS294" t="s">
        <v>74</v>
      </c>
      <c r="AT294" t="s">
        <v>74</v>
      </c>
      <c r="AU294">
        <v>2011</v>
      </c>
      <c r="AV294">
        <v>483</v>
      </c>
      <c r="AW294" t="s">
        <v>74</v>
      </c>
      <c r="AX294" t="s">
        <v>74</v>
      </c>
      <c r="AY294" t="s">
        <v>74</v>
      </c>
      <c r="AZ294" t="s">
        <v>74</v>
      </c>
      <c r="BA294" t="s">
        <v>74</v>
      </c>
      <c r="BB294">
        <v>75</v>
      </c>
      <c r="BC294">
        <v>84</v>
      </c>
      <c r="BD294" t="s">
        <v>74</v>
      </c>
      <c r="BE294" t="s">
        <v>5681</v>
      </c>
      <c r="BF294" t="str">
        <f>HYPERLINK("http://dx.doi.org/10.1130/2011.2483(06)","http://dx.doi.org/10.1130/2011.2483(06)")</f>
        <v>http://dx.doi.org/10.1130/2011.2483(06)</v>
      </c>
      <c r="BG294" t="s">
        <v>5682</v>
      </c>
      <c r="BH294" t="s">
        <v>74</v>
      </c>
      <c r="BI294">
        <v>10</v>
      </c>
      <c r="BJ294" t="s">
        <v>4028</v>
      </c>
      <c r="BK294" t="s">
        <v>2384</v>
      </c>
      <c r="BL294" t="s">
        <v>4029</v>
      </c>
      <c r="BM294" t="s">
        <v>5683</v>
      </c>
      <c r="BN294" t="s">
        <v>74</v>
      </c>
      <c r="BO294" t="s">
        <v>74</v>
      </c>
      <c r="BP294" t="s">
        <v>74</v>
      </c>
      <c r="BQ294" t="s">
        <v>74</v>
      </c>
      <c r="BR294" t="s">
        <v>103</v>
      </c>
      <c r="BS294" t="s">
        <v>5684</v>
      </c>
      <c r="BT294" t="str">
        <f>HYPERLINK("https%3A%2F%2Fwww.webofscience.com%2Fwos%2Fwoscc%2Ffull-record%2FWOS:000326925100007","View Full Record in Web of Science")</f>
        <v>View Full Record in Web of Science</v>
      </c>
    </row>
    <row r="295" spans="1:72" x14ac:dyDescent="0.15">
      <c r="A295" t="s">
        <v>2017</v>
      </c>
      <c r="B295" t="s">
        <v>5685</v>
      </c>
      <c r="C295" t="s">
        <v>74</v>
      </c>
      <c r="D295" t="s">
        <v>5667</v>
      </c>
      <c r="E295" t="s">
        <v>74</v>
      </c>
      <c r="F295" t="s">
        <v>5686</v>
      </c>
      <c r="G295" t="s">
        <v>74</v>
      </c>
      <c r="H295" t="s">
        <v>74</v>
      </c>
      <c r="I295" t="s">
        <v>5687</v>
      </c>
      <c r="J295" t="s">
        <v>5670</v>
      </c>
      <c r="K295" t="s">
        <v>5671</v>
      </c>
      <c r="L295" t="s">
        <v>74</v>
      </c>
      <c r="M295" t="s">
        <v>78</v>
      </c>
      <c r="N295" t="s">
        <v>2370</v>
      </c>
      <c r="O295" t="s">
        <v>74</v>
      </c>
      <c r="P295" t="s">
        <v>74</v>
      </c>
      <c r="Q295" t="s">
        <v>74</v>
      </c>
      <c r="R295" t="s">
        <v>74</v>
      </c>
      <c r="S295" t="s">
        <v>74</v>
      </c>
      <c r="T295" t="s">
        <v>74</v>
      </c>
      <c r="U295" t="s">
        <v>5688</v>
      </c>
      <c r="V295" t="s">
        <v>5689</v>
      </c>
      <c r="W295" t="s">
        <v>5690</v>
      </c>
      <c r="X295" t="s">
        <v>5691</v>
      </c>
      <c r="Y295" t="s">
        <v>5692</v>
      </c>
      <c r="Z295" t="s">
        <v>5693</v>
      </c>
      <c r="AA295" t="s">
        <v>5694</v>
      </c>
      <c r="AB295" t="s">
        <v>5695</v>
      </c>
      <c r="AC295" t="s">
        <v>74</v>
      </c>
      <c r="AD295" t="s">
        <v>74</v>
      </c>
      <c r="AE295" t="s">
        <v>74</v>
      </c>
      <c r="AF295" t="s">
        <v>74</v>
      </c>
      <c r="AG295">
        <v>256</v>
      </c>
      <c r="AH295">
        <v>24</v>
      </c>
      <c r="AI295">
        <v>24</v>
      </c>
      <c r="AJ295">
        <v>0</v>
      </c>
      <c r="AK295">
        <v>10</v>
      </c>
      <c r="AL295" t="s">
        <v>5676</v>
      </c>
      <c r="AM295" t="s">
        <v>496</v>
      </c>
      <c r="AN295" t="s">
        <v>5677</v>
      </c>
      <c r="AO295" t="s">
        <v>5678</v>
      </c>
      <c r="AP295" t="s">
        <v>74</v>
      </c>
      <c r="AQ295" t="s">
        <v>5679</v>
      </c>
      <c r="AR295" t="s">
        <v>5680</v>
      </c>
      <c r="AS295" t="s">
        <v>74</v>
      </c>
      <c r="AT295" t="s">
        <v>74</v>
      </c>
      <c r="AU295">
        <v>2011</v>
      </c>
      <c r="AV295">
        <v>483</v>
      </c>
      <c r="AW295" t="s">
        <v>74</v>
      </c>
      <c r="AX295" t="s">
        <v>74</v>
      </c>
      <c r="AY295" t="s">
        <v>74</v>
      </c>
      <c r="AZ295" t="s">
        <v>74</v>
      </c>
      <c r="BA295" t="s">
        <v>74</v>
      </c>
      <c r="BB295">
        <v>177</v>
      </c>
      <c r="BC295">
        <v>201</v>
      </c>
      <c r="BD295" t="s">
        <v>74</v>
      </c>
      <c r="BE295" t="s">
        <v>5696</v>
      </c>
      <c r="BF295" t="str">
        <f>HYPERLINK("http://dx.doi.org/10.1130/2011.2483(12)","http://dx.doi.org/10.1130/2011.2483(12)")</f>
        <v>http://dx.doi.org/10.1130/2011.2483(12)</v>
      </c>
      <c r="BG295" t="s">
        <v>5682</v>
      </c>
      <c r="BH295" t="s">
        <v>74</v>
      </c>
      <c r="BI295">
        <v>25</v>
      </c>
      <c r="BJ295" t="s">
        <v>4028</v>
      </c>
      <c r="BK295" t="s">
        <v>2384</v>
      </c>
      <c r="BL295" t="s">
        <v>4029</v>
      </c>
      <c r="BM295" t="s">
        <v>5683</v>
      </c>
      <c r="BN295" t="s">
        <v>74</v>
      </c>
      <c r="BO295" t="s">
        <v>74</v>
      </c>
      <c r="BP295" t="s">
        <v>74</v>
      </c>
      <c r="BQ295" t="s">
        <v>74</v>
      </c>
      <c r="BR295" t="s">
        <v>103</v>
      </c>
      <c r="BS295" t="s">
        <v>5697</v>
      </c>
      <c r="BT295" t="str">
        <f>HYPERLINK("https%3A%2F%2Fwww.webofscience.com%2Fwos%2Fwoscc%2Ffull-record%2FWOS:000326925100013","View Full Record in Web of Science")</f>
        <v>View Full Record in Web of Science</v>
      </c>
    </row>
    <row r="296" spans="1:72" x14ac:dyDescent="0.15">
      <c r="A296" t="s">
        <v>2017</v>
      </c>
      <c r="B296" t="s">
        <v>5698</v>
      </c>
      <c r="C296" t="s">
        <v>74</v>
      </c>
      <c r="D296" t="s">
        <v>5667</v>
      </c>
      <c r="E296" t="s">
        <v>74</v>
      </c>
      <c r="F296" t="s">
        <v>5699</v>
      </c>
      <c r="G296" t="s">
        <v>74</v>
      </c>
      <c r="H296" t="s">
        <v>74</v>
      </c>
      <c r="I296" t="s">
        <v>5700</v>
      </c>
      <c r="J296" t="s">
        <v>5670</v>
      </c>
      <c r="K296" t="s">
        <v>5671</v>
      </c>
      <c r="L296" t="s">
        <v>74</v>
      </c>
      <c r="M296" t="s">
        <v>78</v>
      </c>
      <c r="N296" t="s">
        <v>2370</v>
      </c>
      <c r="O296" t="s">
        <v>74</v>
      </c>
      <c r="P296" t="s">
        <v>74</v>
      </c>
      <c r="Q296" t="s">
        <v>74</v>
      </c>
      <c r="R296" t="s">
        <v>74</v>
      </c>
      <c r="S296" t="s">
        <v>74</v>
      </c>
      <c r="T296" t="s">
        <v>74</v>
      </c>
      <c r="U296" t="s">
        <v>5701</v>
      </c>
      <c r="V296" t="s">
        <v>5702</v>
      </c>
      <c r="W296" t="s">
        <v>5703</v>
      </c>
      <c r="X296" t="s">
        <v>5704</v>
      </c>
      <c r="Y296" t="s">
        <v>5705</v>
      </c>
      <c r="Z296" t="s">
        <v>74</v>
      </c>
      <c r="AA296" t="s">
        <v>74</v>
      </c>
      <c r="AB296" t="s">
        <v>5706</v>
      </c>
      <c r="AC296" t="s">
        <v>74</v>
      </c>
      <c r="AD296" t="s">
        <v>74</v>
      </c>
      <c r="AE296" t="s">
        <v>74</v>
      </c>
      <c r="AF296" t="s">
        <v>74</v>
      </c>
      <c r="AG296">
        <v>87</v>
      </c>
      <c r="AH296">
        <v>21</v>
      </c>
      <c r="AI296">
        <v>22</v>
      </c>
      <c r="AJ296">
        <v>0</v>
      </c>
      <c r="AK296">
        <v>4</v>
      </c>
      <c r="AL296" t="s">
        <v>5676</v>
      </c>
      <c r="AM296" t="s">
        <v>496</v>
      </c>
      <c r="AN296" t="s">
        <v>5677</v>
      </c>
      <c r="AO296" t="s">
        <v>5678</v>
      </c>
      <c r="AP296" t="s">
        <v>74</v>
      </c>
      <c r="AQ296" t="s">
        <v>5679</v>
      </c>
      <c r="AR296" t="s">
        <v>5680</v>
      </c>
      <c r="AS296" t="s">
        <v>74</v>
      </c>
      <c r="AT296" t="s">
        <v>74</v>
      </c>
      <c r="AU296">
        <v>2011</v>
      </c>
      <c r="AV296">
        <v>483</v>
      </c>
      <c r="AW296" t="s">
        <v>74</v>
      </c>
      <c r="AX296" t="s">
        <v>74</v>
      </c>
      <c r="AY296" t="s">
        <v>74</v>
      </c>
      <c r="AZ296" t="s">
        <v>74</v>
      </c>
      <c r="BA296" t="s">
        <v>74</v>
      </c>
      <c r="BB296">
        <v>203</v>
      </c>
      <c r="BC296">
        <v>218</v>
      </c>
      <c r="BD296" t="s">
        <v>74</v>
      </c>
      <c r="BE296" t="s">
        <v>5707</v>
      </c>
      <c r="BF296" t="str">
        <f>HYPERLINK("http://dx.doi.org/10.1130/2011.2483(13)","http://dx.doi.org/10.1130/2011.2483(13)")</f>
        <v>http://dx.doi.org/10.1130/2011.2483(13)</v>
      </c>
      <c r="BG296" t="s">
        <v>5682</v>
      </c>
      <c r="BH296" t="s">
        <v>74</v>
      </c>
      <c r="BI296">
        <v>16</v>
      </c>
      <c r="BJ296" t="s">
        <v>4028</v>
      </c>
      <c r="BK296" t="s">
        <v>2384</v>
      </c>
      <c r="BL296" t="s">
        <v>4029</v>
      </c>
      <c r="BM296" t="s">
        <v>5683</v>
      </c>
      <c r="BN296" t="s">
        <v>74</v>
      </c>
      <c r="BO296" t="s">
        <v>74</v>
      </c>
      <c r="BP296" t="s">
        <v>74</v>
      </c>
      <c r="BQ296" t="s">
        <v>74</v>
      </c>
      <c r="BR296" t="s">
        <v>103</v>
      </c>
      <c r="BS296" t="s">
        <v>5708</v>
      </c>
      <c r="BT296" t="str">
        <f>HYPERLINK("https%3A%2F%2Fwww.webofscience.com%2Fwos%2Fwoscc%2Ffull-record%2FWOS:000326925100014","View Full Record in Web of Science")</f>
        <v>View Full Record in Web of Science</v>
      </c>
    </row>
    <row r="297" spans="1:72" x14ac:dyDescent="0.15">
      <c r="A297" t="s">
        <v>72</v>
      </c>
      <c r="B297" t="s">
        <v>5709</v>
      </c>
      <c r="C297" t="s">
        <v>74</v>
      </c>
      <c r="D297" t="s">
        <v>74</v>
      </c>
      <c r="E297" t="s">
        <v>74</v>
      </c>
      <c r="F297" t="s">
        <v>5710</v>
      </c>
      <c r="G297" t="s">
        <v>74</v>
      </c>
      <c r="H297" t="s">
        <v>74</v>
      </c>
      <c r="I297" t="s">
        <v>5711</v>
      </c>
      <c r="J297" t="s">
        <v>5712</v>
      </c>
      <c r="K297" t="s">
        <v>74</v>
      </c>
      <c r="L297" t="s">
        <v>74</v>
      </c>
      <c r="M297" t="s">
        <v>78</v>
      </c>
      <c r="N297" t="s">
        <v>79</v>
      </c>
      <c r="O297" t="s">
        <v>74</v>
      </c>
      <c r="P297" t="s">
        <v>74</v>
      </c>
      <c r="Q297" t="s">
        <v>74</v>
      </c>
      <c r="R297" t="s">
        <v>74</v>
      </c>
      <c r="S297" t="s">
        <v>74</v>
      </c>
      <c r="T297" t="s">
        <v>5713</v>
      </c>
      <c r="U297" t="s">
        <v>5714</v>
      </c>
      <c r="V297" t="s">
        <v>5715</v>
      </c>
      <c r="W297" t="s">
        <v>5716</v>
      </c>
      <c r="X297" t="s">
        <v>5717</v>
      </c>
      <c r="Y297" t="s">
        <v>5718</v>
      </c>
      <c r="Z297" t="s">
        <v>5719</v>
      </c>
      <c r="AA297" t="s">
        <v>5720</v>
      </c>
      <c r="AB297" t="s">
        <v>74</v>
      </c>
      <c r="AC297" t="s">
        <v>5721</v>
      </c>
      <c r="AD297" t="s">
        <v>5721</v>
      </c>
      <c r="AE297" t="s">
        <v>5722</v>
      </c>
      <c r="AF297" t="s">
        <v>74</v>
      </c>
      <c r="AG297">
        <v>26</v>
      </c>
      <c r="AH297">
        <v>4</v>
      </c>
      <c r="AI297">
        <v>4</v>
      </c>
      <c r="AJ297">
        <v>0</v>
      </c>
      <c r="AK297">
        <v>17</v>
      </c>
      <c r="AL297" t="s">
        <v>1195</v>
      </c>
      <c r="AM297" t="s">
        <v>1196</v>
      </c>
      <c r="AN297" t="s">
        <v>1197</v>
      </c>
      <c r="AO297" t="s">
        <v>5723</v>
      </c>
      <c r="AP297" t="s">
        <v>74</v>
      </c>
      <c r="AQ297" t="s">
        <v>74</v>
      </c>
      <c r="AR297" t="s">
        <v>5724</v>
      </c>
      <c r="AS297" t="s">
        <v>5725</v>
      </c>
      <c r="AT297" t="s">
        <v>3935</v>
      </c>
      <c r="AU297">
        <v>2011</v>
      </c>
      <c r="AV297">
        <v>399</v>
      </c>
      <c r="AW297">
        <v>1</v>
      </c>
      <c r="AX297" t="s">
        <v>74</v>
      </c>
      <c r="AY297" t="s">
        <v>74</v>
      </c>
      <c r="AZ297" t="s">
        <v>74</v>
      </c>
      <c r="BA297" t="s">
        <v>74</v>
      </c>
      <c r="BB297">
        <v>501</v>
      </c>
      <c r="BC297">
        <v>508</v>
      </c>
      <c r="BD297" t="s">
        <v>74</v>
      </c>
      <c r="BE297" t="s">
        <v>5726</v>
      </c>
      <c r="BF297" t="str">
        <f>HYPERLINK("http://dx.doi.org/10.1007/s00216-010-4373-5","http://dx.doi.org/10.1007/s00216-010-4373-5")</f>
        <v>http://dx.doi.org/10.1007/s00216-010-4373-5</v>
      </c>
      <c r="BG297" t="s">
        <v>74</v>
      </c>
      <c r="BH297" t="s">
        <v>74</v>
      </c>
      <c r="BI297">
        <v>8</v>
      </c>
      <c r="BJ297" t="s">
        <v>5727</v>
      </c>
      <c r="BK297" t="s">
        <v>100</v>
      </c>
      <c r="BL297" t="s">
        <v>5728</v>
      </c>
      <c r="BM297" t="s">
        <v>5729</v>
      </c>
      <c r="BN297">
        <v>21079930</v>
      </c>
      <c r="BO297" t="s">
        <v>74</v>
      </c>
      <c r="BP297" t="s">
        <v>74</v>
      </c>
      <c r="BQ297" t="s">
        <v>74</v>
      </c>
      <c r="BR297" t="s">
        <v>103</v>
      </c>
      <c r="BS297" t="s">
        <v>5730</v>
      </c>
      <c r="BT297" t="str">
        <f>HYPERLINK("https%3A%2F%2Fwww.webofscience.com%2Fwos%2Fwoscc%2Ffull-record%2FWOS:000285781200047","View Full Record in Web of Science")</f>
        <v>View Full Record in Web of Science</v>
      </c>
    </row>
    <row r="298" spans="1:72" x14ac:dyDescent="0.15">
      <c r="A298" t="s">
        <v>72</v>
      </c>
      <c r="B298" t="s">
        <v>5731</v>
      </c>
      <c r="C298" t="s">
        <v>74</v>
      </c>
      <c r="D298" t="s">
        <v>74</v>
      </c>
      <c r="E298" t="s">
        <v>74</v>
      </c>
      <c r="F298" t="s">
        <v>5732</v>
      </c>
      <c r="G298" t="s">
        <v>74</v>
      </c>
      <c r="H298" t="s">
        <v>74</v>
      </c>
      <c r="I298" t="s">
        <v>5733</v>
      </c>
      <c r="J298" t="s">
        <v>5734</v>
      </c>
      <c r="K298" t="s">
        <v>74</v>
      </c>
      <c r="L298" t="s">
        <v>74</v>
      </c>
      <c r="M298" t="s">
        <v>78</v>
      </c>
      <c r="N298" t="s">
        <v>79</v>
      </c>
      <c r="O298" t="s">
        <v>74</v>
      </c>
      <c r="P298" t="s">
        <v>74</v>
      </c>
      <c r="Q298" t="s">
        <v>74</v>
      </c>
      <c r="R298" t="s">
        <v>74</v>
      </c>
      <c r="S298" t="s">
        <v>74</v>
      </c>
      <c r="T298" t="s">
        <v>74</v>
      </c>
      <c r="U298" t="s">
        <v>5735</v>
      </c>
      <c r="V298" t="s">
        <v>5736</v>
      </c>
      <c r="W298" t="s">
        <v>5737</v>
      </c>
      <c r="X298" t="s">
        <v>5738</v>
      </c>
      <c r="Y298" t="s">
        <v>5739</v>
      </c>
      <c r="Z298" t="s">
        <v>5740</v>
      </c>
      <c r="AA298" t="s">
        <v>5741</v>
      </c>
      <c r="AB298" t="s">
        <v>5742</v>
      </c>
      <c r="AC298" t="s">
        <v>5012</v>
      </c>
      <c r="AD298" t="s">
        <v>5013</v>
      </c>
      <c r="AE298" t="s">
        <v>5743</v>
      </c>
      <c r="AF298" t="s">
        <v>74</v>
      </c>
      <c r="AG298">
        <v>44</v>
      </c>
      <c r="AH298">
        <v>7</v>
      </c>
      <c r="AI298">
        <v>7</v>
      </c>
      <c r="AJ298">
        <v>0</v>
      </c>
      <c r="AK298">
        <v>6</v>
      </c>
      <c r="AL298" t="s">
        <v>5744</v>
      </c>
      <c r="AM298" t="s">
        <v>241</v>
      </c>
      <c r="AN298" t="s">
        <v>5745</v>
      </c>
      <c r="AO298" t="s">
        <v>5746</v>
      </c>
      <c r="AP298" t="s">
        <v>5747</v>
      </c>
      <c r="AQ298" t="s">
        <v>74</v>
      </c>
      <c r="AR298" t="s">
        <v>5748</v>
      </c>
      <c r="AS298" t="s">
        <v>5749</v>
      </c>
      <c r="AT298" t="s">
        <v>5196</v>
      </c>
      <c r="AU298">
        <v>2011</v>
      </c>
      <c r="AV298">
        <v>83</v>
      </c>
      <c r="AW298">
        <v>1</v>
      </c>
      <c r="AX298" t="s">
        <v>74</v>
      </c>
      <c r="AY298" t="s">
        <v>74</v>
      </c>
      <c r="AZ298" t="s">
        <v>74</v>
      </c>
      <c r="BA298" t="s">
        <v>74</v>
      </c>
      <c r="BB298">
        <v>143</v>
      </c>
      <c r="BC298">
        <v>151</v>
      </c>
      <c r="BD298" t="s">
        <v>74</v>
      </c>
      <c r="BE298" t="s">
        <v>5750</v>
      </c>
      <c r="BF298" t="str">
        <f>HYPERLINK("http://dx.doi.org/10.1021/ac102026w","http://dx.doi.org/10.1021/ac102026w")</f>
        <v>http://dx.doi.org/10.1021/ac102026w</v>
      </c>
      <c r="BG298" t="s">
        <v>74</v>
      </c>
      <c r="BH298" t="s">
        <v>74</v>
      </c>
      <c r="BI298">
        <v>9</v>
      </c>
      <c r="BJ298" t="s">
        <v>5751</v>
      </c>
      <c r="BK298" t="s">
        <v>100</v>
      </c>
      <c r="BL298" t="s">
        <v>5752</v>
      </c>
      <c r="BM298" t="s">
        <v>5753</v>
      </c>
      <c r="BN298">
        <v>21141836</v>
      </c>
      <c r="BO298" t="s">
        <v>74</v>
      </c>
      <c r="BP298" t="s">
        <v>74</v>
      </c>
      <c r="BQ298" t="s">
        <v>74</v>
      </c>
      <c r="BR298" t="s">
        <v>103</v>
      </c>
      <c r="BS298" t="s">
        <v>5754</v>
      </c>
      <c r="BT298" t="str">
        <f>HYPERLINK("https%3A%2F%2Fwww.webofscience.com%2Fwos%2Fwoscc%2Ffull-record%2FWOS:000285570600021","View Full Record in Web of Science")</f>
        <v>View Full Record in Web of Science</v>
      </c>
    </row>
    <row r="299" spans="1:72" x14ac:dyDescent="0.15">
      <c r="A299" t="s">
        <v>72</v>
      </c>
      <c r="B299" t="s">
        <v>5755</v>
      </c>
      <c r="C299" t="s">
        <v>74</v>
      </c>
      <c r="D299" t="s">
        <v>74</v>
      </c>
      <c r="E299" t="s">
        <v>74</v>
      </c>
      <c r="F299" t="s">
        <v>5756</v>
      </c>
      <c r="G299" t="s">
        <v>74</v>
      </c>
      <c r="H299" t="s">
        <v>74</v>
      </c>
      <c r="I299" t="s">
        <v>5757</v>
      </c>
      <c r="J299" t="s">
        <v>5758</v>
      </c>
      <c r="K299" t="s">
        <v>74</v>
      </c>
      <c r="L299" t="s">
        <v>74</v>
      </c>
      <c r="M299" t="s">
        <v>78</v>
      </c>
      <c r="N299" t="s">
        <v>79</v>
      </c>
      <c r="O299" t="s">
        <v>74</v>
      </c>
      <c r="P299" t="s">
        <v>74</v>
      </c>
      <c r="Q299" t="s">
        <v>74</v>
      </c>
      <c r="R299" t="s">
        <v>74</v>
      </c>
      <c r="S299" t="s">
        <v>74</v>
      </c>
      <c r="T299" t="s">
        <v>5759</v>
      </c>
      <c r="U299" t="s">
        <v>5760</v>
      </c>
      <c r="V299" t="s">
        <v>5761</v>
      </c>
      <c r="W299" t="s">
        <v>5762</v>
      </c>
      <c r="X299" t="s">
        <v>5738</v>
      </c>
      <c r="Y299" t="s">
        <v>5763</v>
      </c>
      <c r="Z299" t="s">
        <v>5764</v>
      </c>
      <c r="AA299" t="s">
        <v>5741</v>
      </c>
      <c r="AB299" t="s">
        <v>5742</v>
      </c>
      <c r="AC299" t="s">
        <v>5012</v>
      </c>
      <c r="AD299" t="s">
        <v>5013</v>
      </c>
      <c r="AE299" t="s">
        <v>5765</v>
      </c>
      <c r="AF299" t="s">
        <v>74</v>
      </c>
      <c r="AG299">
        <v>46</v>
      </c>
      <c r="AH299">
        <v>13</v>
      </c>
      <c r="AI299">
        <v>13</v>
      </c>
      <c r="AJ299">
        <v>0</v>
      </c>
      <c r="AK299">
        <v>12</v>
      </c>
      <c r="AL299" t="s">
        <v>3012</v>
      </c>
      <c r="AM299" t="s">
        <v>3013</v>
      </c>
      <c r="AN299" t="s">
        <v>5766</v>
      </c>
      <c r="AO299" t="s">
        <v>5767</v>
      </c>
      <c r="AP299" t="s">
        <v>74</v>
      </c>
      <c r="AQ299" t="s">
        <v>74</v>
      </c>
      <c r="AR299" t="s">
        <v>5768</v>
      </c>
      <c r="AS299" t="s">
        <v>5769</v>
      </c>
      <c r="AT299" t="s">
        <v>74</v>
      </c>
      <c r="AU299">
        <v>2011</v>
      </c>
      <c r="AV299">
        <v>44</v>
      </c>
      <c r="AW299">
        <v>17</v>
      </c>
      <c r="AX299" t="s">
        <v>74</v>
      </c>
      <c r="AY299" t="s">
        <v>74</v>
      </c>
      <c r="AZ299" t="s">
        <v>967</v>
      </c>
      <c r="BA299" t="s">
        <v>74</v>
      </c>
      <c r="BB299">
        <v>2792</v>
      </c>
      <c r="BC299">
        <v>2807</v>
      </c>
      <c r="BD299" t="s">
        <v>74</v>
      </c>
      <c r="BE299" t="s">
        <v>5770</v>
      </c>
      <c r="BF299" t="str">
        <f>HYPERLINK("http://dx.doi.org/10.1080/00032719.2011.565450","http://dx.doi.org/10.1080/00032719.2011.565450")</f>
        <v>http://dx.doi.org/10.1080/00032719.2011.565450</v>
      </c>
      <c r="BG299" t="s">
        <v>74</v>
      </c>
      <c r="BH299" t="s">
        <v>74</v>
      </c>
      <c r="BI299">
        <v>16</v>
      </c>
      <c r="BJ299" t="s">
        <v>5751</v>
      </c>
      <c r="BK299" t="s">
        <v>100</v>
      </c>
      <c r="BL299" t="s">
        <v>5752</v>
      </c>
      <c r="BM299" t="s">
        <v>5771</v>
      </c>
      <c r="BN299" t="s">
        <v>74</v>
      </c>
      <c r="BO299" t="s">
        <v>74</v>
      </c>
      <c r="BP299" t="s">
        <v>74</v>
      </c>
      <c r="BQ299" t="s">
        <v>74</v>
      </c>
      <c r="BR299" t="s">
        <v>103</v>
      </c>
      <c r="BS299" t="s">
        <v>5772</v>
      </c>
      <c r="BT299" t="str">
        <f>HYPERLINK("https%3A%2F%2Fwww.webofscience.com%2Fwos%2Fwoscc%2Ffull-record%2FWOS:000298080200006","View Full Record in Web of Science")</f>
        <v>View Full Record in Web of Science</v>
      </c>
    </row>
    <row r="300" spans="1:72" x14ac:dyDescent="0.15">
      <c r="A300" t="s">
        <v>72</v>
      </c>
      <c r="B300" t="s">
        <v>5773</v>
      </c>
      <c r="C300" t="s">
        <v>74</v>
      </c>
      <c r="D300" t="s">
        <v>74</v>
      </c>
      <c r="E300" t="s">
        <v>74</v>
      </c>
      <c r="F300" t="s">
        <v>5774</v>
      </c>
      <c r="G300" t="s">
        <v>74</v>
      </c>
      <c r="H300" t="s">
        <v>74</v>
      </c>
      <c r="I300" t="s">
        <v>5775</v>
      </c>
      <c r="J300" t="s">
        <v>3637</v>
      </c>
      <c r="K300" t="s">
        <v>74</v>
      </c>
      <c r="L300" t="s">
        <v>74</v>
      </c>
      <c r="M300" t="s">
        <v>78</v>
      </c>
      <c r="N300" t="s">
        <v>79</v>
      </c>
      <c r="O300" t="s">
        <v>74</v>
      </c>
      <c r="P300" t="s">
        <v>74</v>
      </c>
      <c r="Q300" t="s">
        <v>74</v>
      </c>
      <c r="R300" t="s">
        <v>74</v>
      </c>
      <c r="S300" t="s">
        <v>74</v>
      </c>
      <c r="T300" t="s">
        <v>5776</v>
      </c>
      <c r="U300" t="s">
        <v>5777</v>
      </c>
      <c r="V300" t="s">
        <v>5778</v>
      </c>
      <c r="W300" t="s">
        <v>5779</v>
      </c>
      <c r="X300" t="s">
        <v>5780</v>
      </c>
      <c r="Y300" t="s">
        <v>5781</v>
      </c>
      <c r="Z300" t="s">
        <v>5782</v>
      </c>
      <c r="AA300" t="s">
        <v>5783</v>
      </c>
      <c r="AB300" t="s">
        <v>74</v>
      </c>
      <c r="AC300" t="s">
        <v>74</v>
      </c>
      <c r="AD300" t="s">
        <v>74</v>
      </c>
      <c r="AE300" t="s">
        <v>74</v>
      </c>
      <c r="AF300" t="s">
        <v>74</v>
      </c>
      <c r="AG300">
        <v>62</v>
      </c>
      <c r="AH300">
        <v>24</v>
      </c>
      <c r="AI300">
        <v>25</v>
      </c>
      <c r="AJ300">
        <v>0</v>
      </c>
      <c r="AK300">
        <v>14</v>
      </c>
      <c r="AL300" t="s">
        <v>2955</v>
      </c>
      <c r="AM300" t="s">
        <v>2956</v>
      </c>
      <c r="AN300" t="s">
        <v>2957</v>
      </c>
      <c r="AO300" t="s">
        <v>3650</v>
      </c>
      <c r="AP300" t="s">
        <v>74</v>
      </c>
      <c r="AQ300" t="s">
        <v>74</v>
      </c>
      <c r="AR300" t="s">
        <v>3651</v>
      </c>
      <c r="AS300" t="s">
        <v>3652</v>
      </c>
      <c r="AT300" t="s">
        <v>74</v>
      </c>
      <c r="AU300">
        <v>2011</v>
      </c>
      <c r="AV300">
        <v>29</v>
      </c>
      <c r="AW300">
        <v>1</v>
      </c>
      <c r="AX300" t="s">
        <v>74</v>
      </c>
      <c r="AY300" t="s">
        <v>74</v>
      </c>
      <c r="AZ300" t="s">
        <v>74</v>
      </c>
      <c r="BA300" t="s">
        <v>74</v>
      </c>
      <c r="BB300">
        <v>109</v>
      </c>
      <c r="BC300">
        <v>121</v>
      </c>
      <c r="BD300" t="s">
        <v>74</v>
      </c>
      <c r="BE300" t="s">
        <v>5784</v>
      </c>
      <c r="BF300" t="str">
        <f>HYPERLINK("http://dx.doi.org/10.5194/angeo-29-109-2011","http://dx.doi.org/10.5194/angeo-29-109-2011")</f>
        <v>http://dx.doi.org/10.5194/angeo-29-109-2011</v>
      </c>
      <c r="BG300" t="s">
        <v>74</v>
      </c>
      <c r="BH300" t="s">
        <v>74</v>
      </c>
      <c r="BI300">
        <v>13</v>
      </c>
      <c r="BJ300" t="s">
        <v>3654</v>
      </c>
      <c r="BK300" t="s">
        <v>100</v>
      </c>
      <c r="BL300" t="s">
        <v>3655</v>
      </c>
      <c r="BM300" t="s">
        <v>5785</v>
      </c>
      <c r="BN300" t="s">
        <v>74</v>
      </c>
      <c r="BO300" t="s">
        <v>3113</v>
      </c>
      <c r="BP300" t="s">
        <v>74</v>
      </c>
      <c r="BQ300" t="s">
        <v>74</v>
      </c>
      <c r="BR300" t="s">
        <v>103</v>
      </c>
      <c r="BS300" t="s">
        <v>5786</v>
      </c>
      <c r="BT300" t="str">
        <f>HYPERLINK("https%3A%2F%2Fwww.webofscience.com%2Fwos%2Fwoscc%2Ffull-record%2FWOS:000286723200010","View Full Record in Web of Science")</f>
        <v>View Full Record in Web of Science</v>
      </c>
    </row>
    <row r="301" spans="1:72" x14ac:dyDescent="0.15">
      <c r="A301" t="s">
        <v>72</v>
      </c>
      <c r="B301" t="s">
        <v>5787</v>
      </c>
      <c r="C301" t="s">
        <v>74</v>
      </c>
      <c r="D301" t="s">
        <v>74</v>
      </c>
      <c r="E301" t="s">
        <v>74</v>
      </c>
      <c r="F301" t="s">
        <v>5788</v>
      </c>
      <c r="G301" t="s">
        <v>74</v>
      </c>
      <c r="H301" t="s">
        <v>74</v>
      </c>
      <c r="I301" t="s">
        <v>5789</v>
      </c>
      <c r="J301" t="s">
        <v>3637</v>
      </c>
      <c r="K301" t="s">
        <v>74</v>
      </c>
      <c r="L301" t="s">
        <v>74</v>
      </c>
      <c r="M301" t="s">
        <v>78</v>
      </c>
      <c r="N301" t="s">
        <v>79</v>
      </c>
      <c r="O301" t="s">
        <v>74</v>
      </c>
      <c r="P301" t="s">
        <v>74</v>
      </c>
      <c r="Q301" t="s">
        <v>74</v>
      </c>
      <c r="R301" t="s">
        <v>74</v>
      </c>
      <c r="S301" t="s">
        <v>74</v>
      </c>
      <c r="T301" t="s">
        <v>5790</v>
      </c>
      <c r="U301" t="s">
        <v>5791</v>
      </c>
      <c r="V301" t="s">
        <v>5792</v>
      </c>
      <c r="W301" t="s">
        <v>5793</v>
      </c>
      <c r="X301" t="s">
        <v>5794</v>
      </c>
      <c r="Y301" t="s">
        <v>5795</v>
      </c>
      <c r="Z301" t="s">
        <v>5796</v>
      </c>
      <c r="AA301" t="s">
        <v>5797</v>
      </c>
      <c r="AB301" t="s">
        <v>5798</v>
      </c>
      <c r="AC301" t="s">
        <v>5799</v>
      </c>
      <c r="AD301" t="s">
        <v>5800</v>
      </c>
      <c r="AE301" t="s">
        <v>5801</v>
      </c>
      <c r="AF301" t="s">
        <v>74</v>
      </c>
      <c r="AG301">
        <v>28</v>
      </c>
      <c r="AH301">
        <v>19</v>
      </c>
      <c r="AI301">
        <v>19</v>
      </c>
      <c r="AJ301">
        <v>0</v>
      </c>
      <c r="AK301">
        <v>7</v>
      </c>
      <c r="AL301" t="s">
        <v>2955</v>
      </c>
      <c r="AM301" t="s">
        <v>2956</v>
      </c>
      <c r="AN301" t="s">
        <v>2957</v>
      </c>
      <c r="AO301" t="s">
        <v>3650</v>
      </c>
      <c r="AP301" t="s">
        <v>5802</v>
      </c>
      <c r="AQ301" t="s">
        <v>74</v>
      </c>
      <c r="AR301" t="s">
        <v>3651</v>
      </c>
      <c r="AS301" t="s">
        <v>3652</v>
      </c>
      <c r="AT301" t="s">
        <v>74</v>
      </c>
      <c r="AU301">
        <v>2011</v>
      </c>
      <c r="AV301">
        <v>29</v>
      </c>
      <c r="AW301">
        <v>1</v>
      </c>
      <c r="AX301" t="s">
        <v>74</v>
      </c>
      <c r="AY301" t="s">
        <v>74</v>
      </c>
      <c r="AZ301" t="s">
        <v>74</v>
      </c>
      <c r="BA301" t="s">
        <v>74</v>
      </c>
      <c r="BB301">
        <v>209</v>
      </c>
      <c r="BC301">
        <v>219</v>
      </c>
      <c r="BD301" t="s">
        <v>74</v>
      </c>
      <c r="BE301" t="s">
        <v>5803</v>
      </c>
      <c r="BF301" t="str">
        <f>HYPERLINK("http://dx.doi.org/10.5194/angeo-29-209-2011","http://dx.doi.org/10.5194/angeo-29-209-2011")</f>
        <v>http://dx.doi.org/10.5194/angeo-29-209-2011</v>
      </c>
      <c r="BG301" t="s">
        <v>74</v>
      </c>
      <c r="BH301" t="s">
        <v>74</v>
      </c>
      <c r="BI301">
        <v>11</v>
      </c>
      <c r="BJ301" t="s">
        <v>3654</v>
      </c>
      <c r="BK301" t="s">
        <v>100</v>
      </c>
      <c r="BL301" t="s">
        <v>3655</v>
      </c>
      <c r="BM301" t="s">
        <v>5785</v>
      </c>
      <c r="BN301" t="s">
        <v>74</v>
      </c>
      <c r="BO301" t="s">
        <v>5804</v>
      </c>
      <c r="BP301" t="s">
        <v>74</v>
      </c>
      <c r="BQ301" t="s">
        <v>74</v>
      </c>
      <c r="BR301" t="s">
        <v>103</v>
      </c>
      <c r="BS301" t="s">
        <v>5805</v>
      </c>
      <c r="BT301" t="str">
        <f>HYPERLINK("https%3A%2F%2Fwww.webofscience.com%2Fwos%2Fwoscc%2Ffull-record%2FWOS:000286723200018","View Full Record in Web of Science")</f>
        <v>View Full Record in Web of Science</v>
      </c>
    </row>
    <row r="302" spans="1:72" x14ac:dyDescent="0.15">
      <c r="A302" t="s">
        <v>72</v>
      </c>
      <c r="B302" t="s">
        <v>5806</v>
      </c>
      <c r="C302" t="s">
        <v>74</v>
      </c>
      <c r="D302" t="s">
        <v>74</v>
      </c>
      <c r="E302" t="s">
        <v>74</v>
      </c>
      <c r="F302" t="s">
        <v>5807</v>
      </c>
      <c r="G302" t="s">
        <v>74</v>
      </c>
      <c r="H302" t="s">
        <v>74</v>
      </c>
      <c r="I302" t="s">
        <v>5808</v>
      </c>
      <c r="J302" t="s">
        <v>3637</v>
      </c>
      <c r="K302" t="s">
        <v>74</v>
      </c>
      <c r="L302" t="s">
        <v>74</v>
      </c>
      <c r="M302" t="s">
        <v>78</v>
      </c>
      <c r="N302" t="s">
        <v>79</v>
      </c>
      <c r="O302" t="s">
        <v>74</v>
      </c>
      <c r="P302" t="s">
        <v>74</v>
      </c>
      <c r="Q302" t="s">
        <v>74</v>
      </c>
      <c r="R302" t="s">
        <v>74</v>
      </c>
      <c r="S302" t="s">
        <v>74</v>
      </c>
      <c r="T302" t="s">
        <v>5809</v>
      </c>
      <c r="U302" t="s">
        <v>5810</v>
      </c>
      <c r="V302" t="s">
        <v>5811</v>
      </c>
      <c r="W302" t="s">
        <v>5812</v>
      </c>
      <c r="X302" t="s">
        <v>5813</v>
      </c>
      <c r="Y302" t="s">
        <v>5814</v>
      </c>
      <c r="Z302" t="s">
        <v>5815</v>
      </c>
      <c r="AA302" t="s">
        <v>5816</v>
      </c>
      <c r="AB302" t="s">
        <v>5817</v>
      </c>
      <c r="AC302" t="s">
        <v>5818</v>
      </c>
      <c r="AD302" t="s">
        <v>3556</v>
      </c>
      <c r="AE302" t="s">
        <v>74</v>
      </c>
      <c r="AF302" t="s">
        <v>74</v>
      </c>
      <c r="AG302">
        <v>8</v>
      </c>
      <c r="AH302">
        <v>13</v>
      </c>
      <c r="AI302">
        <v>18</v>
      </c>
      <c r="AJ302">
        <v>0</v>
      </c>
      <c r="AK302">
        <v>6</v>
      </c>
      <c r="AL302" t="s">
        <v>2955</v>
      </c>
      <c r="AM302" t="s">
        <v>2956</v>
      </c>
      <c r="AN302" t="s">
        <v>2957</v>
      </c>
      <c r="AO302" t="s">
        <v>3650</v>
      </c>
      <c r="AP302" t="s">
        <v>74</v>
      </c>
      <c r="AQ302" t="s">
        <v>74</v>
      </c>
      <c r="AR302" t="s">
        <v>3651</v>
      </c>
      <c r="AS302" t="s">
        <v>3652</v>
      </c>
      <c r="AT302" t="s">
        <v>74</v>
      </c>
      <c r="AU302">
        <v>2011</v>
      </c>
      <c r="AV302">
        <v>29</v>
      </c>
      <c r="AW302">
        <v>4</v>
      </c>
      <c r="AX302" t="s">
        <v>74</v>
      </c>
      <c r="AY302" t="s">
        <v>74</v>
      </c>
      <c r="AZ302" t="s">
        <v>74</v>
      </c>
      <c r="BA302" t="s">
        <v>74</v>
      </c>
      <c r="BB302">
        <v>673</v>
      </c>
      <c r="BC302">
        <v>678</v>
      </c>
      <c r="BD302" t="s">
        <v>74</v>
      </c>
      <c r="BE302" t="s">
        <v>5819</v>
      </c>
      <c r="BF302" t="str">
        <f>HYPERLINK("http://dx.doi.org/10.5194/angeo-29-673-2011","http://dx.doi.org/10.5194/angeo-29-673-2011")</f>
        <v>http://dx.doi.org/10.5194/angeo-29-673-2011</v>
      </c>
      <c r="BG302" t="s">
        <v>74</v>
      </c>
      <c r="BH302" t="s">
        <v>74</v>
      </c>
      <c r="BI302">
        <v>6</v>
      </c>
      <c r="BJ302" t="s">
        <v>3654</v>
      </c>
      <c r="BK302" t="s">
        <v>100</v>
      </c>
      <c r="BL302" t="s">
        <v>3655</v>
      </c>
      <c r="BM302" t="s">
        <v>5820</v>
      </c>
      <c r="BN302" t="s">
        <v>74</v>
      </c>
      <c r="BO302" t="s">
        <v>2456</v>
      </c>
      <c r="BP302" t="s">
        <v>74</v>
      </c>
      <c r="BQ302" t="s">
        <v>74</v>
      </c>
      <c r="BR302" t="s">
        <v>103</v>
      </c>
      <c r="BS302" t="s">
        <v>5821</v>
      </c>
      <c r="BT302" t="str">
        <f>HYPERLINK("https%3A%2F%2Fwww.webofscience.com%2Fwos%2Fwoscc%2Ffull-record%2FWOS:000290018000006","View Full Record in Web of Science")</f>
        <v>View Full Record in Web of Science</v>
      </c>
    </row>
    <row r="303" spans="1:72" x14ac:dyDescent="0.15">
      <c r="A303" t="s">
        <v>72</v>
      </c>
      <c r="B303" t="s">
        <v>5822</v>
      </c>
      <c r="C303" t="s">
        <v>74</v>
      </c>
      <c r="D303" t="s">
        <v>74</v>
      </c>
      <c r="E303" t="s">
        <v>74</v>
      </c>
      <c r="F303" t="s">
        <v>5823</v>
      </c>
      <c r="G303" t="s">
        <v>74</v>
      </c>
      <c r="H303" t="s">
        <v>74</v>
      </c>
      <c r="I303" t="s">
        <v>5824</v>
      </c>
      <c r="J303" t="s">
        <v>3637</v>
      </c>
      <c r="K303" t="s">
        <v>74</v>
      </c>
      <c r="L303" t="s">
        <v>74</v>
      </c>
      <c r="M303" t="s">
        <v>78</v>
      </c>
      <c r="N303" t="s">
        <v>79</v>
      </c>
      <c r="O303" t="s">
        <v>74</v>
      </c>
      <c r="P303" t="s">
        <v>74</v>
      </c>
      <c r="Q303" t="s">
        <v>74</v>
      </c>
      <c r="R303" t="s">
        <v>74</v>
      </c>
      <c r="S303" t="s">
        <v>74</v>
      </c>
      <c r="T303" t="s">
        <v>3677</v>
      </c>
      <c r="U303" t="s">
        <v>5825</v>
      </c>
      <c r="V303" t="s">
        <v>5826</v>
      </c>
      <c r="W303" t="s">
        <v>5827</v>
      </c>
      <c r="X303" t="s">
        <v>3681</v>
      </c>
      <c r="Y303" t="s">
        <v>5828</v>
      </c>
      <c r="Z303" t="s">
        <v>3683</v>
      </c>
      <c r="AA303" t="s">
        <v>74</v>
      </c>
      <c r="AB303" t="s">
        <v>74</v>
      </c>
      <c r="AC303" t="s">
        <v>74</v>
      </c>
      <c r="AD303" t="s">
        <v>74</v>
      </c>
      <c r="AE303" t="s">
        <v>74</v>
      </c>
      <c r="AF303" t="s">
        <v>74</v>
      </c>
      <c r="AG303">
        <v>16</v>
      </c>
      <c r="AH303">
        <v>15</v>
      </c>
      <c r="AI303">
        <v>17</v>
      </c>
      <c r="AJ303">
        <v>0</v>
      </c>
      <c r="AK303">
        <v>2</v>
      </c>
      <c r="AL303" t="s">
        <v>2955</v>
      </c>
      <c r="AM303" t="s">
        <v>2956</v>
      </c>
      <c r="AN303" t="s">
        <v>2957</v>
      </c>
      <c r="AO303" t="s">
        <v>3650</v>
      </c>
      <c r="AP303" t="s">
        <v>74</v>
      </c>
      <c r="AQ303" t="s">
        <v>74</v>
      </c>
      <c r="AR303" t="s">
        <v>3651</v>
      </c>
      <c r="AS303" t="s">
        <v>3652</v>
      </c>
      <c r="AT303" t="s">
        <v>74</v>
      </c>
      <c r="AU303">
        <v>2011</v>
      </c>
      <c r="AV303">
        <v>29</v>
      </c>
      <c r="AW303">
        <v>8</v>
      </c>
      <c r="AX303" t="s">
        <v>74</v>
      </c>
      <c r="AY303" t="s">
        <v>74</v>
      </c>
      <c r="AZ303" t="s">
        <v>74</v>
      </c>
      <c r="BA303" t="s">
        <v>74</v>
      </c>
      <c r="BB303">
        <v>1479</v>
      </c>
      <c r="BC303">
        <v>1489</v>
      </c>
      <c r="BD303" t="s">
        <v>74</v>
      </c>
      <c r="BE303" t="s">
        <v>5829</v>
      </c>
      <c r="BF303" t="str">
        <f>HYPERLINK("http://dx.doi.org/10.5194/angeo-29-1479-2011","http://dx.doi.org/10.5194/angeo-29-1479-2011")</f>
        <v>http://dx.doi.org/10.5194/angeo-29-1479-2011</v>
      </c>
      <c r="BG303" t="s">
        <v>74</v>
      </c>
      <c r="BH303" t="s">
        <v>74</v>
      </c>
      <c r="BI303">
        <v>11</v>
      </c>
      <c r="BJ303" t="s">
        <v>3654</v>
      </c>
      <c r="BK303" t="s">
        <v>100</v>
      </c>
      <c r="BL303" t="s">
        <v>3655</v>
      </c>
      <c r="BM303" t="s">
        <v>3685</v>
      </c>
      <c r="BN303" t="s">
        <v>74</v>
      </c>
      <c r="BO303" t="s">
        <v>3113</v>
      </c>
      <c r="BP303" t="s">
        <v>74</v>
      </c>
      <c r="BQ303" t="s">
        <v>74</v>
      </c>
      <c r="BR303" t="s">
        <v>103</v>
      </c>
      <c r="BS303" t="s">
        <v>5830</v>
      </c>
      <c r="BT303" t="str">
        <f>HYPERLINK("https%3A%2F%2Fwww.webofscience.com%2Fwos%2Fwoscc%2Ffull-record%2FWOS:000294455800014","View Full Record in Web of Science")</f>
        <v>View Full Record in Web of Science</v>
      </c>
    </row>
    <row r="304" spans="1:72" x14ac:dyDescent="0.15">
      <c r="A304" t="s">
        <v>72</v>
      </c>
      <c r="B304" t="s">
        <v>5831</v>
      </c>
      <c r="C304" t="s">
        <v>74</v>
      </c>
      <c r="D304" t="s">
        <v>74</v>
      </c>
      <c r="E304" t="s">
        <v>74</v>
      </c>
      <c r="F304" t="s">
        <v>5832</v>
      </c>
      <c r="G304" t="s">
        <v>74</v>
      </c>
      <c r="H304" t="s">
        <v>74</v>
      </c>
      <c r="I304" t="s">
        <v>5833</v>
      </c>
      <c r="J304" t="s">
        <v>3637</v>
      </c>
      <c r="K304" t="s">
        <v>74</v>
      </c>
      <c r="L304" t="s">
        <v>74</v>
      </c>
      <c r="M304" t="s">
        <v>78</v>
      </c>
      <c r="N304" t="s">
        <v>79</v>
      </c>
      <c r="O304" t="s">
        <v>74</v>
      </c>
      <c r="P304" t="s">
        <v>74</v>
      </c>
      <c r="Q304" t="s">
        <v>74</v>
      </c>
      <c r="R304" t="s">
        <v>74</v>
      </c>
      <c r="S304" t="s">
        <v>74</v>
      </c>
      <c r="T304" t="s">
        <v>5834</v>
      </c>
      <c r="U304" t="s">
        <v>5835</v>
      </c>
      <c r="V304" t="s">
        <v>5836</v>
      </c>
      <c r="W304" t="s">
        <v>5837</v>
      </c>
      <c r="X304" t="s">
        <v>5838</v>
      </c>
      <c r="Y304" t="s">
        <v>5839</v>
      </c>
      <c r="Z304" t="s">
        <v>5840</v>
      </c>
      <c r="AA304" t="s">
        <v>5841</v>
      </c>
      <c r="AB304" t="s">
        <v>5842</v>
      </c>
      <c r="AC304" t="s">
        <v>5843</v>
      </c>
      <c r="AD304" t="s">
        <v>5844</v>
      </c>
      <c r="AE304" t="s">
        <v>5845</v>
      </c>
      <c r="AF304" t="s">
        <v>74</v>
      </c>
      <c r="AG304">
        <v>62</v>
      </c>
      <c r="AH304">
        <v>18</v>
      </c>
      <c r="AI304">
        <v>21</v>
      </c>
      <c r="AJ304">
        <v>1</v>
      </c>
      <c r="AK304">
        <v>15</v>
      </c>
      <c r="AL304" t="s">
        <v>2955</v>
      </c>
      <c r="AM304" t="s">
        <v>2956</v>
      </c>
      <c r="AN304" t="s">
        <v>2957</v>
      </c>
      <c r="AO304" t="s">
        <v>3650</v>
      </c>
      <c r="AP304" t="s">
        <v>5802</v>
      </c>
      <c r="AQ304" t="s">
        <v>74</v>
      </c>
      <c r="AR304" t="s">
        <v>3651</v>
      </c>
      <c r="AS304" t="s">
        <v>3652</v>
      </c>
      <c r="AT304" t="s">
        <v>74</v>
      </c>
      <c r="AU304">
        <v>2011</v>
      </c>
      <c r="AV304">
        <v>29</v>
      </c>
      <c r="AW304">
        <v>11</v>
      </c>
      <c r="AX304" t="s">
        <v>74</v>
      </c>
      <c r="AY304" t="s">
        <v>74</v>
      </c>
      <c r="AZ304" t="s">
        <v>74</v>
      </c>
      <c r="BA304" t="s">
        <v>74</v>
      </c>
      <c r="BB304">
        <v>1985</v>
      </c>
      <c r="BC304">
        <v>1996</v>
      </c>
      <c r="BD304" t="s">
        <v>74</v>
      </c>
      <c r="BE304" t="s">
        <v>5846</v>
      </c>
      <c r="BF304" t="str">
        <f>HYPERLINK("http://dx.doi.org/10.5194/angeo-29-1985-2011","http://dx.doi.org/10.5194/angeo-29-1985-2011")</f>
        <v>http://dx.doi.org/10.5194/angeo-29-1985-2011</v>
      </c>
      <c r="BG304" t="s">
        <v>74</v>
      </c>
      <c r="BH304" t="s">
        <v>74</v>
      </c>
      <c r="BI304">
        <v>12</v>
      </c>
      <c r="BJ304" t="s">
        <v>3654</v>
      </c>
      <c r="BK304" t="s">
        <v>100</v>
      </c>
      <c r="BL304" t="s">
        <v>3655</v>
      </c>
      <c r="BM304" t="s">
        <v>5847</v>
      </c>
      <c r="BN304" t="s">
        <v>74</v>
      </c>
      <c r="BO304" t="s">
        <v>5848</v>
      </c>
      <c r="BP304" t="s">
        <v>74</v>
      </c>
      <c r="BQ304" t="s">
        <v>74</v>
      </c>
      <c r="BR304" t="s">
        <v>103</v>
      </c>
      <c r="BS304" t="s">
        <v>5849</v>
      </c>
      <c r="BT304" t="str">
        <f>HYPERLINK("https%3A%2F%2Fwww.webofscience.com%2Fwos%2Fwoscc%2Ffull-record%2FWOS:000298135100002","View Full Record in Web of Science")</f>
        <v>View Full Record in Web of Science</v>
      </c>
    </row>
    <row r="305" spans="1:72" x14ac:dyDescent="0.15">
      <c r="A305" t="s">
        <v>72</v>
      </c>
      <c r="B305" t="s">
        <v>5850</v>
      </c>
      <c r="C305" t="s">
        <v>74</v>
      </c>
      <c r="D305" t="s">
        <v>74</v>
      </c>
      <c r="E305" t="s">
        <v>74</v>
      </c>
      <c r="F305" t="s">
        <v>5851</v>
      </c>
      <c r="G305" t="s">
        <v>74</v>
      </c>
      <c r="H305" t="s">
        <v>74</v>
      </c>
      <c r="I305" t="s">
        <v>5852</v>
      </c>
      <c r="J305" t="s">
        <v>3637</v>
      </c>
      <c r="K305" t="s">
        <v>74</v>
      </c>
      <c r="L305" t="s">
        <v>74</v>
      </c>
      <c r="M305" t="s">
        <v>78</v>
      </c>
      <c r="N305" t="s">
        <v>79</v>
      </c>
      <c r="O305" t="s">
        <v>74</v>
      </c>
      <c r="P305" t="s">
        <v>74</v>
      </c>
      <c r="Q305" t="s">
        <v>74</v>
      </c>
      <c r="R305" t="s">
        <v>74</v>
      </c>
      <c r="S305" t="s">
        <v>74</v>
      </c>
      <c r="T305" t="s">
        <v>5853</v>
      </c>
      <c r="U305" t="s">
        <v>5854</v>
      </c>
      <c r="V305" t="s">
        <v>5855</v>
      </c>
      <c r="W305" t="s">
        <v>5856</v>
      </c>
      <c r="X305" t="s">
        <v>5857</v>
      </c>
      <c r="Y305" t="s">
        <v>5858</v>
      </c>
      <c r="Z305" t="s">
        <v>5859</v>
      </c>
      <c r="AA305" t="s">
        <v>5860</v>
      </c>
      <c r="AB305" t="s">
        <v>5861</v>
      </c>
      <c r="AC305" t="s">
        <v>5862</v>
      </c>
      <c r="AD305" t="s">
        <v>5863</v>
      </c>
      <c r="AE305" t="s">
        <v>5864</v>
      </c>
      <c r="AF305" t="s">
        <v>74</v>
      </c>
      <c r="AG305">
        <v>50</v>
      </c>
      <c r="AH305">
        <v>47</v>
      </c>
      <c r="AI305">
        <v>49</v>
      </c>
      <c r="AJ305">
        <v>1</v>
      </c>
      <c r="AK305">
        <v>30</v>
      </c>
      <c r="AL305" t="s">
        <v>2955</v>
      </c>
      <c r="AM305" t="s">
        <v>2956</v>
      </c>
      <c r="AN305" t="s">
        <v>2957</v>
      </c>
      <c r="AO305" t="s">
        <v>3650</v>
      </c>
      <c r="AP305" t="s">
        <v>5802</v>
      </c>
      <c r="AQ305" t="s">
        <v>74</v>
      </c>
      <c r="AR305" t="s">
        <v>3651</v>
      </c>
      <c r="AS305" t="s">
        <v>3652</v>
      </c>
      <c r="AT305" t="s">
        <v>74</v>
      </c>
      <c r="AU305">
        <v>2011</v>
      </c>
      <c r="AV305">
        <v>29</v>
      </c>
      <c r="AW305">
        <v>12</v>
      </c>
      <c r="AX305" t="s">
        <v>74</v>
      </c>
      <c r="AY305" t="s">
        <v>74</v>
      </c>
      <c r="AZ305" t="s">
        <v>74</v>
      </c>
      <c r="BA305" t="s">
        <v>74</v>
      </c>
      <c r="BB305">
        <v>2287</v>
      </c>
      <c r="BC305">
        <v>2304</v>
      </c>
      <c r="BD305" t="s">
        <v>74</v>
      </c>
      <c r="BE305" t="s">
        <v>5865</v>
      </c>
      <c r="BF305" t="str">
        <f>HYPERLINK("http://dx.doi.org/10.5194/angeo-29-2287-2011","http://dx.doi.org/10.5194/angeo-29-2287-2011")</f>
        <v>http://dx.doi.org/10.5194/angeo-29-2287-2011</v>
      </c>
      <c r="BG305" t="s">
        <v>74</v>
      </c>
      <c r="BH305" t="s">
        <v>74</v>
      </c>
      <c r="BI305">
        <v>18</v>
      </c>
      <c r="BJ305" t="s">
        <v>3654</v>
      </c>
      <c r="BK305" t="s">
        <v>100</v>
      </c>
      <c r="BL305" t="s">
        <v>3655</v>
      </c>
      <c r="BM305" t="s">
        <v>5866</v>
      </c>
      <c r="BN305" t="s">
        <v>74</v>
      </c>
      <c r="BO305" t="s">
        <v>3113</v>
      </c>
      <c r="BP305" t="s">
        <v>74</v>
      </c>
      <c r="BQ305" t="s">
        <v>74</v>
      </c>
      <c r="BR305" t="s">
        <v>103</v>
      </c>
      <c r="BS305" t="s">
        <v>5867</v>
      </c>
      <c r="BT305" t="str">
        <f>HYPERLINK("https%3A%2F%2Fwww.webofscience.com%2Fwos%2Fwoscc%2Ffull-record%2FWOS:000298657700010","View Full Record in Web of Science")</f>
        <v>View Full Record in Web of Science</v>
      </c>
    </row>
    <row r="306" spans="1:72" x14ac:dyDescent="0.15">
      <c r="A306" t="s">
        <v>72</v>
      </c>
      <c r="B306" t="s">
        <v>5868</v>
      </c>
      <c r="C306" t="s">
        <v>74</v>
      </c>
      <c r="D306" t="s">
        <v>74</v>
      </c>
      <c r="E306" t="s">
        <v>74</v>
      </c>
      <c r="F306" t="s">
        <v>5869</v>
      </c>
      <c r="G306" t="s">
        <v>74</v>
      </c>
      <c r="H306" t="s">
        <v>74</v>
      </c>
      <c r="I306" t="s">
        <v>5870</v>
      </c>
      <c r="J306" t="s">
        <v>5871</v>
      </c>
      <c r="K306" t="s">
        <v>74</v>
      </c>
      <c r="L306" t="s">
        <v>74</v>
      </c>
      <c r="M306" t="s">
        <v>78</v>
      </c>
      <c r="N306" t="s">
        <v>79</v>
      </c>
      <c r="O306" t="s">
        <v>74</v>
      </c>
      <c r="P306" t="s">
        <v>74</v>
      </c>
      <c r="Q306" t="s">
        <v>74</v>
      </c>
      <c r="R306" t="s">
        <v>74</v>
      </c>
      <c r="S306" t="s">
        <v>74</v>
      </c>
      <c r="T306" t="s">
        <v>74</v>
      </c>
      <c r="U306" t="s">
        <v>5872</v>
      </c>
      <c r="V306" t="s">
        <v>5873</v>
      </c>
      <c r="W306" t="s">
        <v>5874</v>
      </c>
      <c r="X306" t="s">
        <v>5875</v>
      </c>
      <c r="Y306" t="s">
        <v>5876</v>
      </c>
      <c r="Z306" t="s">
        <v>5877</v>
      </c>
      <c r="AA306" t="s">
        <v>74</v>
      </c>
      <c r="AB306" t="s">
        <v>74</v>
      </c>
      <c r="AC306" t="s">
        <v>5878</v>
      </c>
      <c r="AD306" t="s">
        <v>5879</v>
      </c>
      <c r="AE306" t="s">
        <v>5880</v>
      </c>
      <c r="AF306" t="s">
        <v>74</v>
      </c>
      <c r="AG306">
        <v>33</v>
      </c>
      <c r="AH306">
        <v>12</v>
      </c>
      <c r="AI306">
        <v>13</v>
      </c>
      <c r="AJ306">
        <v>0</v>
      </c>
      <c r="AK306">
        <v>5</v>
      </c>
      <c r="AL306" t="s">
        <v>90</v>
      </c>
      <c r="AM306" t="s">
        <v>2335</v>
      </c>
      <c r="AN306" t="s">
        <v>3413</v>
      </c>
      <c r="AO306" t="s">
        <v>5881</v>
      </c>
      <c r="AP306" t="s">
        <v>5882</v>
      </c>
      <c r="AQ306" t="s">
        <v>74</v>
      </c>
      <c r="AR306" t="s">
        <v>5883</v>
      </c>
      <c r="AS306" t="s">
        <v>5884</v>
      </c>
      <c r="AT306" t="s">
        <v>74</v>
      </c>
      <c r="AU306">
        <v>2011</v>
      </c>
      <c r="AV306">
        <v>52</v>
      </c>
      <c r="AW306">
        <v>57</v>
      </c>
      <c r="AX306">
        <v>1</v>
      </c>
      <c r="AY306" t="s">
        <v>74</v>
      </c>
      <c r="AZ306" t="s">
        <v>74</v>
      </c>
      <c r="BA306" t="s">
        <v>74</v>
      </c>
      <c r="BB306">
        <v>9</v>
      </c>
      <c r="BC306">
        <v>17</v>
      </c>
      <c r="BD306" t="s">
        <v>74</v>
      </c>
      <c r="BE306" t="s">
        <v>5885</v>
      </c>
      <c r="BF306" t="str">
        <f>HYPERLINK("http://dx.doi.org/10.3189/172756411795931859","http://dx.doi.org/10.3189/172756411795931859")</f>
        <v>http://dx.doi.org/10.3189/172756411795931859</v>
      </c>
      <c r="BG306" t="s">
        <v>74</v>
      </c>
      <c r="BH306" t="s">
        <v>74</v>
      </c>
      <c r="BI306">
        <v>9</v>
      </c>
      <c r="BJ306" t="s">
        <v>222</v>
      </c>
      <c r="BK306" t="s">
        <v>100</v>
      </c>
      <c r="BL306" t="s">
        <v>223</v>
      </c>
      <c r="BM306" t="s">
        <v>5886</v>
      </c>
      <c r="BN306" t="s">
        <v>74</v>
      </c>
      <c r="BO306" t="s">
        <v>252</v>
      </c>
      <c r="BP306" t="s">
        <v>74</v>
      </c>
      <c r="BQ306" t="s">
        <v>74</v>
      </c>
      <c r="BR306" t="s">
        <v>103</v>
      </c>
      <c r="BS306" t="s">
        <v>5887</v>
      </c>
      <c r="BT306" t="str">
        <f>HYPERLINK("https%3A%2F%2Fwww.webofscience.com%2Fwos%2Fwoscc%2Ffull-record%2FWOS:000289655600002","View Full Record in Web of Science")</f>
        <v>View Full Record in Web of Science</v>
      </c>
    </row>
    <row r="307" spans="1:72" x14ac:dyDescent="0.15">
      <c r="A307" t="s">
        <v>72</v>
      </c>
      <c r="B307" t="s">
        <v>5888</v>
      </c>
      <c r="C307" t="s">
        <v>74</v>
      </c>
      <c r="D307" t="s">
        <v>74</v>
      </c>
      <c r="E307" t="s">
        <v>74</v>
      </c>
      <c r="F307" t="s">
        <v>5889</v>
      </c>
      <c r="G307" t="s">
        <v>74</v>
      </c>
      <c r="H307" t="s">
        <v>74</v>
      </c>
      <c r="I307" t="s">
        <v>5890</v>
      </c>
      <c r="J307" t="s">
        <v>5871</v>
      </c>
      <c r="K307" t="s">
        <v>74</v>
      </c>
      <c r="L307" t="s">
        <v>74</v>
      </c>
      <c r="M307" t="s">
        <v>78</v>
      </c>
      <c r="N307" t="s">
        <v>79</v>
      </c>
      <c r="O307" t="s">
        <v>74</v>
      </c>
      <c r="P307" t="s">
        <v>74</v>
      </c>
      <c r="Q307" t="s">
        <v>74</v>
      </c>
      <c r="R307" t="s">
        <v>74</v>
      </c>
      <c r="S307" t="s">
        <v>74</v>
      </c>
      <c r="T307" t="s">
        <v>74</v>
      </c>
      <c r="U307" t="s">
        <v>5891</v>
      </c>
      <c r="V307" t="s">
        <v>5892</v>
      </c>
      <c r="W307" t="s">
        <v>5893</v>
      </c>
      <c r="X307" t="s">
        <v>5894</v>
      </c>
      <c r="Y307" t="s">
        <v>5895</v>
      </c>
      <c r="Z307" t="s">
        <v>5896</v>
      </c>
      <c r="AA307" t="s">
        <v>5897</v>
      </c>
      <c r="AB307" t="s">
        <v>5898</v>
      </c>
      <c r="AC307" t="s">
        <v>5899</v>
      </c>
      <c r="AD307" t="s">
        <v>5900</v>
      </c>
      <c r="AE307" t="s">
        <v>5901</v>
      </c>
      <c r="AF307" t="s">
        <v>74</v>
      </c>
      <c r="AG307">
        <v>29</v>
      </c>
      <c r="AH307">
        <v>34</v>
      </c>
      <c r="AI307">
        <v>41</v>
      </c>
      <c r="AJ307">
        <v>0</v>
      </c>
      <c r="AK307">
        <v>21</v>
      </c>
      <c r="AL307" t="s">
        <v>90</v>
      </c>
      <c r="AM307" t="s">
        <v>2335</v>
      </c>
      <c r="AN307" t="s">
        <v>3413</v>
      </c>
      <c r="AO307" t="s">
        <v>5881</v>
      </c>
      <c r="AP307" t="s">
        <v>5882</v>
      </c>
      <c r="AQ307" t="s">
        <v>74</v>
      </c>
      <c r="AR307" t="s">
        <v>5883</v>
      </c>
      <c r="AS307" t="s">
        <v>5884</v>
      </c>
      <c r="AT307" t="s">
        <v>74</v>
      </c>
      <c r="AU307">
        <v>2011</v>
      </c>
      <c r="AV307">
        <v>52</v>
      </c>
      <c r="AW307">
        <v>58</v>
      </c>
      <c r="AX307" t="s">
        <v>74</v>
      </c>
      <c r="AY307" t="s">
        <v>74</v>
      </c>
      <c r="AZ307" t="s">
        <v>74</v>
      </c>
      <c r="BA307" t="s">
        <v>74</v>
      </c>
      <c r="BB307">
        <v>18</v>
      </c>
      <c r="BC307">
        <v>22</v>
      </c>
      <c r="BD307" t="s">
        <v>74</v>
      </c>
      <c r="BE307" t="s">
        <v>5902</v>
      </c>
      <c r="BF307" t="str">
        <f>HYPERLINK("http://dx.doi.org/10.3189/172756411797252176","http://dx.doi.org/10.3189/172756411797252176")</f>
        <v>http://dx.doi.org/10.3189/172756411797252176</v>
      </c>
      <c r="BG307" t="s">
        <v>74</v>
      </c>
      <c r="BH307" t="s">
        <v>74</v>
      </c>
      <c r="BI307">
        <v>5</v>
      </c>
      <c r="BJ307" t="s">
        <v>222</v>
      </c>
      <c r="BK307" t="s">
        <v>100</v>
      </c>
      <c r="BL307" t="s">
        <v>223</v>
      </c>
      <c r="BM307" t="s">
        <v>5903</v>
      </c>
      <c r="BN307" t="s">
        <v>74</v>
      </c>
      <c r="BO307" t="s">
        <v>3320</v>
      </c>
      <c r="BP307" t="s">
        <v>74</v>
      </c>
      <c r="BQ307" t="s">
        <v>74</v>
      </c>
      <c r="BR307" t="s">
        <v>103</v>
      </c>
      <c r="BS307" t="s">
        <v>5904</v>
      </c>
      <c r="BT307" t="str">
        <f>HYPERLINK("https%3A%2F%2Fwww.webofscience.com%2Fwos%2Fwoscc%2Ffull-record%2FWOS:000293680600003","View Full Record in Web of Science")</f>
        <v>View Full Record in Web of Science</v>
      </c>
    </row>
    <row r="308" spans="1:72" x14ac:dyDescent="0.15">
      <c r="A308" t="s">
        <v>72</v>
      </c>
      <c r="B308" t="s">
        <v>5905</v>
      </c>
      <c r="C308" t="s">
        <v>74</v>
      </c>
      <c r="D308" t="s">
        <v>74</v>
      </c>
      <c r="E308" t="s">
        <v>74</v>
      </c>
      <c r="F308" t="s">
        <v>5906</v>
      </c>
      <c r="G308" t="s">
        <v>74</v>
      </c>
      <c r="H308" t="s">
        <v>74</v>
      </c>
      <c r="I308" t="s">
        <v>5907</v>
      </c>
      <c r="J308" t="s">
        <v>5871</v>
      </c>
      <c r="K308" t="s">
        <v>74</v>
      </c>
      <c r="L308" t="s">
        <v>74</v>
      </c>
      <c r="M308" t="s">
        <v>78</v>
      </c>
      <c r="N308" t="s">
        <v>79</v>
      </c>
      <c r="O308" t="s">
        <v>74</v>
      </c>
      <c r="P308" t="s">
        <v>74</v>
      </c>
      <c r="Q308" t="s">
        <v>74</v>
      </c>
      <c r="R308" t="s">
        <v>74</v>
      </c>
      <c r="S308" t="s">
        <v>74</v>
      </c>
      <c r="T308" t="s">
        <v>74</v>
      </c>
      <c r="U308" t="s">
        <v>5908</v>
      </c>
      <c r="V308" t="s">
        <v>5909</v>
      </c>
      <c r="W308" t="s">
        <v>5910</v>
      </c>
      <c r="X308" t="s">
        <v>5911</v>
      </c>
      <c r="Y308" t="s">
        <v>5912</v>
      </c>
      <c r="Z308" t="s">
        <v>5913</v>
      </c>
      <c r="AA308" t="s">
        <v>5914</v>
      </c>
      <c r="AB308" t="s">
        <v>5915</v>
      </c>
      <c r="AC308" t="s">
        <v>5916</v>
      </c>
      <c r="AD308" t="s">
        <v>5917</v>
      </c>
      <c r="AE308" t="s">
        <v>5918</v>
      </c>
      <c r="AF308" t="s">
        <v>74</v>
      </c>
      <c r="AG308">
        <v>28</v>
      </c>
      <c r="AH308">
        <v>59</v>
      </c>
      <c r="AI308">
        <v>63</v>
      </c>
      <c r="AJ308">
        <v>0</v>
      </c>
      <c r="AK308">
        <v>18</v>
      </c>
      <c r="AL308" t="s">
        <v>90</v>
      </c>
      <c r="AM308" t="s">
        <v>2335</v>
      </c>
      <c r="AN308" t="s">
        <v>3413</v>
      </c>
      <c r="AO308" t="s">
        <v>5881</v>
      </c>
      <c r="AP308" t="s">
        <v>5882</v>
      </c>
      <c r="AQ308" t="s">
        <v>74</v>
      </c>
      <c r="AR308" t="s">
        <v>5883</v>
      </c>
      <c r="AS308" t="s">
        <v>5884</v>
      </c>
      <c r="AT308" t="s">
        <v>74</v>
      </c>
      <c r="AU308">
        <v>2011</v>
      </c>
      <c r="AV308">
        <v>52</v>
      </c>
      <c r="AW308">
        <v>58</v>
      </c>
      <c r="AX308" t="s">
        <v>74</v>
      </c>
      <c r="AY308" t="s">
        <v>74</v>
      </c>
      <c r="AZ308" t="s">
        <v>74</v>
      </c>
      <c r="BA308" t="s">
        <v>74</v>
      </c>
      <c r="BB308">
        <v>23</v>
      </c>
      <c r="BC308">
        <v>30</v>
      </c>
      <c r="BD308" t="s">
        <v>74</v>
      </c>
      <c r="BE308" t="s">
        <v>5919</v>
      </c>
      <c r="BF308" t="str">
        <f>HYPERLINK("http://dx.doi.org/10.3189/172756411797252068","http://dx.doi.org/10.3189/172756411797252068")</f>
        <v>http://dx.doi.org/10.3189/172756411797252068</v>
      </c>
      <c r="BG308" t="s">
        <v>74</v>
      </c>
      <c r="BH308" t="s">
        <v>74</v>
      </c>
      <c r="BI308">
        <v>8</v>
      </c>
      <c r="BJ308" t="s">
        <v>222</v>
      </c>
      <c r="BK308" t="s">
        <v>100</v>
      </c>
      <c r="BL308" t="s">
        <v>223</v>
      </c>
      <c r="BM308" t="s">
        <v>5903</v>
      </c>
      <c r="BN308" t="s">
        <v>74</v>
      </c>
      <c r="BO308" t="s">
        <v>923</v>
      </c>
      <c r="BP308" t="s">
        <v>74</v>
      </c>
      <c r="BQ308" t="s">
        <v>74</v>
      </c>
      <c r="BR308" t="s">
        <v>103</v>
      </c>
      <c r="BS308" t="s">
        <v>5920</v>
      </c>
      <c r="BT308" t="str">
        <f>HYPERLINK("https%3A%2F%2Fwww.webofscience.com%2Fwos%2Fwoscc%2Ffull-record%2FWOS:000293680600004","View Full Record in Web of Science")</f>
        <v>View Full Record in Web of Science</v>
      </c>
    </row>
    <row r="309" spans="1:72" x14ac:dyDescent="0.15">
      <c r="A309" t="s">
        <v>72</v>
      </c>
      <c r="B309" t="s">
        <v>5921</v>
      </c>
      <c r="C309" t="s">
        <v>74</v>
      </c>
      <c r="D309" t="s">
        <v>74</v>
      </c>
      <c r="E309" t="s">
        <v>74</v>
      </c>
      <c r="F309" t="s">
        <v>5922</v>
      </c>
      <c r="G309" t="s">
        <v>74</v>
      </c>
      <c r="H309" t="s">
        <v>74</v>
      </c>
      <c r="I309" t="s">
        <v>5923</v>
      </c>
      <c r="J309" t="s">
        <v>5871</v>
      </c>
      <c r="K309" t="s">
        <v>74</v>
      </c>
      <c r="L309" t="s">
        <v>74</v>
      </c>
      <c r="M309" t="s">
        <v>78</v>
      </c>
      <c r="N309" t="s">
        <v>79</v>
      </c>
      <c r="O309" t="s">
        <v>74</v>
      </c>
      <c r="P309" t="s">
        <v>74</v>
      </c>
      <c r="Q309" t="s">
        <v>74</v>
      </c>
      <c r="R309" t="s">
        <v>74</v>
      </c>
      <c r="S309" t="s">
        <v>74</v>
      </c>
      <c r="T309" t="s">
        <v>74</v>
      </c>
      <c r="U309" t="s">
        <v>5924</v>
      </c>
      <c r="V309" t="s">
        <v>5925</v>
      </c>
      <c r="W309" t="s">
        <v>5926</v>
      </c>
      <c r="X309" t="s">
        <v>5927</v>
      </c>
      <c r="Y309" t="s">
        <v>5928</v>
      </c>
      <c r="Z309" t="s">
        <v>5929</v>
      </c>
      <c r="AA309" t="s">
        <v>74</v>
      </c>
      <c r="AB309" t="s">
        <v>5930</v>
      </c>
      <c r="AC309" t="s">
        <v>5931</v>
      </c>
      <c r="AD309" t="s">
        <v>5932</v>
      </c>
      <c r="AE309" t="s">
        <v>5933</v>
      </c>
      <c r="AF309" t="s">
        <v>74</v>
      </c>
      <c r="AG309">
        <v>16</v>
      </c>
      <c r="AH309">
        <v>3</v>
      </c>
      <c r="AI309">
        <v>3</v>
      </c>
      <c r="AJ309">
        <v>0</v>
      </c>
      <c r="AK309">
        <v>3</v>
      </c>
      <c r="AL309" t="s">
        <v>3169</v>
      </c>
      <c r="AM309" t="s">
        <v>2335</v>
      </c>
      <c r="AN309" t="s">
        <v>3170</v>
      </c>
      <c r="AO309" t="s">
        <v>5881</v>
      </c>
      <c r="AP309" t="s">
        <v>5882</v>
      </c>
      <c r="AQ309" t="s">
        <v>74</v>
      </c>
      <c r="AR309" t="s">
        <v>5883</v>
      </c>
      <c r="AS309" t="s">
        <v>5884</v>
      </c>
      <c r="AT309" t="s">
        <v>74</v>
      </c>
      <c r="AU309">
        <v>2011</v>
      </c>
      <c r="AV309">
        <v>52</v>
      </c>
      <c r="AW309">
        <v>57</v>
      </c>
      <c r="AX309">
        <v>1</v>
      </c>
      <c r="AY309" t="s">
        <v>74</v>
      </c>
      <c r="AZ309" t="s">
        <v>74</v>
      </c>
      <c r="BA309" t="s">
        <v>74</v>
      </c>
      <c r="BB309">
        <v>27</v>
      </c>
      <c r="BC309">
        <v>34</v>
      </c>
      <c r="BD309" t="s">
        <v>74</v>
      </c>
      <c r="BE309" t="s">
        <v>5934</v>
      </c>
      <c r="BF309" t="str">
        <f>HYPERLINK("http://dx.doi.org/10.3189/172756411795931642","http://dx.doi.org/10.3189/172756411795931642")</f>
        <v>http://dx.doi.org/10.3189/172756411795931642</v>
      </c>
      <c r="BG309" t="s">
        <v>74</v>
      </c>
      <c r="BH309" t="s">
        <v>74</v>
      </c>
      <c r="BI309">
        <v>8</v>
      </c>
      <c r="BJ309" t="s">
        <v>222</v>
      </c>
      <c r="BK309" t="s">
        <v>100</v>
      </c>
      <c r="BL309" t="s">
        <v>223</v>
      </c>
      <c r="BM309" t="s">
        <v>5886</v>
      </c>
      <c r="BN309" t="s">
        <v>74</v>
      </c>
      <c r="BO309" t="s">
        <v>252</v>
      </c>
      <c r="BP309" t="s">
        <v>74</v>
      </c>
      <c r="BQ309" t="s">
        <v>74</v>
      </c>
      <c r="BR309" t="s">
        <v>103</v>
      </c>
      <c r="BS309" t="s">
        <v>5935</v>
      </c>
      <c r="BT309" t="str">
        <f>HYPERLINK("https%3A%2F%2Fwww.webofscience.com%2Fwos%2Fwoscc%2Ffull-record%2FWOS:000289655600004","View Full Record in Web of Science")</f>
        <v>View Full Record in Web of Science</v>
      </c>
    </row>
    <row r="310" spans="1:72" x14ac:dyDescent="0.15">
      <c r="A310" t="s">
        <v>72</v>
      </c>
      <c r="B310" t="s">
        <v>5936</v>
      </c>
      <c r="C310" t="s">
        <v>74</v>
      </c>
      <c r="D310" t="s">
        <v>74</v>
      </c>
      <c r="E310" t="s">
        <v>74</v>
      </c>
      <c r="F310" t="s">
        <v>5937</v>
      </c>
      <c r="G310" t="s">
        <v>74</v>
      </c>
      <c r="H310" t="s">
        <v>74</v>
      </c>
      <c r="I310" t="s">
        <v>5938</v>
      </c>
      <c r="J310" t="s">
        <v>5871</v>
      </c>
      <c r="K310" t="s">
        <v>74</v>
      </c>
      <c r="L310" t="s">
        <v>74</v>
      </c>
      <c r="M310" t="s">
        <v>78</v>
      </c>
      <c r="N310" t="s">
        <v>79</v>
      </c>
      <c r="O310" t="s">
        <v>74</v>
      </c>
      <c r="P310" t="s">
        <v>74</v>
      </c>
      <c r="Q310" t="s">
        <v>74</v>
      </c>
      <c r="R310" t="s">
        <v>74</v>
      </c>
      <c r="S310" t="s">
        <v>74</v>
      </c>
      <c r="T310" t="s">
        <v>74</v>
      </c>
      <c r="U310" t="s">
        <v>5939</v>
      </c>
      <c r="V310" t="s">
        <v>5940</v>
      </c>
      <c r="W310" t="s">
        <v>5941</v>
      </c>
      <c r="X310" t="s">
        <v>5942</v>
      </c>
      <c r="Y310" t="s">
        <v>5943</v>
      </c>
      <c r="Z310" t="s">
        <v>5944</v>
      </c>
      <c r="AA310" t="s">
        <v>5945</v>
      </c>
      <c r="AB310" t="s">
        <v>5946</v>
      </c>
      <c r="AC310" t="s">
        <v>5947</v>
      </c>
      <c r="AD310" t="s">
        <v>5948</v>
      </c>
      <c r="AE310" t="s">
        <v>5949</v>
      </c>
      <c r="AF310" t="s">
        <v>74</v>
      </c>
      <c r="AG310">
        <v>23</v>
      </c>
      <c r="AH310">
        <v>8</v>
      </c>
      <c r="AI310">
        <v>9</v>
      </c>
      <c r="AJ310">
        <v>0</v>
      </c>
      <c r="AK310">
        <v>14</v>
      </c>
      <c r="AL310" t="s">
        <v>90</v>
      </c>
      <c r="AM310" t="s">
        <v>2335</v>
      </c>
      <c r="AN310" t="s">
        <v>3413</v>
      </c>
      <c r="AO310" t="s">
        <v>5881</v>
      </c>
      <c r="AP310" t="s">
        <v>5882</v>
      </c>
      <c r="AQ310" t="s">
        <v>74</v>
      </c>
      <c r="AR310" t="s">
        <v>5883</v>
      </c>
      <c r="AS310" t="s">
        <v>5884</v>
      </c>
      <c r="AT310" t="s">
        <v>74</v>
      </c>
      <c r="AU310">
        <v>2011</v>
      </c>
      <c r="AV310">
        <v>52</v>
      </c>
      <c r="AW310">
        <v>59</v>
      </c>
      <c r="AX310" t="s">
        <v>74</v>
      </c>
      <c r="AY310" t="s">
        <v>74</v>
      </c>
      <c r="AZ310" t="s">
        <v>74</v>
      </c>
      <c r="BA310" t="s">
        <v>74</v>
      </c>
      <c r="BB310">
        <v>51</v>
      </c>
      <c r="BC310">
        <v>59</v>
      </c>
      <c r="BD310" t="s">
        <v>74</v>
      </c>
      <c r="BE310" t="s">
        <v>5950</v>
      </c>
      <c r="BF310" t="str">
        <f>HYPERLINK("http://dx.doi.org/10.3189/172756411799096178","http://dx.doi.org/10.3189/172756411799096178")</f>
        <v>http://dx.doi.org/10.3189/172756411799096178</v>
      </c>
      <c r="BG310" t="s">
        <v>74</v>
      </c>
      <c r="BH310" t="s">
        <v>74</v>
      </c>
      <c r="BI310">
        <v>9</v>
      </c>
      <c r="BJ310" t="s">
        <v>222</v>
      </c>
      <c r="BK310" t="s">
        <v>100</v>
      </c>
      <c r="BL310" t="s">
        <v>223</v>
      </c>
      <c r="BM310" t="s">
        <v>5951</v>
      </c>
      <c r="BN310" t="s">
        <v>74</v>
      </c>
      <c r="BO310" t="s">
        <v>3320</v>
      </c>
      <c r="BP310" t="s">
        <v>74</v>
      </c>
      <c r="BQ310" t="s">
        <v>74</v>
      </c>
      <c r="BR310" t="s">
        <v>103</v>
      </c>
      <c r="BS310" t="s">
        <v>5952</v>
      </c>
      <c r="BT310" t="str">
        <f>HYPERLINK("https%3A%2F%2Fwww.webofscience.com%2Fwos%2Fwoscc%2Ffull-record%2FWOS:000299245400008","View Full Record in Web of Science")</f>
        <v>View Full Record in Web of Science</v>
      </c>
    </row>
    <row r="311" spans="1:72" x14ac:dyDescent="0.15">
      <c r="A311" t="s">
        <v>72</v>
      </c>
      <c r="B311" t="s">
        <v>5953</v>
      </c>
      <c r="C311" t="s">
        <v>74</v>
      </c>
      <c r="D311" t="s">
        <v>74</v>
      </c>
      <c r="E311" t="s">
        <v>74</v>
      </c>
      <c r="F311" t="s">
        <v>5954</v>
      </c>
      <c r="G311" t="s">
        <v>74</v>
      </c>
      <c r="H311" t="s">
        <v>74</v>
      </c>
      <c r="I311" t="s">
        <v>5955</v>
      </c>
      <c r="J311" t="s">
        <v>5871</v>
      </c>
      <c r="K311" t="s">
        <v>74</v>
      </c>
      <c r="L311" t="s">
        <v>74</v>
      </c>
      <c r="M311" t="s">
        <v>78</v>
      </c>
      <c r="N311" t="s">
        <v>79</v>
      </c>
      <c r="O311" t="s">
        <v>74</v>
      </c>
      <c r="P311" t="s">
        <v>74</v>
      </c>
      <c r="Q311" t="s">
        <v>74</v>
      </c>
      <c r="R311" t="s">
        <v>74</v>
      </c>
      <c r="S311" t="s">
        <v>74</v>
      </c>
      <c r="T311" t="s">
        <v>74</v>
      </c>
      <c r="U311" t="s">
        <v>5956</v>
      </c>
      <c r="V311" t="s">
        <v>5957</v>
      </c>
      <c r="W311" t="s">
        <v>5958</v>
      </c>
      <c r="X311" t="s">
        <v>5959</v>
      </c>
      <c r="Y311" t="s">
        <v>5960</v>
      </c>
      <c r="Z311" t="s">
        <v>5944</v>
      </c>
      <c r="AA311" t="s">
        <v>5961</v>
      </c>
      <c r="AB311" t="s">
        <v>5962</v>
      </c>
      <c r="AC311" t="s">
        <v>5963</v>
      </c>
      <c r="AD311" t="s">
        <v>5964</v>
      </c>
      <c r="AE311" t="s">
        <v>5965</v>
      </c>
      <c r="AF311" t="s">
        <v>74</v>
      </c>
      <c r="AG311">
        <v>22</v>
      </c>
      <c r="AH311">
        <v>35</v>
      </c>
      <c r="AI311">
        <v>42</v>
      </c>
      <c r="AJ311">
        <v>1</v>
      </c>
      <c r="AK311">
        <v>21</v>
      </c>
      <c r="AL311" t="s">
        <v>3169</v>
      </c>
      <c r="AM311" t="s">
        <v>2335</v>
      </c>
      <c r="AN311" t="s">
        <v>3170</v>
      </c>
      <c r="AO311" t="s">
        <v>5881</v>
      </c>
      <c r="AP311" t="s">
        <v>74</v>
      </c>
      <c r="AQ311" t="s">
        <v>74</v>
      </c>
      <c r="AR311" t="s">
        <v>5883</v>
      </c>
      <c r="AS311" t="s">
        <v>5884</v>
      </c>
      <c r="AT311" t="s">
        <v>74</v>
      </c>
      <c r="AU311">
        <v>2011</v>
      </c>
      <c r="AV311">
        <v>52</v>
      </c>
      <c r="AW311">
        <v>58</v>
      </c>
      <c r="AX311" t="s">
        <v>74</v>
      </c>
      <c r="AY311" t="s">
        <v>74</v>
      </c>
      <c r="AZ311" t="s">
        <v>74</v>
      </c>
      <c r="BA311" t="s">
        <v>74</v>
      </c>
      <c r="BB311">
        <v>51</v>
      </c>
      <c r="BC311">
        <v>56</v>
      </c>
      <c r="BD311" t="s">
        <v>74</v>
      </c>
      <c r="BE311" t="s">
        <v>5966</v>
      </c>
      <c r="BF311" t="str">
        <f>HYPERLINK("http://dx.doi.org/10.3189/172756411797252103","http://dx.doi.org/10.3189/172756411797252103")</f>
        <v>http://dx.doi.org/10.3189/172756411797252103</v>
      </c>
      <c r="BG311" t="s">
        <v>74</v>
      </c>
      <c r="BH311" t="s">
        <v>74</v>
      </c>
      <c r="BI311">
        <v>6</v>
      </c>
      <c r="BJ311" t="s">
        <v>222</v>
      </c>
      <c r="BK311" t="s">
        <v>100</v>
      </c>
      <c r="BL311" t="s">
        <v>223</v>
      </c>
      <c r="BM311" t="s">
        <v>5903</v>
      </c>
      <c r="BN311" t="s">
        <v>74</v>
      </c>
      <c r="BO311" t="s">
        <v>252</v>
      </c>
      <c r="BP311" t="s">
        <v>74</v>
      </c>
      <c r="BQ311" t="s">
        <v>74</v>
      </c>
      <c r="BR311" t="s">
        <v>103</v>
      </c>
      <c r="BS311" t="s">
        <v>5967</v>
      </c>
      <c r="BT311" t="str">
        <f>HYPERLINK("https%3A%2F%2Fwww.webofscience.com%2Fwos%2Fwoscc%2Ffull-record%2FWOS:000293680600008","View Full Record in Web of Science")</f>
        <v>View Full Record in Web of Science</v>
      </c>
    </row>
    <row r="312" spans="1:72" x14ac:dyDescent="0.15">
      <c r="A312" t="s">
        <v>72</v>
      </c>
      <c r="B312" t="s">
        <v>5968</v>
      </c>
      <c r="C312" t="s">
        <v>74</v>
      </c>
      <c r="D312" t="s">
        <v>74</v>
      </c>
      <c r="E312" t="s">
        <v>74</v>
      </c>
      <c r="F312" t="s">
        <v>5969</v>
      </c>
      <c r="G312" t="s">
        <v>74</v>
      </c>
      <c r="H312" t="s">
        <v>74</v>
      </c>
      <c r="I312" t="s">
        <v>5970</v>
      </c>
      <c r="J312" t="s">
        <v>5871</v>
      </c>
      <c r="K312" t="s">
        <v>74</v>
      </c>
      <c r="L312" t="s">
        <v>74</v>
      </c>
      <c r="M312" t="s">
        <v>78</v>
      </c>
      <c r="N312" t="s">
        <v>79</v>
      </c>
      <c r="O312" t="s">
        <v>74</v>
      </c>
      <c r="P312" t="s">
        <v>74</v>
      </c>
      <c r="Q312" t="s">
        <v>74</v>
      </c>
      <c r="R312" t="s">
        <v>74</v>
      </c>
      <c r="S312" t="s">
        <v>74</v>
      </c>
      <c r="T312" t="s">
        <v>74</v>
      </c>
      <c r="U312" t="s">
        <v>5971</v>
      </c>
      <c r="V312" t="s">
        <v>5972</v>
      </c>
      <c r="W312" t="s">
        <v>5973</v>
      </c>
      <c r="X312" t="s">
        <v>5974</v>
      </c>
      <c r="Y312" t="s">
        <v>5975</v>
      </c>
      <c r="Z312" t="s">
        <v>5976</v>
      </c>
      <c r="AA312" t="s">
        <v>5977</v>
      </c>
      <c r="AB312" t="s">
        <v>5978</v>
      </c>
      <c r="AC312" t="s">
        <v>5979</v>
      </c>
      <c r="AD312" t="s">
        <v>5980</v>
      </c>
      <c r="AE312" t="s">
        <v>5981</v>
      </c>
      <c r="AF312" t="s">
        <v>74</v>
      </c>
      <c r="AG312">
        <v>48</v>
      </c>
      <c r="AH312">
        <v>53</v>
      </c>
      <c r="AI312">
        <v>61</v>
      </c>
      <c r="AJ312">
        <v>0</v>
      </c>
      <c r="AK312">
        <v>26</v>
      </c>
      <c r="AL312" t="s">
        <v>3169</v>
      </c>
      <c r="AM312" t="s">
        <v>2335</v>
      </c>
      <c r="AN312" t="s">
        <v>3170</v>
      </c>
      <c r="AO312" t="s">
        <v>5881</v>
      </c>
      <c r="AP312" t="s">
        <v>5882</v>
      </c>
      <c r="AQ312" t="s">
        <v>74</v>
      </c>
      <c r="AR312" t="s">
        <v>5883</v>
      </c>
      <c r="AS312" t="s">
        <v>5884</v>
      </c>
      <c r="AT312" t="s">
        <v>74</v>
      </c>
      <c r="AU312">
        <v>2011</v>
      </c>
      <c r="AV312">
        <v>52</v>
      </c>
      <c r="AW312">
        <v>59</v>
      </c>
      <c r="AX312" t="s">
        <v>74</v>
      </c>
      <c r="AY312" t="s">
        <v>74</v>
      </c>
      <c r="AZ312" t="s">
        <v>74</v>
      </c>
      <c r="BA312" t="s">
        <v>74</v>
      </c>
      <c r="BB312">
        <v>74</v>
      </c>
      <c r="BC312">
        <v>82</v>
      </c>
      <c r="BD312" t="s">
        <v>74</v>
      </c>
      <c r="BE312" t="s">
        <v>5982</v>
      </c>
      <c r="BF312" t="str">
        <f>HYPERLINK("http://dx.doi.org/10.3189/172756411799096204","http://dx.doi.org/10.3189/172756411799096204")</f>
        <v>http://dx.doi.org/10.3189/172756411799096204</v>
      </c>
      <c r="BG312" t="s">
        <v>74</v>
      </c>
      <c r="BH312" t="s">
        <v>74</v>
      </c>
      <c r="BI312">
        <v>9</v>
      </c>
      <c r="BJ312" t="s">
        <v>222</v>
      </c>
      <c r="BK312" t="s">
        <v>100</v>
      </c>
      <c r="BL312" t="s">
        <v>223</v>
      </c>
      <c r="BM312" t="s">
        <v>5951</v>
      </c>
      <c r="BN312" t="s">
        <v>74</v>
      </c>
      <c r="BO312" t="s">
        <v>375</v>
      </c>
      <c r="BP312" t="s">
        <v>74</v>
      </c>
      <c r="BQ312" t="s">
        <v>74</v>
      </c>
      <c r="BR312" t="s">
        <v>103</v>
      </c>
      <c r="BS312" t="s">
        <v>5983</v>
      </c>
      <c r="BT312" t="str">
        <f>HYPERLINK("https%3A%2F%2Fwww.webofscience.com%2Fwos%2Fwoscc%2Ffull-record%2FWOS:000299245400011","View Full Record in Web of Science")</f>
        <v>View Full Record in Web of Science</v>
      </c>
    </row>
    <row r="313" spans="1:72" x14ac:dyDescent="0.15">
      <c r="A313" t="s">
        <v>72</v>
      </c>
      <c r="B313" t="s">
        <v>5984</v>
      </c>
      <c r="C313" t="s">
        <v>74</v>
      </c>
      <c r="D313" t="s">
        <v>74</v>
      </c>
      <c r="E313" t="s">
        <v>74</v>
      </c>
      <c r="F313" t="s">
        <v>5985</v>
      </c>
      <c r="G313" t="s">
        <v>74</v>
      </c>
      <c r="H313" t="s">
        <v>74</v>
      </c>
      <c r="I313" t="s">
        <v>5986</v>
      </c>
      <c r="J313" t="s">
        <v>5871</v>
      </c>
      <c r="K313" t="s">
        <v>74</v>
      </c>
      <c r="L313" t="s">
        <v>74</v>
      </c>
      <c r="M313" t="s">
        <v>78</v>
      </c>
      <c r="N313" t="s">
        <v>79</v>
      </c>
      <c r="O313" t="s">
        <v>74</v>
      </c>
      <c r="P313" t="s">
        <v>74</v>
      </c>
      <c r="Q313" t="s">
        <v>74</v>
      </c>
      <c r="R313" t="s">
        <v>74</v>
      </c>
      <c r="S313" t="s">
        <v>74</v>
      </c>
      <c r="T313" t="s">
        <v>74</v>
      </c>
      <c r="U313" t="s">
        <v>5987</v>
      </c>
      <c r="V313" t="s">
        <v>5988</v>
      </c>
      <c r="W313" t="s">
        <v>5989</v>
      </c>
      <c r="X313" t="s">
        <v>5990</v>
      </c>
      <c r="Y313" t="s">
        <v>5991</v>
      </c>
      <c r="Z313" t="s">
        <v>5992</v>
      </c>
      <c r="AA313" t="s">
        <v>74</v>
      </c>
      <c r="AB313" t="s">
        <v>5993</v>
      </c>
      <c r="AC313" t="s">
        <v>5994</v>
      </c>
      <c r="AD313" t="s">
        <v>5995</v>
      </c>
      <c r="AE313" t="s">
        <v>5996</v>
      </c>
      <c r="AF313" t="s">
        <v>74</v>
      </c>
      <c r="AG313">
        <v>25</v>
      </c>
      <c r="AH313">
        <v>17</v>
      </c>
      <c r="AI313">
        <v>17</v>
      </c>
      <c r="AJ313">
        <v>0</v>
      </c>
      <c r="AK313">
        <v>7</v>
      </c>
      <c r="AL313" t="s">
        <v>90</v>
      </c>
      <c r="AM313" t="s">
        <v>2335</v>
      </c>
      <c r="AN313" t="s">
        <v>3413</v>
      </c>
      <c r="AO313" t="s">
        <v>5881</v>
      </c>
      <c r="AP313" t="s">
        <v>5882</v>
      </c>
      <c r="AQ313" t="s">
        <v>74</v>
      </c>
      <c r="AR313" t="s">
        <v>5883</v>
      </c>
      <c r="AS313" t="s">
        <v>5884</v>
      </c>
      <c r="AT313" t="s">
        <v>74</v>
      </c>
      <c r="AU313">
        <v>2011</v>
      </c>
      <c r="AV313">
        <v>52</v>
      </c>
      <c r="AW313">
        <v>57</v>
      </c>
      <c r="AX313">
        <v>1</v>
      </c>
      <c r="AY313" t="s">
        <v>74</v>
      </c>
      <c r="AZ313" t="s">
        <v>74</v>
      </c>
      <c r="BA313" t="s">
        <v>74</v>
      </c>
      <c r="BB313">
        <v>77</v>
      </c>
      <c r="BC313">
        <v>82</v>
      </c>
      <c r="BD313" t="s">
        <v>74</v>
      </c>
      <c r="BE313" t="s">
        <v>5997</v>
      </c>
      <c r="BF313" t="str">
        <f>HYPERLINK("http://dx.doi.org/10.3189/172756411795931840","http://dx.doi.org/10.3189/172756411795931840")</f>
        <v>http://dx.doi.org/10.3189/172756411795931840</v>
      </c>
      <c r="BG313" t="s">
        <v>74</v>
      </c>
      <c r="BH313" t="s">
        <v>74</v>
      </c>
      <c r="BI313">
        <v>6</v>
      </c>
      <c r="BJ313" t="s">
        <v>222</v>
      </c>
      <c r="BK313" t="s">
        <v>100</v>
      </c>
      <c r="BL313" t="s">
        <v>223</v>
      </c>
      <c r="BM313" t="s">
        <v>5886</v>
      </c>
      <c r="BN313" t="s">
        <v>74</v>
      </c>
      <c r="BO313" t="s">
        <v>252</v>
      </c>
      <c r="BP313" t="s">
        <v>74</v>
      </c>
      <c r="BQ313" t="s">
        <v>74</v>
      </c>
      <c r="BR313" t="s">
        <v>103</v>
      </c>
      <c r="BS313" t="s">
        <v>5998</v>
      </c>
      <c r="BT313" t="str">
        <f>HYPERLINK("https%3A%2F%2Fwww.webofscience.com%2Fwos%2Fwoscc%2Ffull-record%2FWOS:000289655600010","View Full Record in Web of Science")</f>
        <v>View Full Record in Web of Science</v>
      </c>
    </row>
    <row r="314" spans="1:72" x14ac:dyDescent="0.15">
      <c r="A314" t="s">
        <v>72</v>
      </c>
      <c r="B314" t="s">
        <v>5999</v>
      </c>
      <c r="C314" t="s">
        <v>74</v>
      </c>
      <c r="D314" t="s">
        <v>74</v>
      </c>
      <c r="E314" t="s">
        <v>74</v>
      </c>
      <c r="F314" t="s">
        <v>6000</v>
      </c>
      <c r="G314" t="s">
        <v>74</v>
      </c>
      <c r="H314" t="s">
        <v>74</v>
      </c>
      <c r="I314" t="s">
        <v>6001</v>
      </c>
      <c r="J314" t="s">
        <v>5871</v>
      </c>
      <c r="K314" t="s">
        <v>74</v>
      </c>
      <c r="L314" t="s">
        <v>74</v>
      </c>
      <c r="M314" t="s">
        <v>78</v>
      </c>
      <c r="N314" t="s">
        <v>79</v>
      </c>
      <c r="O314" t="s">
        <v>74</v>
      </c>
      <c r="P314" t="s">
        <v>74</v>
      </c>
      <c r="Q314" t="s">
        <v>74</v>
      </c>
      <c r="R314" t="s">
        <v>74</v>
      </c>
      <c r="S314" t="s">
        <v>74</v>
      </c>
      <c r="T314" t="s">
        <v>74</v>
      </c>
      <c r="U314" t="s">
        <v>6002</v>
      </c>
      <c r="V314" t="s">
        <v>6003</v>
      </c>
      <c r="W314" t="s">
        <v>6004</v>
      </c>
      <c r="X314" t="s">
        <v>6005</v>
      </c>
      <c r="Y314" t="s">
        <v>6006</v>
      </c>
      <c r="Z314" t="s">
        <v>6007</v>
      </c>
      <c r="AA314" t="s">
        <v>74</v>
      </c>
      <c r="AB314" t="s">
        <v>6008</v>
      </c>
      <c r="AC314" t="s">
        <v>6009</v>
      </c>
      <c r="AD314" t="s">
        <v>1215</v>
      </c>
      <c r="AE314" t="s">
        <v>74</v>
      </c>
      <c r="AF314" t="s">
        <v>74</v>
      </c>
      <c r="AG314">
        <v>25</v>
      </c>
      <c r="AH314">
        <v>14</v>
      </c>
      <c r="AI314">
        <v>17</v>
      </c>
      <c r="AJ314">
        <v>0</v>
      </c>
      <c r="AK314">
        <v>9</v>
      </c>
      <c r="AL314" t="s">
        <v>90</v>
      </c>
      <c r="AM314" t="s">
        <v>2335</v>
      </c>
      <c r="AN314" t="s">
        <v>3413</v>
      </c>
      <c r="AO314" t="s">
        <v>5881</v>
      </c>
      <c r="AP314" t="s">
        <v>5882</v>
      </c>
      <c r="AQ314" t="s">
        <v>74</v>
      </c>
      <c r="AR314" t="s">
        <v>5883</v>
      </c>
      <c r="AS314" t="s">
        <v>5884</v>
      </c>
      <c r="AT314" t="s">
        <v>74</v>
      </c>
      <c r="AU314">
        <v>2011</v>
      </c>
      <c r="AV314">
        <v>52</v>
      </c>
      <c r="AW314">
        <v>57</v>
      </c>
      <c r="AX314">
        <v>1</v>
      </c>
      <c r="AY314" t="s">
        <v>74</v>
      </c>
      <c r="AZ314" t="s">
        <v>74</v>
      </c>
      <c r="BA314" t="s">
        <v>74</v>
      </c>
      <c r="BB314">
        <v>83</v>
      </c>
      <c r="BC314">
        <v>90</v>
      </c>
      <c r="BD314" t="s">
        <v>74</v>
      </c>
      <c r="BE314" t="s">
        <v>6010</v>
      </c>
      <c r="BF314" t="str">
        <f>HYPERLINK("http://dx.doi.org/10.3189/172756411795931831","http://dx.doi.org/10.3189/172756411795931831")</f>
        <v>http://dx.doi.org/10.3189/172756411795931831</v>
      </c>
      <c r="BG314" t="s">
        <v>74</v>
      </c>
      <c r="BH314" t="s">
        <v>74</v>
      </c>
      <c r="BI314">
        <v>8</v>
      </c>
      <c r="BJ314" t="s">
        <v>222</v>
      </c>
      <c r="BK314" t="s">
        <v>100</v>
      </c>
      <c r="BL314" t="s">
        <v>223</v>
      </c>
      <c r="BM314" t="s">
        <v>5886</v>
      </c>
      <c r="BN314" t="s">
        <v>74</v>
      </c>
      <c r="BO314" t="s">
        <v>252</v>
      </c>
      <c r="BP314" t="s">
        <v>74</v>
      </c>
      <c r="BQ314" t="s">
        <v>74</v>
      </c>
      <c r="BR314" t="s">
        <v>103</v>
      </c>
      <c r="BS314" t="s">
        <v>6011</v>
      </c>
      <c r="BT314" t="str">
        <f>HYPERLINK("https%3A%2F%2Fwww.webofscience.com%2Fwos%2Fwoscc%2Ffull-record%2FWOS:000289655600011","View Full Record in Web of Science")</f>
        <v>View Full Record in Web of Science</v>
      </c>
    </row>
    <row r="315" spans="1:72" x14ac:dyDescent="0.15">
      <c r="A315" t="s">
        <v>72</v>
      </c>
      <c r="B315" t="s">
        <v>6012</v>
      </c>
      <c r="C315" t="s">
        <v>74</v>
      </c>
      <c r="D315" t="s">
        <v>74</v>
      </c>
      <c r="E315" t="s">
        <v>74</v>
      </c>
      <c r="F315" t="s">
        <v>6013</v>
      </c>
      <c r="G315" t="s">
        <v>74</v>
      </c>
      <c r="H315" t="s">
        <v>74</v>
      </c>
      <c r="I315" t="s">
        <v>6014</v>
      </c>
      <c r="J315" t="s">
        <v>5871</v>
      </c>
      <c r="K315" t="s">
        <v>74</v>
      </c>
      <c r="L315" t="s">
        <v>74</v>
      </c>
      <c r="M315" t="s">
        <v>78</v>
      </c>
      <c r="N315" t="s">
        <v>79</v>
      </c>
      <c r="O315" t="s">
        <v>74</v>
      </c>
      <c r="P315" t="s">
        <v>74</v>
      </c>
      <c r="Q315" t="s">
        <v>74</v>
      </c>
      <c r="R315" t="s">
        <v>74</v>
      </c>
      <c r="S315" t="s">
        <v>74</v>
      </c>
      <c r="T315" t="s">
        <v>74</v>
      </c>
      <c r="U315" t="s">
        <v>74</v>
      </c>
      <c r="V315" t="s">
        <v>6015</v>
      </c>
      <c r="W315" t="s">
        <v>6016</v>
      </c>
      <c r="X315" t="s">
        <v>6017</v>
      </c>
      <c r="Y315" t="s">
        <v>6018</v>
      </c>
      <c r="Z315" t="s">
        <v>6019</v>
      </c>
      <c r="AA315" t="s">
        <v>6020</v>
      </c>
      <c r="AB315" t="s">
        <v>6021</v>
      </c>
      <c r="AC315" t="s">
        <v>6022</v>
      </c>
      <c r="AD315" t="s">
        <v>6022</v>
      </c>
      <c r="AE315" t="s">
        <v>6023</v>
      </c>
      <c r="AF315" t="s">
        <v>74</v>
      </c>
      <c r="AG315">
        <v>14</v>
      </c>
      <c r="AH315">
        <v>27</v>
      </c>
      <c r="AI315">
        <v>31</v>
      </c>
      <c r="AJ315">
        <v>0</v>
      </c>
      <c r="AK315">
        <v>8</v>
      </c>
      <c r="AL315" t="s">
        <v>90</v>
      </c>
      <c r="AM315" t="s">
        <v>2335</v>
      </c>
      <c r="AN315" t="s">
        <v>3413</v>
      </c>
      <c r="AO315" t="s">
        <v>5881</v>
      </c>
      <c r="AP315" t="s">
        <v>5882</v>
      </c>
      <c r="AQ315" t="s">
        <v>74</v>
      </c>
      <c r="AR315" t="s">
        <v>5883</v>
      </c>
      <c r="AS315" t="s">
        <v>5884</v>
      </c>
      <c r="AT315" t="s">
        <v>74</v>
      </c>
      <c r="AU315">
        <v>2011</v>
      </c>
      <c r="AV315">
        <v>52</v>
      </c>
      <c r="AW315">
        <v>57</v>
      </c>
      <c r="AX315">
        <v>1</v>
      </c>
      <c r="AY315" t="s">
        <v>74</v>
      </c>
      <c r="AZ315" t="s">
        <v>74</v>
      </c>
      <c r="BA315" t="s">
        <v>74</v>
      </c>
      <c r="BB315">
        <v>103</v>
      </c>
      <c r="BC315">
        <v>110</v>
      </c>
      <c r="BD315" t="s">
        <v>74</v>
      </c>
      <c r="BE315" t="s">
        <v>6024</v>
      </c>
      <c r="BF315" t="str">
        <f>HYPERLINK("http://dx.doi.org/10.3189/172756411795931813","http://dx.doi.org/10.3189/172756411795931813")</f>
        <v>http://dx.doi.org/10.3189/172756411795931813</v>
      </c>
      <c r="BG315" t="s">
        <v>74</v>
      </c>
      <c r="BH315" t="s">
        <v>74</v>
      </c>
      <c r="BI315">
        <v>8</v>
      </c>
      <c r="BJ315" t="s">
        <v>222</v>
      </c>
      <c r="BK315" t="s">
        <v>100</v>
      </c>
      <c r="BL315" t="s">
        <v>223</v>
      </c>
      <c r="BM315" t="s">
        <v>5886</v>
      </c>
      <c r="BN315" t="s">
        <v>74</v>
      </c>
      <c r="BO315" t="s">
        <v>3320</v>
      </c>
      <c r="BP315" t="s">
        <v>74</v>
      </c>
      <c r="BQ315" t="s">
        <v>74</v>
      </c>
      <c r="BR315" t="s">
        <v>103</v>
      </c>
      <c r="BS315" t="s">
        <v>6025</v>
      </c>
      <c r="BT315" t="str">
        <f>HYPERLINK("https%3A%2F%2Fwww.webofscience.com%2Fwos%2Fwoscc%2Ffull-record%2FWOS:000289655600014","View Full Record in Web of Science")</f>
        <v>View Full Record in Web of Science</v>
      </c>
    </row>
    <row r="316" spans="1:72" x14ac:dyDescent="0.15">
      <c r="A316" t="s">
        <v>72</v>
      </c>
      <c r="B316" t="s">
        <v>6026</v>
      </c>
      <c r="C316" t="s">
        <v>74</v>
      </c>
      <c r="D316" t="s">
        <v>74</v>
      </c>
      <c r="E316" t="s">
        <v>74</v>
      </c>
      <c r="F316" t="s">
        <v>6027</v>
      </c>
      <c r="G316" t="s">
        <v>74</v>
      </c>
      <c r="H316" t="s">
        <v>74</v>
      </c>
      <c r="I316" t="s">
        <v>6028</v>
      </c>
      <c r="J316" t="s">
        <v>5871</v>
      </c>
      <c r="K316" t="s">
        <v>74</v>
      </c>
      <c r="L316" t="s">
        <v>74</v>
      </c>
      <c r="M316" t="s">
        <v>78</v>
      </c>
      <c r="N316" t="s">
        <v>79</v>
      </c>
      <c r="O316" t="s">
        <v>74</v>
      </c>
      <c r="P316" t="s">
        <v>74</v>
      </c>
      <c r="Q316" t="s">
        <v>74</v>
      </c>
      <c r="R316" t="s">
        <v>74</v>
      </c>
      <c r="S316" t="s">
        <v>74</v>
      </c>
      <c r="T316" t="s">
        <v>74</v>
      </c>
      <c r="U316" t="s">
        <v>6029</v>
      </c>
      <c r="V316" t="s">
        <v>6030</v>
      </c>
      <c r="W316" t="s">
        <v>6031</v>
      </c>
      <c r="X316" t="s">
        <v>6032</v>
      </c>
      <c r="Y316" t="s">
        <v>6033</v>
      </c>
      <c r="Z316" t="s">
        <v>6034</v>
      </c>
      <c r="AA316" t="s">
        <v>6035</v>
      </c>
      <c r="AB316" t="s">
        <v>6036</v>
      </c>
      <c r="AC316" t="s">
        <v>6037</v>
      </c>
      <c r="AD316" t="s">
        <v>6038</v>
      </c>
      <c r="AE316" t="s">
        <v>6039</v>
      </c>
      <c r="AF316" t="s">
        <v>74</v>
      </c>
      <c r="AG316">
        <v>28</v>
      </c>
      <c r="AH316">
        <v>4</v>
      </c>
      <c r="AI316">
        <v>7</v>
      </c>
      <c r="AJ316">
        <v>0</v>
      </c>
      <c r="AK316">
        <v>4</v>
      </c>
      <c r="AL316" t="s">
        <v>3169</v>
      </c>
      <c r="AM316" t="s">
        <v>2335</v>
      </c>
      <c r="AN316" t="s">
        <v>3170</v>
      </c>
      <c r="AO316" t="s">
        <v>5881</v>
      </c>
      <c r="AP316" t="s">
        <v>74</v>
      </c>
      <c r="AQ316" t="s">
        <v>74</v>
      </c>
      <c r="AR316" t="s">
        <v>5883</v>
      </c>
      <c r="AS316" t="s">
        <v>5884</v>
      </c>
      <c r="AT316" t="s">
        <v>74</v>
      </c>
      <c r="AU316">
        <v>2011</v>
      </c>
      <c r="AV316">
        <v>52</v>
      </c>
      <c r="AW316">
        <v>59</v>
      </c>
      <c r="AX316" t="s">
        <v>74</v>
      </c>
      <c r="AY316" t="s">
        <v>74</v>
      </c>
      <c r="AZ316" t="s">
        <v>74</v>
      </c>
      <c r="BA316" t="s">
        <v>74</v>
      </c>
      <c r="BB316">
        <v>109</v>
      </c>
      <c r="BC316">
        <v>115</v>
      </c>
      <c r="BD316" t="s">
        <v>74</v>
      </c>
      <c r="BE316" t="s">
        <v>6040</v>
      </c>
      <c r="BF316" t="str">
        <f>HYPERLINK("http://dx.doi.org/10.3189/172756411799096213","http://dx.doi.org/10.3189/172756411799096213")</f>
        <v>http://dx.doi.org/10.3189/172756411799096213</v>
      </c>
      <c r="BG316" t="s">
        <v>74</v>
      </c>
      <c r="BH316" t="s">
        <v>74</v>
      </c>
      <c r="BI316">
        <v>7</v>
      </c>
      <c r="BJ316" t="s">
        <v>222</v>
      </c>
      <c r="BK316" t="s">
        <v>100</v>
      </c>
      <c r="BL316" t="s">
        <v>223</v>
      </c>
      <c r="BM316" t="s">
        <v>5951</v>
      </c>
      <c r="BN316" t="s">
        <v>74</v>
      </c>
      <c r="BO316" t="s">
        <v>252</v>
      </c>
      <c r="BP316" t="s">
        <v>74</v>
      </c>
      <c r="BQ316" t="s">
        <v>74</v>
      </c>
      <c r="BR316" t="s">
        <v>103</v>
      </c>
      <c r="BS316" t="s">
        <v>6041</v>
      </c>
      <c r="BT316" t="str">
        <f>HYPERLINK("https%3A%2F%2Fwww.webofscience.com%2Fwos%2Fwoscc%2Ffull-record%2FWOS:000299245400015","View Full Record in Web of Science")</f>
        <v>View Full Record in Web of Science</v>
      </c>
    </row>
    <row r="317" spans="1:72" x14ac:dyDescent="0.15">
      <c r="A317" t="s">
        <v>72</v>
      </c>
      <c r="B317" t="s">
        <v>6042</v>
      </c>
      <c r="C317" t="s">
        <v>74</v>
      </c>
      <c r="D317" t="s">
        <v>74</v>
      </c>
      <c r="E317" t="s">
        <v>74</v>
      </c>
      <c r="F317" t="s">
        <v>6043</v>
      </c>
      <c r="G317" t="s">
        <v>74</v>
      </c>
      <c r="H317" t="s">
        <v>74</v>
      </c>
      <c r="I317" t="s">
        <v>6044</v>
      </c>
      <c r="J317" t="s">
        <v>5871</v>
      </c>
      <c r="K317" t="s">
        <v>74</v>
      </c>
      <c r="L317" t="s">
        <v>74</v>
      </c>
      <c r="M317" t="s">
        <v>78</v>
      </c>
      <c r="N317" t="s">
        <v>79</v>
      </c>
      <c r="O317" t="s">
        <v>74</v>
      </c>
      <c r="P317" t="s">
        <v>74</v>
      </c>
      <c r="Q317" t="s">
        <v>74</v>
      </c>
      <c r="R317" t="s">
        <v>74</v>
      </c>
      <c r="S317" t="s">
        <v>74</v>
      </c>
      <c r="T317" t="s">
        <v>74</v>
      </c>
      <c r="U317" t="s">
        <v>6045</v>
      </c>
      <c r="V317" t="s">
        <v>6046</v>
      </c>
      <c r="W317" t="s">
        <v>6047</v>
      </c>
      <c r="X317" t="s">
        <v>6048</v>
      </c>
      <c r="Y317" t="s">
        <v>6049</v>
      </c>
      <c r="Z317" t="s">
        <v>6050</v>
      </c>
      <c r="AA317" t="s">
        <v>74</v>
      </c>
      <c r="AB317" t="s">
        <v>6051</v>
      </c>
      <c r="AC317" t="s">
        <v>6052</v>
      </c>
      <c r="AD317" t="s">
        <v>6053</v>
      </c>
      <c r="AE317" t="s">
        <v>6054</v>
      </c>
      <c r="AF317" t="s">
        <v>74</v>
      </c>
      <c r="AG317">
        <v>63</v>
      </c>
      <c r="AH317">
        <v>28</v>
      </c>
      <c r="AI317">
        <v>28</v>
      </c>
      <c r="AJ317">
        <v>0</v>
      </c>
      <c r="AK317">
        <v>20</v>
      </c>
      <c r="AL317" t="s">
        <v>90</v>
      </c>
      <c r="AM317" t="s">
        <v>2335</v>
      </c>
      <c r="AN317" t="s">
        <v>3413</v>
      </c>
      <c r="AO317" t="s">
        <v>5881</v>
      </c>
      <c r="AP317" t="s">
        <v>5882</v>
      </c>
      <c r="AQ317" t="s">
        <v>74</v>
      </c>
      <c r="AR317" t="s">
        <v>5883</v>
      </c>
      <c r="AS317" t="s">
        <v>5884</v>
      </c>
      <c r="AT317" t="s">
        <v>74</v>
      </c>
      <c r="AU317">
        <v>2011</v>
      </c>
      <c r="AV317">
        <v>52</v>
      </c>
      <c r="AW317">
        <v>59</v>
      </c>
      <c r="AX317" t="s">
        <v>74</v>
      </c>
      <c r="AY317" t="s">
        <v>74</v>
      </c>
      <c r="AZ317" t="s">
        <v>74</v>
      </c>
      <c r="BA317" t="s">
        <v>74</v>
      </c>
      <c r="BB317">
        <v>116</v>
      </c>
      <c r="BC317">
        <v>126</v>
      </c>
      <c r="BD317" t="s">
        <v>74</v>
      </c>
      <c r="BE317" t="s">
        <v>6055</v>
      </c>
      <c r="BF317" t="str">
        <f>HYPERLINK("http://dx.doi.org/10.3189/172756411799096187","http://dx.doi.org/10.3189/172756411799096187")</f>
        <v>http://dx.doi.org/10.3189/172756411799096187</v>
      </c>
      <c r="BG317" t="s">
        <v>74</v>
      </c>
      <c r="BH317" t="s">
        <v>74</v>
      </c>
      <c r="BI317">
        <v>11</v>
      </c>
      <c r="BJ317" t="s">
        <v>222</v>
      </c>
      <c r="BK317" t="s">
        <v>100</v>
      </c>
      <c r="BL317" t="s">
        <v>223</v>
      </c>
      <c r="BM317" t="s">
        <v>5951</v>
      </c>
      <c r="BN317" t="s">
        <v>74</v>
      </c>
      <c r="BO317" t="s">
        <v>3320</v>
      </c>
      <c r="BP317" t="s">
        <v>74</v>
      </c>
      <c r="BQ317" t="s">
        <v>74</v>
      </c>
      <c r="BR317" t="s">
        <v>103</v>
      </c>
      <c r="BS317" t="s">
        <v>6056</v>
      </c>
      <c r="BT317" t="str">
        <f>HYPERLINK("https%3A%2F%2Fwww.webofscience.com%2Fwos%2Fwoscc%2Ffull-record%2FWOS:000299245400016","View Full Record in Web of Science")</f>
        <v>View Full Record in Web of Science</v>
      </c>
    </row>
    <row r="318" spans="1:72" x14ac:dyDescent="0.15">
      <c r="A318" t="s">
        <v>72</v>
      </c>
      <c r="B318" t="s">
        <v>6057</v>
      </c>
      <c r="C318" t="s">
        <v>74</v>
      </c>
      <c r="D318" t="s">
        <v>74</v>
      </c>
      <c r="E318" t="s">
        <v>74</v>
      </c>
      <c r="F318" t="s">
        <v>6058</v>
      </c>
      <c r="G318" t="s">
        <v>74</v>
      </c>
      <c r="H318" t="s">
        <v>74</v>
      </c>
      <c r="I318" t="s">
        <v>6059</v>
      </c>
      <c r="J318" t="s">
        <v>5871</v>
      </c>
      <c r="K318" t="s">
        <v>74</v>
      </c>
      <c r="L318" t="s">
        <v>74</v>
      </c>
      <c r="M318" t="s">
        <v>78</v>
      </c>
      <c r="N318" t="s">
        <v>79</v>
      </c>
      <c r="O318" t="s">
        <v>74</v>
      </c>
      <c r="P318" t="s">
        <v>74</v>
      </c>
      <c r="Q318" t="s">
        <v>74</v>
      </c>
      <c r="R318" t="s">
        <v>74</v>
      </c>
      <c r="S318" t="s">
        <v>74</v>
      </c>
      <c r="T318" t="s">
        <v>74</v>
      </c>
      <c r="U318" t="s">
        <v>6060</v>
      </c>
      <c r="V318" t="s">
        <v>6061</v>
      </c>
      <c r="W318" t="s">
        <v>6062</v>
      </c>
      <c r="X318" t="s">
        <v>1036</v>
      </c>
      <c r="Y318" t="s">
        <v>6063</v>
      </c>
      <c r="Z318" t="s">
        <v>6064</v>
      </c>
      <c r="AA318" t="s">
        <v>74</v>
      </c>
      <c r="AB318" t="s">
        <v>74</v>
      </c>
      <c r="AC318" t="s">
        <v>6065</v>
      </c>
      <c r="AD318" t="s">
        <v>6066</v>
      </c>
      <c r="AE318" t="s">
        <v>6067</v>
      </c>
      <c r="AF318" t="s">
        <v>74</v>
      </c>
      <c r="AG318">
        <v>44</v>
      </c>
      <c r="AH318">
        <v>7</v>
      </c>
      <c r="AI318">
        <v>8</v>
      </c>
      <c r="AJ318">
        <v>0</v>
      </c>
      <c r="AK318">
        <v>11</v>
      </c>
      <c r="AL318" t="s">
        <v>3169</v>
      </c>
      <c r="AM318" t="s">
        <v>2335</v>
      </c>
      <c r="AN318" t="s">
        <v>3170</v>
      </c>
      <c r="AO318" t="s">
        <v>5881</v>
      </c>
      <c r="AP318" t="s">
        <v>5882</v>
      </c>
      <c r="AQ318" t="s">
        <v>74</v>
      </c>
      <c r="AR318" t="s">
        <v>5883</v>
      </c>
      <c r="AS318" t="s">
        <v>5884</v>
      </c>
      <c r="AT318" t="s">
        <v>74</v>
      </c>
      <c r="AU318">
        <v>2011</v>
      </c>
      <c r="AV318">
        <v>52</v>
      </c>
      <c r="AW318">
        <v>57</v>
      </c>
      <c r="AX318">
        <v>1</v>
      </c>
      <c r="AY318" t="s">
        <v>74</v>
      </c>
      <c r="AZ318" t="s">
        <v>74</v>
      </c>
      <c r="BA318" t="s">
        <v>74</v>
      </c>
      <c r="BB318">
        <v>140</v>
      </c>
      <c r="BC318">
        <v>150</v>
      </c>
      <c r="BD318" t="s">
        <v>74</v>
      </c>
      <c r="BE318" t="s">
        <v>6068</v>
      </c>
      <c r="BF318" t="str">
        <f>HYPERLINK("http://dx.doi.org/10.3189/172756411795931741","http://dx.doi.org/10.3189/172756411795931741")</f>
        <v>http://dx.doi.org/10.3189/172756411795931741</v>
      </c>
      <c r="BG318" t="s">
        <v>74</v>
      </c>
      <c r="BH318" t="s">
        <v>74</v>
      </c>
      <c r="BI318">
        <v>11</v>
      </c>
      <c r="BJ318" t="s">
        <v>222</v>
      </c>
      <c r="BK318" t="s">
        <v>100</v>
      </c>
      <c r="BL318" t="s">
        <v>223</v>
      </c>
      <c r="BM318" t="s">
        <v>5886</v>
      </c>
      <c r="BN318" t="s">
        <v>74</v>
      </c>
      <c r="BO318" t="s">
        <v>1744</v>
      </c>
      <c r="BP318" t="s">
        <v>74</v>
      </c>
      <c r="BQ318" t="s">
        <v>74</v>
      </c>
      <c r="BR318" t="s">
        <v>103</v>
      </c>
      <c r="BS318" t="s">
        <v>6069</v>
      </c>
      <c r="BT318" t="str">
        <f>HYPERLINK("https%3A%2F%2Fwww.webofscience.com%2Fwos%2Fwoscc%2Ffull-record%2FWOS:000289655600019","View Full Record in Web of Science")</f>
        <v>View Full Record in Web of Science</v>
      </c>
    </row>
    <row r="319" spans="1:72" x14ac:dyDescent="0.15">
      <c r="A319" t="s">
        <v>72</v>
      </c>
      <c r="B319" t="s">
        <v>6070</v>
      </c>
      <c r="C319" t="s">
        <v>74</v>
      </c>
      <c r="D319" t="s">
        <v>74</v>
      </c>
      <c r="E319" t="s">
        <v>74</v>
      </c>
      <c r="F319" t="s">
        <v>6071</v>
      </c>
      <c r="G319" t="s">
        <v>74</v>
      </c>
      <c r="H319" t="s">
        <v>74</v>
      </c>
      <c r="I319" t="s">
        <v>6072</v>
      </c>
      <c r="J319" t="s">
        <v>5871</v>
      </c>
      <c r="K319" t="s">
        <v>74</v>
      </c>
      <c r="L319" t="s">
        <v>74</v>
      </c>
      <c r="M319" t="s">
        <v>78</v>
      </c>
      <c r="N319" t="s">
        <v>79</v>
      </c>
      <c r="O319" t="s">
        <v>74</v>
      </c>
      <c r="P319" t="s">
        <v>74</v>
      </c>
      <c r="Q319" t="s">
        <v>74</v>
      </c>
      <c r="R319" t="s">
        <v>74</v>
      </c>
      <c r="S319" t="s">
        <v>74</v>
      </c>
      <c r="T319" t="s">
        <v>74</v>
      </c>
      <c r="U319" t="s">
        <v>6073</v>
      </c>
      <c r="V319" t="s">
        <v>6074</v>
      </c>
      <c r="W319" t="s">
        <v>6075</v>
      </c>
      <c r="X319" t="s">
        <v>6076</v>
      </c>
      <c r="Y319" t="s">
        <v>6077</v>
      </c>
      <c r="Z319" t="s">
        <v>6078</v>
      </c>
      <c r="AA319" t="s">
        <v>6079</v>
      </c>
      <c r="AB319" t="s">
        <v>6080</v>
      </c>
      <c r="AC319" t="s">
        <v>6081</v>
      </c>
      <c r="AD319" t="s">
        <v>6082</v>
      </c>
      <c r="AE319" t="s">
        <v>6083</v>
      </c>
      <c r="AF319" t="s">
        <v>74</v>
      </c>
      <c r="AG319">
        <v>39</v>
      </c>
      <c r="AH319">
        <v>1</v>
      </c>
      <c r="AI319">
        <v>1</v>
      </c>
      <c r="AJ319">
        <v>1</v>
      </c>
      <c r="AK319">
        <v>10</v>
      </c>
      <c r="AL319" t="s">
        <v>90</v>
      </c>
      <c r="AM319" t="s">
        <v>2335</v>
      </c>
      <c r="AN319" t="s">
        <v>3413</v>
      </c>
      <c r="AO319" t="s">
        <v>5881</v>
      </c>
      <c r="AP319" t="s">
        <v>5882</v>
      </c>
      <c r="AQ319" t="s">
        <v>74</v>
      </c>
      <c r="AR319" t="s">
        <v>5883</v>
      </c>
      <c r="AS319" t="s">
        <v>5884</v>
      </c>
      <c r="AT319" t="s">
        <v>74</v>
      </c>
      <c r="AU319">
        <v>2011</v>
      </c>
      <c r="AV319">
        <v>52</v>
      </c>
      <c r="AW319">
        <v>57</v>
      </c>
      <c r="AX319">
        <v>1</v>
      </c>
      <c r="AY319" t="s">
        <v>74</v>
      </c>
      <c r="AZ319" t="s">
        <v>74</v>
      </c>
      <c r="BA319" t="s">
        <v>74</v>
      </c>
      <c r="BB319">
        <v>161</v>
      </c>
      <c r="BC319">
        <v>168</v>
      </c>
      <c r="BD319" t="s">
        <v>74</v>
      </c>
      <c r="BE319" t="s">
        <v>6084</v>
      </c>
      <c r="BF319" t="str">
        <f>HYPERLINK("http://dx.doi.org/10.3189/172756411795931723","http://dx.doi.org/10.3189/172756411795931723")</f>
        <v>http://dx.doi.org/10.3189/172756411795931723</v>
      </c>
      <c r="BG319" t="s">
        <v>74</v>
      </c>
      <c r="BH319" t="s">
        <v>74</v>
      </c>
      <c r="BI319">
        <v>8</v>
      </c>
      <c r="BJ319" t="s">
        <v>222</v>
      </c>
      <c r="BK319" t="s">
        <v>100</v>
      </c>
      <c r="BL319" t="s">
        <v>223</v>
      </c>
      <c r="BM319" t="s">
        <v>5886</v>
      </c>
      <c r="BN319" t="s">
        <v>74</v>
      </c>
      <c r="BO319" t="s">
        <v>252</v>
      </c>
      <c r="BP319" t="s">
        <v>74</v>
      </c>
      <c r="BQ319" t="s">
        <v>74</v>
      </c>
      <c r="BR319" t="s">
        <v>103</v>
      </c>
      <c r="BS319" t="s">
        <v>6085</v>
      </c>
      <c r="BT319" t="str">
        <f>HYPERLINK("https%3A%2F%2Fwww.webofscience.com%2Fwos%2Fwoscc%2Ffull-record%2FWOS:000289655600021","View Full Record in Web of Science")</f>
        <v>View Full Record in Web of Science</v>
      </c>
    </row>
    <row r="320" spans="1:72" x14ac:dyDescent="0.15">
      <c r="A320" t="s">
        <v>72</v>
      </c>
      <c r="B320" t="s">
        <v>6086</v>
      </c>
      <c r="C320" t="s">
        <v>74</v>
      </c>
      <c r="D320" t="s">
        <v>74</v>
      </c>
      <c r="E320" t="s">
        <v>74</v>
      </c>
      <c r="F320" t="s">
        <v>6087</v>
      </c>
      <c r="G320" t="s">
        <v>74</v>
      </c>
      <c r="H320" t="s">
        <v>74</v>
      </c>
      <c r="I320" t="s">
        <v>6088</v>
      </c>
      <c r="J320" t="s">
        <v>5871</v>
      </c>
      <c r="K320" t="s">
        <v>74</v>
      </c>
      <c r="L320" t="s">
        <v>74</v>
      </c>
      <c r="M320" t="s">
        <v>78</v>
      </c>
      <c r="N320" t="s">
        <v>79</v>
      </c>
      <c r="O320" t="s">
        <v>74</v>
      </c>
      <c r="P320" t="s">
        <v>74</v>
      </c>
      <c r="Q320" t="s">
        <v>74</v>
      </c>
      <c r="R320" t="s">
        <v>74</v>
      </c>
      <c r="S320" t="s">
        <v>74</v>
      </c>
      <c r="T320" t="s">
        <v>74</v>
      </c>
      <c r="U320" t="s">
        <v>6089</v>
      </c>
      <c r="V320" t="s">
        <v>6090</v>
      </c>
      <c r="W320" t="s">
        <v>6091</v>
      </c>
      <c r="X320" t="s">
        <v>6092</v>
      </c>
      <c r="Y320" t="s">
        <v>6093</v>
      </c>
      <c r="Z320" t="s">
        <v>6094</v>
      </c>
      <c r="AA320" t="s">
        <v>74</v>
      </c>
      <c r="AB320" t="s">
        <v>74</v>
      </c>
      <c r="AC320" t="s">
        <v>6095</v>
      </c>
      <c r="AD320" t="s">
        <v>6096</v>
      </c>
      <c r="AE320" t="s">
        <v>6097</v>
      </c>
      <c r="AF320" t="s">
        <v>74</v>
      </c>
      <c r="AG320">
        <v>24</v>
      </c>
      <c r="AH320">
        <v>9</v>
      </c>
      <c r="AI320">
        <v>12</v>
      </c>
      <c r="AJ320">
        <v>0</v>
      </c>
      <c r="AK320">
        <v>12</v>
      </c>
      <c r="AL320" t="s">
        <v>3169</v>
      </c>
      <c r="AM320" t="s">
        <v>2335</v>
      </c>
      <c r="AN320" t="s">
        <v>3170</v>
      </c>
      <c r="AO320" t="s">
        <v>5881</v>
      </c>
      <c r="AP320" t="s">
        <v>74</v>
      </c>
      <c r="AQ320" t="s">
        <v>74</v>
      </c>
      <c r="AR320" t="s">
        <v>5883</v>
      </c>
      <c r="AS320" t="s">
        <v>5884</v>
      </c>
      <c r="AT320" t="s">
        <v>74</v>
      </c>
      <c r="AU320">
        <v>2011</v>
      </c>
      <c r="AV320">
        <v>52</v>
      </c>
      <c r="AW320">
        <v>57</v>
      </c>
      <c r="AX320">
        <v>2</v>
      </c>
      <c r="AY320" t="s">
        <v>74</v>
      </c>
      <c r="AZ320" t="s">
        <v>74</v>
      </c>
      <c r="BA320" t="s">
        <v>74</v>
      </c>
      <c r="BB320">
        <v>225</v>
      </c>
      <c r="BC320">
        <v>232</v>
      </c>
      <c r="BD320" t="s">
        <v>74</v>
      </c>
      <c r="BE320" t="s">
        <v>6098</v>
      </c>
      <c r="BF320" t="str">
        <f>HYPERLINK("http://dx.doi.org/10.3189/172756411795931679","http://dx.doi.org/10.3189/172756411795931679")</f>
        <v>http://dx.doi.org/10.3189/172756411795931679</v>
      </c>
      <c r="BG320" t="s">
        <v>74</v>
      </c>
      <c r="BH320" t="s">
        <v>74</v>
      </c>
      <c r="BI320">
        <v>8</v>
      </c>
      <c r="BJ320" t="s">
        <v>222</v>
      </c>
      <c r="BK320" t="s">
        <v>100</v>
      </c>
      <c r="BL320" t="s">
        <v>223</v>
      </c>
      <c r="BM320" t="s">
        <v>6099</v>
      </c>
      <c r="BN320" t="s">
        <v>74</v>
      </c>
      <c r="BO320" t="s">
        <v>252</v>
      </c>
      <c r="BP320" t="s">
        <v>74</v>
      </c>
      <c r="BQ320" t="s">
        <v>74</v>
      </c>
      <c r="BR320" t="s">
        <v>103</v>
      </c>
      <c r="BS320" t="s">
        <v>6100</v>
      </c>
      <c r="BT320" t="str">
        <f>HYPERLINK("https%3A%2F%2Fwww.webofscience.com%2Fwos%2Fwoscc%2Ffull-record%2FWOS:000289655800007","View Full Record in Web of Science")</f>
        <v>View Full Record in Web of Science</v>
      </c>
    </row>
    <row r="321" spans="1:72" x14ac:dyDescent="0.15">
      <c r="A321" t="s">
        <v>72</v>
      </c>
      <c r="B321" t="s">
        <v>6101</v>
      </c>
      <c r="C321" t="s">
        <v>74</v>
      </c>
      <c r="D321" t="s">
        <v>74</v>
      </c>
      <c r="E321" t="s">
        <v>74</v>
      </c>
      <c r="F321" t="s">
        <v>6102</v>
      </c>
      <c r="G321" t="s">
        <v>74</v>
      </c>
      <c r="H321" t="s">
        <v>74</v>
      </c>
      <c r="I321" t="s">
        <v>6103</v>
      </c>
      <c r="J321" t="s">
        <v>5871</v>
      </c>
      <c r="K321" t="s">
        <v>74</v>
      </c>
      <c r="L321" t="s">
        <v>74</v>
      </c>
      <c r="M321" t="s">
        <v>78</v>
      </c>
      <c r="N321" t="s">
        <v>79</v>
      </c>
      <c r="O321" t="s">
        <v>74</v>
      </c>
      <c r="P321" t="s">
        <v>74</v>
      </c>
      <c r="Q321" t="s">
        <v>74</v>
      </c>
      <c r="R321" t="s">
        <v>74</v>
      </c>
      <c r="S321" t="s">
        <v>74</v>
      </c>
      <c r="T321" t="s">
        <v>74</v>
      </c>
      <c r="U321" t="s">
        <v>6104</v>
      </c>
      <c r="V321" t="s">
        <v>6105</v>
      </c>
      <c r="W321" t="s">
        <v>6106</v>
      </c>
      <c r="X321" t="s">
        <v>6107</v>
      </c>
      <c r="Y321" t="s">
        <v>6108</v>
      </c>
      <c r="Z321" t="s">
        <v>6109</v>
      </c>
      <c r="AA321" t="s">
        <v>6110</v>
      </c>
      <c r="AB321" t="s">
        <v>6111</v>
      </c>
      <c r="AC321" t="s">
        <v>6112</v>
      </c>
      <c r="AD321" t="s">
        <v>6113</v>
      </c>
      <c r="AE321" t="s">
        <v>6114</v>
      </c>
      <c r="AF321" t="s">
        <v>74</v>
      </c>
      <c r="AG321">
        <v>21</v>
      </c>
      <c r="AH321">
        <v>40</v>
      </c>
      <c r="AI321">
        <v>47</v>
      </c>
      <c r="AJ321">
        <v>1</v>
      </c>
      <c r="AK321">
        <v>20</v>
      </c>
      <c r="AL321" t="s">
        <v>90</v>
      </c>
      <c r="AM321" t="s">
        <v>2335</v>
      </c>
      <c r="AN321" t="s">
        <v>3413</v>
      </c>
      <c r="AO321" t="s">
        <v>5881</v>
      </c>
      <c r="AP321" t="s">
        <v>5882</v>
      </c>
      <c r="AQ321" t="s">
        <v>74</v>
      </c>
      <c r="AR321" t="s">
        <v>5883</v>
      </c>
      <c r="AS321" t="s">
        <v>5884</v>
      </c>
      <c r="AT321" t="s">
        <v>74</v>
      </c>
      <c r="AU321">
        <v>2011</v>
      </c>
      <c r="AV321">
        <v>52</v>
      </c>
      <c r="AW321">
        <v>57</v>
      </c>
      <c r="AX321">
        <v>2</v>
      </c>
      <c r="AY321" t="s">
        <v>74</v>
      </c>
      <c r="AZ321" t="s">
        <v>74</v>
      </c>
      <c r="BA321" t="s">
        <v>74</v>
      </c>
      <c r="BB321">
        <v>242</v>
      </c>
      <c r="BC321">
        <v>248</v>
      </c>
      <c r="BD321" t="s">
        <v>74</v>
      </c>
      <c r="BE321" t="s">
        <v>6115</v>
      </c>
      <c r="BF321" t="str">
        <f>HYPERLINK("http://dx.doi.org/10.3189/172756411795931570","http://dx.doi.org/10.3189/172756411795931570")</f>
        <v>http://dx.doi.org/10.3189/172756411795931570</v>
      </c>
      <c r="BG321" t="s">
        <v>74</v>
      </c>
      <c r="BH321" t="s">
        <v>74</v>
      </c>
      <c r="BI321">
        <v>7</v>
      </c>
      <c r="BJ321" t="s">
        <v>222</v>
      </c>
      <c r="BK321" t="s">
        <v>100</v>
      </c>
      <c r="BL321" t="s">
        <v>223</v>
      </c>
      <c r="BM321" t="s">
        <v>6099</v>
      </c>
      <c r="BN321" t="s">
        <v>74</v>
      </c>
      <c r="BO321" t="s">
        <v>3320</v>
      </c>
      <c r="BP321" t="s">
        <v>74</v>
      </c>
      <c r="BQ321" t="s">
        <v>74</v>
      </c>
      <c r="BR321" t="s">
        <v>103</v>
      </c>
      <c r="BS321" t="s">
        <v>6116</v>
      </c>
      <c r="BT321" t="str">
        <f>HYPERLINK("https%3A%2F%2Fwww.webofscience.com%2Fwos%2Fwoscc%2Ffull-record%2FWOS:000289655800009","View Full Record in Web of Science")</f>
        <v>View Full Record in Web of Science</v>
      </c>
    </row>
    <row r="322" spans="1:72" x14ac:dyDescent="0.15">
      <c r="A322" t="s">
        <v>72</v>
      </c>
      <c r="B322" t="s">
        <v>6117</v>
      </c>
      <c r="C322" t="s">
        <v>74</v>
      </c>
      <c r="D322" t="s">
        <v>74</v>
      </c>
      <c r="E322" t="s">
        <v>74</v>
      </c>
      <c r="F322" t="s">
        <v>6118</v>
      </c>
      <c r="G322" t="s">
        <v>74</v>
      </c>
      <c r="H322" t="s">
        <v>74</v>
      </c>
      <c r="I322" t="s">
        <v>6119</v>
      </c>
      <c r="J322" t="s">
        <v>5871</v>
      </c>
      <c r="K322" t="s">
        <v>74</v>
      </c>
      <c r="L322" t="s">
        <v>74</v>
      </c>
      <c r="M322" t="s">
        <v>78</v>
      </c>
      <c r="N322" t="s">
        <v>79</v>
      </c>
      <c r="O322" t="s">
        <v>74</v>
      </c>
      <c r="P322" t="s">
        <v>74</v>
      </c>
      <c r="Q322" t="s">
        <v>74</v>
      </c>
      <c r="R322" t="s">
        <v>74</v>
      </c>
      <c r="S322" t="s">
        <v>74</v>
      </c>
      <c r="T322" t="s">
        <v>74</v>
      </c>
      <c r="U322" t="s">
        <v>6120</v>
      </c>
      <c r="V322" t="s">
        <v>6121</v>
      </c>
      <c r="W322" t="s">
        <v>6122</v>
      </c>
      <c r="X322" t="s">
        <v>6123</v>
      </c>
      <c r="Y322" t="s">
        <v>6124</v>
      </c>
      <c r="Z322" t="s">
        <v>6125</v>
      </c>
      <c r="AA322" t="s">
        <v>74</v>
      </c>
      <c r="AB322" t="s">
        <v>74</v>
      </c>
      <c r="AC322" t="s">
        <v>6126</v>
      </c>
      <c r="AD322" t="s">
        <v>6127</v>
      </c>
      <c r="AE322" t="s">
        <v>6128</v>
      </c>
      <c r="AF322" t="s">
        <v>74</v>
      </c>
      <c r="AG322">
        <v>36</v>
      </c>
      <c r="AH322">
        <v>43</v>
      </c>
      <c r="AI322">
        <v>47</v>
      </c>
      <c r="AJ322">
        <v>0</v>
      </c>
      <c r="AK322">
        <v>15</v>
      </c>
      <c r="AL322" t="s">
        <v>3169</v>
      </c>
      <c r="AM322" t="s">
        <v>2335</v>
      </c>
      <c r="AN322" t="s">
        <v>3170</v>
      </c>
      <c r="AO322" t="s">
        <v>5881</v>
      </c>
      <c r="AP322" t="s">
        <v>74</v>
      </c>
      <c r="AQ322" t="s">
        <v>74</v>
      </c>
      <c r="AR322" t="s">
        <v>5883</v>
      </c>
      <c r="AS322" t="s">
        <v>5884</v>
      </c>
      <c r="AT322" t="s">
        <v>74</v>
      </c>
      <c r="AU322">
        <v>2011</v>
      </c>
      <c r="AV322">
        <v>52</v>
      </c>
      <c r="AW322">
        <v>57</v>
      </c>
      <c r="AX322">
        <v>2</v>
      </c>
      <c r="AY322" t="s">
        <v>74</v>
      </c>
      <c r="AZ322" t="s">
        <v>74</v>
      </c>
      <c r="BA322" t="s">
        <v>74</v>
      </c>
      <c r="BB322">
        <v>271</v>
      </c>
      <c r="BC322">
        <v>278</v>
      </c>
      <c r="BD322" t="s">
        <v>74</v>
      </c>
      <c r="BE322" t="s">
        <v>6129</v>
      </c>
      <c r="BF322" t="str">
        <f>HYPERLINK("http://dx.doi.org/10.3189/172756411795931651","http://dx.doi.org/10.3189/172756411795931651")</f>
        <v>http://dx.doi.org/10.3189/172756411795931651</v>
      </c>
      <c r="BG322" t="s">
        <v>74</v>
      </c>
      <c r="BH322" t="s">
        <v>74</v>
      </c>
      <c r="BI322">
        <v>8</v>
      </c>
      <c r="BJ322" t="s">
        <v>222</v>
      </c>
      <c r="BK322" t="s">
        <v>100</v>
      </c>
      <c r="BL322" t="s">
        <v>223</v>
      </c>
      <c r="BM322" t="s">
        <v>6099</v>
      </c>
      <c r="BN322" t="s">
        <v>74</v>
      </c>
      <c r="BO322" t="s">
        <v>1696</v>
      </c>
      <c r="BP322" t="s">
        <v>74</v>
      </c>
      <c r="BQ322" t="s">
        <v>74</v>
      </c>
      <c r="BR322" t="s">
        <v>103</v>
      </c>
      <c r="BS322" t="s">
        <v>6130</v>
      </c>
      <c r="BT322" t="str">
        <f>HYPERLINK("https%3A%2F%2Fwww.webofscience.com%2Fwos%2Fwoscc%2Ffull-record%2FWOS:000289655800012","View Full Record in Web of Science")</f>
        <v>View Full Record in Web of Science</v>
      </c>
    </row>
    <row r="323" spans="1:72" x14ac:dyDescent="0.15">
      <c r="A323" t="s">
        <v>72</v>
      </c>
      <c r="B323" t="s">
        <v>6131</v>
      </c>
      <c r="C323" t="s">
        <v>74</v>
      </c>
      <c r="D323" t="s">
        <v>74</v>
      </c>
      <c r="E323" t="s">
        <v>74</v>
      </c>
      <c r="F323" t="s">
        <v>6132</v>
      </c>
      <c r="G323" t="s">
        <v>74</v>
      </c>
      <c r="H323" t="s">
        <v>74</v>
      </c>
      <c r="I323" t="s">
        <v>6133</v>
      </c>
      <c r="J323" t="s">
        <v>5871</v>
      </c>
      <c r="K323" t="s">
        <v>74</v>
      </c>
      <c r="L323" t="s">
        <v>74</v>
      </c>
      <c r="M323" t="s">
        <v>78</v>
      </c>
      <c r="N323" t="s">
        <v>79</v>
      </c>
      <c r="O323" t="s">
        <v>74</v>
      </c>
      <c r="P323" t="s">
        <v>74</v>
      </c>
      <c r="Q323" t="s">
        <v>74</v>
      </c>
      <c r="R323" t="s">
        <v>74</v>
      </c>
      <c r="S323" t="s">
        <v>74</v>
      </c>
      <c r="T323" t="s">
        <v>74</v>
      </c>
      <c r="U323" t="s">
        <v>6134</v>
      </c>
      <c r="V323" t="s">
        <v>6135</v>
      </c>
      <c r="W323" t="s">
        <v>6136</v>
      </c>
      <c r="X323" t="s">
        <v>6137</v>
      </c>
      <c r="Y323" t="s">
        <v>6138</v>
      </c>
      <c r="Z323" t="s">
        <v>6139</v>
      </c>
      <c r="AA323" t="s">
        <v>6140</v>
      </c>
      <c r="AB323" t="s">
        <v>6141</v>
      </c>
      <c r="AC323" t="s">
        <v>6142</v>
      </c>
      <c r="AD323" t="s">
        <v>6143</v>
      </c>
      <c r="AE323" t="s">
        <v>6144</v>
      </c>
      <c r="AF323" t="s">
        <v>74</v>
      </c>
      <c r="AG323">
        <v>23</v>
      </c>
      <c r="AH323">
        <v>17</v>
      </c>
      <c r="AI323">
        <v>19</v>
      </c>
      <c r="AJ323">
        <v>0</v>
      </c>
      <c r="AK323">
        <v>15</v>
      </c>
      <c r="AL323" t="s">
        <v>3169</v>
      </c>
      <c r="AM323" t="s">
        <v>2335</v>
      </c>
      <c r="AN323" t="s">
        <v>3170</v>
      </c>
      <c r="AO323" t="s">
        <v>5881</v>
      </c>
      <c r="AP323" t="s">
        <v>74</v>
      </c>
      <c r="AQ323" t="s">
        <v>74</v>
      </c>
      <c r="AR323" t="s">
        <v>5883</v>
      </c>
      <c r="AS323" t="s">
        <v>5884</v>
      </c>
      <c r="AT323" t="s">
        <v>74</v>
      </c>
      <c r="AU323">
        <v>2011</v>
      </c>
      <c r="AV323">
        <v>52</v>
      </c>
      <c r="AW323">
        <v>57</v>
      </c>
      <c r="AX323">
        <v>2</v>
      </c>
      <c r="AY323" t="s">
        <v>74</v>
      </c>
      <c r="AZ323" t="s">
        <v>74</v>
      </c>
      <c r="BA323" t="s">
        <v>74</v>
      </c>
      <c r="BB323">
        <v>279</v>
      </c>
      <c r="BC323">
        <v>290</v>
      </c>
      <c r="BD323" t="s">
        <v>74</v>
      </c>
      <c r="BE323" t="s">
        <v>6145</v>
      </c>
      <c r="BF323" t="str">
        <f>HYPERLINK("http://dx.doi.org/10.3189/172756411795931750","http://dx.doi.org/10.3189/172756411795931750")</f>
        <v>http://dx.doi.org/10.3189/172756411795931750</v>
      </c>
      <c r="BG323" t="s">
        <v>74</v>
      </c>
      <c r="BH323" t="s">
        <v>74</v>
      </c>
      <c r="BI323">
        <v>12</v>
      </c>
      <c r="BJ323" t="s">
        <v>222</v>
      </c>
      <c r="BK323" t="s">
        <v>100</v>
      </c>
      <c r="BL323" t="s">
        <v>223</v>
      </c>
      <c r="BM323" t="s">
        <v>6099</v>
      </c>
      <c r="BN323" t="s">
        <v>74</v>
      </c>
      <c r="BO323" t="s">
        <v>375</v>
      </c>
      <c r="BP323" t="s">
        <v>74</v>
      </c>
      <c r="BQ323" t="s">
        <v>74</v>
      </c>
      <c r="BR323" t="s">
        <v>103</v>
      </c>
      <c r="BS323" t="s">
        <v>6146</v>
      </c>
      <c r="BT323" t="str">
        <f>HYPERLINK("https%3A%2F%2Fwww.webofscience.com%2Fwos%2Fwoscc%2Ffull-record%2FWOS:000289655800013","View Full Record in Web of Science")</f>
        <v>View Full Record in Web of Science</v>
      </c>
    </row>
    <row r="324" spans="1:72" x14ac:dyDescent="0.15">
      <c r="A324" t="s">
        <v>72</v>
      </c>
      <c r="B324" t="s">
        <v>6147</v>
      </c>
      <c r="C324" t="s">
        <v>74</v>
      </c>
      <c r="D324" t="s">
        <v>74</v>
      </c>
      <c r="E324" t="s">
        <v>74</v>
      </c>
      <c r="F324" t="s">
        <v>6148</v>
      </c>
      <c r="G324" t="s">
        <v>74</v>
      </c>
      <c r="H324" t="s">
        <v>74</v>
      </c>
      <c r="I324" t="s">
        <v>6149</v>
      </c>
      <c r="J324" t="s">
        <v>5871</v>
      </c>
      <c r="K324" t="s">
        <v>74</v>
      </c>
      <c r="L324" t="s">
        <v>74</v>
      </c>
      <c r="M324" t="s">
        <v>78</v>
      </c>
      <c r="N324" t="s">
        <v>79</v>
      </c>
      <c r="O324" t="s">
        <v>74</v>
      </c>
      <c r="P324" t="s">
        <v>74</v>
      </c>
      <c r="Q324" t="s">
        <v>74</v>
      </c>
      <c r="R324" t="s">
        <v>74</v>
      </c>
      <c r="S324" t="s">
        <v>74</v>
      </c>
      <c r="T324" t="s">
        <v>74</v>
      </c>
      <c r="U324" t="s">
        <v>6150</v>
      </c>
      <c r="V324" t="s">
        <v>6151</v>
      </c>
      <c r="W324" t="s">
        <v>6152</v>
      </c>
      <c r="X324" t="s">
        <v>6153</v>
      </c>
      <c r="Y324" t="s">
        <v>6154</v>
      </c>
      <c r="Z324" t="s">
        <v>6155</v>
      </c>
      <c r="AA324" t="s">
        <v>6156</v>
      </c>
      <c r="AB324" t="s">
        <v>6157</v>
      </c>
      <c r="AC324" t="s">
        <v>6158</v>
      </c>
      <c r="AD324" t="s">
        <v>6159</v>
      </c>
      <c r="AE324" t="s">
        <v>6160</v>
      </c>
      <c r="AF324" t="s">
        <v>74</v>
      </c>
      <c r="AG324">
        <v>30</v>
      </c>
      <c r="AH324">
        <v>16</v>
      </c>
      <c r="AI324">
        <v>19</v>
      </c>
      <c r="AJ324">
        <v>0</v>
      </c>
      <c r="AK324">
        <v>21</v>
      </c>
      <c r="AL324" t="s">
        <v>90</v>
      </c>
      <c r="AM324" t="s">
        <v>2335</v>
      </c>
      <c r="AN324" t="s">
        <v>3413</v>
      </c>
      <c r="AO324" t="s">
        <v>5881</v>
      </c>
      <c r="AP324" t="s">
        <v>5882</v>
      </c>
      <c r="AQ324" t="s">
        <v>74</v>
      </c>
      <c r="AR324" t="s">
        <v>5883</v>
      </c>
      <c r="AS324" t="s">
        <v>5884</v>
      </c>
      <c r="AT324" t="s">
        <v>74</v>
      </c>
      <c r="AU324">
        <v>2011</v>
      </c>
      <c r="AV324">
        <v>52</v>
      </c>
      <c r="AW324">
        <v>57</v>
      </c>
      <c r="AX324">
        <v>2</v>
      </c>
      <c r="AY324" t="s">
        <v>74</v>
      </c>
      <c r="AZ324" t="s">
        <v>74</v>
      </c>
      <c r="BA324" t="s">
        <v>74</v>
      </c>
      <c r="BB324">
        <v>318</v>
      </c>
      <c r="BC324">
        <v>326</v>
      </c>
      <c r="BD324" t="s">
        <v>74</v>
      </c>
      <c r="BE324" t="s">
        <v>6161</v>
      </c>
      <c r="BF324" t="str">
        <f>HYPERLINK("http://dx.doi.org/10.3189/172756411795931877","http://dx.doi.org/10.3189/172756411795931877")</f>
        <v>http://dx.doi.org/10.3189/172756411795931877</v>
      </c>
      <c r="BG324" t="s">
        <v>74</v>
      </c>
      <c r="BH324" t="s">
        <v>74</v>
      </c>
      <c r="BI324">
        <v>9</v>
      </c>
      <c r="BJ324" t="s">
        <v>222</v>
      </c>
      <c r="BK324" t="s">
        <v>100</v>
      </c>
      <c r="BL324" t="s">
        <v>223</v>
      </c>
      <c r="BM324" t="s">
        <v>6099</v>
      </c>
      <c r="BN324" t="s">
        <v>74</v>
      </c>
      <c r="BO324" t="s">
        <v>252</v>
      </c>
      <c r="BP324" t="s">
        <v>74</v>
      </c>
      <c r="BQ324" t="s">
        <v>74</v>
      </c>
      <c r="BR324" t="s">
        <v>103</v>
      </c>
      <c r="BS324" t="s">
        <v>6162</v>
      </c>
      <c r="BT324" t="str">
        <f>HYPERLINK("https%3A%2F%2Fwww.webofscience.com%2Fwos%2Fwoscc%2Ffull-record%2FWOS:000289655800017","View Full Record in Web of Science")</f>
        <v>View Full Record in Web of Science</v>
      </c>
    </row>
    <row r="325" spans="1:72" x14ac:dyDescent="0.15">
      <c r="A325" t="s">
        <v>72</v>
      </c>
      <c r="B325" t="s">
        <v>6163</v>
      </c>
      <c r="C325" t="s">
        <v>74</v>
      </c>
      <c r="D325" t="s">
        <v>74</v>
      </c>
      <c r="E325" t="s">
        <v>74</v>
      </c>
      <c r="F325" t="s">
        <v>6164</v>
      </c>
      <c r="G325" t="s">
        <v>74</v>
      </c>
      <c r="H325" t="s">
        <v>74</v>
      </c>
      <c r="I325" t="s">
        <v>6165</v>
      </c>
      <c r="J325" t="s">
        <v>5871</v>
      </c>
      <c r="K325" t="s">
        <v>74</v>
      </c>
      <c r="L325" t="s">
        <v>74</v>
      </c>
      <c r="M325" t="s">
        <v>78</v>
      </c>
      <c r="N325" t="s">
        <v>79</v>
      </c>
      <c r="O325" t="s">
        <v>74</v>
      </c>
      <c r="P325" t="s">
        <v>74</v>
      </c>
      <c r="Q325" t="s">
        <v>74</v>
      </c>
      <c r="R325" t="s">
        <v>74</v>
      </c>
      <c r="S325" t="s">
        <v>74</v>
      </c>
      <c r="T325" t="s">
        <v>74</v>
      </c>
      <c r="U325" t="s">
        <v>6166</v>
      </c>
      <c r="V325" t="s">
        <v>6167</v>
      </c>
      <c r="W325" t="s">
        <v>6168</v>
      </c>
      <c r="X325" t="s">
        <v>6169</v>
      </c>
      <c r="Y325" t="s">
        <v>6170</v>
      </c>
      <c r="Z325" t="s">
        <v>6171</v>
      </c>
      <c r="AA325" t="s">
        <v>6172</v>
      </c>
      <c r="AB325" t="s">
        <v>6173</v>
      </c>
      <c r="AC325" t="s">
        <v>6174</v>
      </c>
      <c r="AD325" t="s">
        <v>6175</v>
      </c>
      <c r="AE325" t="s">
        <v>6176</v>
      </c>
      <c r="AF325" t="s">
        <v>74</v>
      </c>
      <c r="AG325">
        <v>33</v>
      </c>
      <c r="AH325">
        <v>6</v>
      </c>
      <c r="AI325">
        <v>6</v>
      </c>
      <c r="AJ325">
        <v>0</v>
      </c>
      <c r="AK325">
        <v>7</v>
      </c>
      <c r="AL325" t="s">
        <v>3169</v>
      </c>
      <c r="AM325" t="s">
        <v>2335</v>
      </c>
      <c r="AN325" t="s">
        <v>3170</v>
      </c>
      <c r="AO325" t="s">
        <v>5881</v>
      </c>
      <c r="AP325" t="s">
        <v>74</v>
      </c>
      <c r="AQ325" t="s">
        <v>74</v>
      </c>
      <c r="AR325" t="s">
        <v>5883</v>
      </c>
      <c r="AS325" t="s">
        <v>5884</v>
      </c>
      <c r="AT325" t="s">
        <v>74</v>
      </c>
      <c r="AU325">
        <v>2011</v>
      </c>
      <c r="AV325">
        <v>52</v>
      </c>
      <c r="AW325">
        <v>57</v>
      </c>
      <c r="AX325">
        <v>2</v>
      </c>
      <c r="AY325" t="s">
        <v>74</v>
      </c>
      <c r="AZ325" t="s">
        <v>74</v>
      </c>
      <c r="BA325" t="s">
        <v>74</v>
      </c>
      <c r="BB325">
        <v>327</v>
      </c>
      <c r="BC325">
        <v>336</v>
      </c>
      <c r="BD325" t="s">
        <v>74</v>
      </c>
      <c r="BE325" t="s">
        <v>6177</v>
      </c>
      <c r="BF325" t="str">
        <f>HYPERLINK("http://dx.doi.org/10.3189/172756411795931697","http://dx.doi.org/10.3189/172756411795931697")</f>
        <v>http://dx.doi.org/10.3189/172756411795931697</v>
      </c>
      <c r="BG325" t="s">
        <v>74</v>
      </c>
      <c r="BH325" t="s">
        <v>74</v>
      </c>
      <c r="BI325">
        <v>10</v>
      </c>
      <c r="BJ325" t="s">
        <v>222</v>
      </c>
      <c r="BK325" t="s">
        <v>100</v>
      </c>
      <c r="BL325" t="s">
        <v>223</v>
      </c>
      <c r="BM325" t="s">
        <v>6099</v>
      </c>
      <c r="BN325" t="s">
        <v>74</v>
      </c>
      <c r="BO325" t="s">
        <v>252</v>
      </c>
      <c r="BP325" t="s">
        <v>74</v>
      </c>
      <c r="BQ325" t="s">
        <v>74</v>
      </c>
      <c r="BR325" t="s">
        <v>103</v>
      </c>
      <c r="BS325" t="s">
        <v>6178</v>
      </c>
      <c r="BT325" t="str">
        <f>HYPERLINK("https%3A%2F%2Fwww.webofscience.com%2Fwos%2Fwoscc%2Ffull-record%2FWOS:000289655800018","View Full Record in Web of Science")</f>
        <v>View Full Record in Web of Science</v>
      </c>
    </row>
    <row r="326" spans="1:72" x14ac:dyDescent="0.15">
      <c r="A326" t="s">
        <v>72</v>
      </c>
      <c r="B326" t="s">
        <v>6179</v>
      </c>
      <c r="C326" t="s">
        <v>74</v>
      </c>
      <c r="D326" t="s">
        <v>74</v>
      </c>
      <c r="E326" t="s">
        <v>74</v>
      </c>
      <c r="F326" t="s">
        <v>6180</v>
      </c>
      <c r="G326" t="s">
        <v>74</v>
      </c>
      <c r="H326" t="s">
        <v>74</v>
      </c>
      <c r="I326" t="s">
        <v>6181</v>
      </c>
      <c r="J326" t="s">
        <v>5871</v>
      </c>
      <c r="K326" t="s">
        <v>74</v>
      </c>
      <c r="L326" t="s">
        <v>74</v>
      </c>
      <c r="M326" t="s">
        <v>78</v>
      </c>
      <c r="N326" t="s">
        <v>79</v>
      </c>
      <c r="O326" t="s">
        <v>74</v>
      </c>
      <c r="P326" t="s">
        <v>74</v>
      </c>
      <c r="Q326" t="s">
        <v>74</v>
      </c>
      <c r="R326" t="s">
        <v>74</v>
      </c>
      <c r="S326" t="s">
        <v>74</v>
      </c>
      <c r="T326" t="s">
        <v>74</v>
      </c>
      <c r="U326" t="s">
        <v>6182</v>
      </c>
      <c r="V326" t="s">
        <v>6183</v>
      </c>
      <c r="W326" t="s">
        <v>6184</v>
      </c>
      <c r="X326" t="s">
        <v>6185</v>
      </c>
      <c r="Y326" t="s">
        <v>6186</v>
      </c>
      <c r="Z326" t="s">
        <v>6187</v>
      </c>
      <c r="AA326" t="s">
        <v>6188</v>
      </c>
      <c r="AB326" t="s">
        <v>74</v>
      </c>
      <c r="AC326" t="s">
        <v>6189</v>
      </c>
      <c r="AD326" t="s">
        <v>6190</v>
      </c>
      <c r="AE326" t="s">
        <v>6191</v>
      </c>
      <c r="AF326" t="s">
        <v>74</v>
      </c>
      <c r="AG326">
        <v>56</v>
      </c>
      <c r="AH326">
        <v>17</v>
      </c>
      <c r="AI326">
        <v>21</v>
      </c>
      <c r="AJ326">
        <v>1</v>
      </c>
      <c r="AK326">
        <v>16</v>
      </c>
      <c r="AL326" t="s">
        <v>90</v>
      </c>
      <c r="AM326" t="s">
        <v>2335</v>
      </c>
      <c r="AN326" t="s">
        <v>3413</v>
      </c>
      <c r="AO326" t="s">
        <v>5881</v>
      </c>
      <c r="AP326" t="s">
        <v>5882</v>
      </c>
      <c r="AQ326" t="s">
        <v>74</v>
      </c>
      <c r="AR326" t="s">
        <v>5883</v>
      </c>
      <c r="AS326" t="s">
        <v>5884</v>
      </c>
      <c r="AT326" t="s">
        <v>74</v>
      </c>
      <c r="AU326">
        <v>2011</v>
      </c>
      <c r="AV326">
        <v>52</v>
      </c>
      <c r="AW326">
        <v>57</v>
      </c>
      <c r="AX326">
        <v>2</v>
      </c>
      <c r="AY326" t="s">
        <v>74</v>
      </c>
      <c r="AZ326" t="s">
        <v>74</v>
      </c>
      <c r="BA326" t="s">
        <v>74</v>
      </c>
      <c r="BB326">
        <v>347</v>
      </c>
      <c r="BC326">
        <v>354</v>
      </c>
      <c r="BD326" t="s">
        <v>74</v>
      </c>
      <c r="BE326" t="s">
        <v>6192</v>
      </c>
      <c r="BF326" t="str">
        <f>HYPERLINK("http://dx.doi.org/10.3189/172756411795931822","http://dx.doi.org/10.3189/172756411795931822")</f>
        <v>http://dx.doi.org/10.3189/172756411795931822</v>
      </c>
      <c r="BG326" t="s">
        <v>74</v>
      </c>
      <c r="BH326" t="s">
        <v>74</v>
      </c>
      <c r="BI326">
        <v>8</v>
      </c>
      <c r="BJ326" t="s">
        <v>222</v>
      </c>
      <c r="BK326" t="s">
        <v>100</v>
      </c>
      <c r="BL326" t="s">
        <v>223</v>
      </c>
      <c r="BM326" t="s">
        <v>6099</v>
      </c>
      <c r="BN326" t="s">
        <v>74</v>
      </c>
      <c r="BO326" t="s">
        <v>3320</v>
      </c>
      <c r="BP326" t="s">
        <v>74</v>
      </c>
      <c r="BQ326" t="s">
        <v>74</v>
      </c>
      <c r="BR326" t="s">
        <v>103</v>
      </c>
      <c r="BS326" t="s">
        <v>6193</v>
      </c>
      <c r="BT326" t="str">
        <f>HYPERLINK("https%3A%2F%2Fwww.webofscience.com%2Fwos%2Fwoscc%2Ffull-record%2FWOS:000289655800020","View Full Record in Web of Science")</f>
        <v>View Full Record in Web of Science</v>
      </c>
    </row>
    <row r="327" spans="1:72" x14ac:dyDescent="0.15">
      <c r="A327" t="s">
        <v>2017</v>
      </c>
      <c r="B327" t="s">
        <v>6194</v>
      </c>
      <c r="C327" t="s">
        <v>74</v>
      </c>
      <c r="D327" t="s">
        <v>6195</v>
      </c>
      <c r="E327" t="s">
        <v>74</v>
      </c>
      <c r="F327" t="s">
        <v>6196</v>
      </c>
      <c r="G327" t="s">
        <v>74</v>
      </c>
      <c r="H327" t="s">
        <v>74</v>
      </c>
      <c r="I327" t="s">
        <v>6197</v>
      </c>
      <c r="J327" t="s">
        <v>6198</v>
      </c>
      <c r="K327" t="s">
        <v>6199</v>
      </c>
      <c r="L327" t="s">
        <v>74</v>
      </c>
      <c r="M327" t="s">
        <v>78</v>
      </c>
      <c r="N327" t="s">
        <v>2533</v>
      </c>
      <c r="O327" t="s">
        <v>74</v>
      </c>
      <c r="P327" t="s">
        <v>74</v>
      </c>
      <c r="Q327" t="s">
        <v>74</v>
      </c>
      <c r="R327" t="s">
        <v>74</v>
      </c>
      <c r="S327" t="s">
        <v>74</v>
      </c>
      <c r="T327" t="s">
        <v>6200</v>
      </c>
      <c r="U327" t="s">
        <v>6201</v>
      </c>
      <c r="V327" t="s">
        <v>6202</v>
      </c>
      <c r="W327" t="s">
        <v>6203</v>
      </c>
      <c r="X327" t="s">
        <v>6204</v>
      </c>
      <c r="Y327" t="s">
        <v>6205</v>
      </c>
      <c r="Z327" t="s">
        <v>6206</v>
      </c>
      <c r="AA327" t="s">
        <v>74</v>
      </c>
      <c r="AB327" t="s">
        <v>74</v>
      </c>
      <c r="AC327" t="s">
        <v>74</v>
      </c>
      <c r="AD327" t="s">
        <v>74</v>
      </c>
      <c r="AE327" t="s">
        <v>74</v>
      </c>
      <c r="AF327" t="s">
        <v>74</v>
      </c>
      <c r="AG327">
        <v>134</v>
      </c>
      <c r="AH327">
        <v>11</v>
      </c>
      <c r="AI327">
        <v>11</v>
      </c>
      <c r="AJ327">
        <v>1</v>
      </c>
      <c r="AK327">
        <v>33</v>
      </c>
      <c r="AL327" t="s">
        <v>4019</v>
      </c>
      <c r="AM327" t="s">
        <v>4020</v>
      </c>
      <c r="AN327" t="s">
        <v>4021</v>
      </c>
      <c r="AO327" t="s">
        <v>6207</v>
      </c>
      <c r="AP327" t="s">
        <v>74</v>
      </c>
      <c r="AQ327" t="s">
        <v>6208</v>
      </c>
      <c r="AR327" t="s">
        <v>6209</v>
      </c>
      <c r="AS327" t="s">
        <v>6210</v>
      </c>
      <c r="AT327" t="s">
        <v>74</v>
      </c>
      <c r="AU327">
        <v>2011</v>
      </c>
      <c r="AV327">
        <v>3</v>
      </c>
      <c r="AW327" t="s">
        <v>74</v>
      </c>
      <c r="AX327" t="s">
        <v>74</v>
      </c>
      <c r="AY327" t="s">
        <v>74</v>
      </c>
      <c r="AZ327" t="s">
        <v>74</v>
      </c>
      <c r="BA327" t="s">
        <v>74</v>
      </c>
      <c r="BB327">
        <v>1</v>
      </c>
      <c r="BC327">
        <v>34</v>
      </c>
      <c r="BD327" t="s">
        <v>74</v>
      </c>
      <c r="BE327" t="s">
        <v>6211</v>
      </c>
      <c r="BF327" t="str">
        <f>HYPERLINK("http://dx.doi.org/10.1146/annurev-marine-120709-142831","http://dx.doi.org/10.1146/annurev-marine-120709-142831")</f>
        <v>http://dx.doi.org/10.1146/annurev-marine-120709-142831</v>
      </c>
      <c r="BG327" t="s">
        <v>74</v>
      </c>
      <c r="BH327" t="s">
        <v>74</v>
      </c>
      <c r="BI327">
        <v>34</v>
      </c>
      <c r="BJ327" t="s">
        <v>6212</v>
      </c>
      <c r="BK327" t="s">
        <v>2551</v>
      </c>
      <c r="BL327" t="s">
        <v>6212</v>
      </c>
      <c r="BM327" t="s">
        <v>6213</v>
      </c>
      <c r="BN327">
        <v>21329197</v>
      </c>
      <c r="BO327" t="s">
        <v>74</v>
      </c>
      <c r="BP327" t="s">
        <v>74</v>
      </c>
      <c r="BQ327" t="s">
        <v>74</v>
      </c>
      <c r="BR327" t="s">
        <v>103</v>
      </c>
      <c r="BS327" t="s">
        <v>6214</v>
      </c>
      <c r="BT327" t="str">
        <f>HYPERLINK("https%3A%2F%2Fwww.webofscience.com%2Fwos%2Fwoscc%2Ffull-record%2FWOS:000286638700001","View Full Record in Web of Science")</f>
        <v>View Full Record in Web of Science</v>
      </c>
    </row>
    <row r="328" spans="1:72" x14ac:dyDescent="0.15">
      <c r="A328" t="s">
        <v>2017</v>
      </c>
      <c r="B328" t="s">
        <v>6215</v>
      </c>
      <c r="C328" t="s">
        <v>3755</v>
      </c>
      <c r="D328" t="s">
        <v>3756</v>
      </c>
      <c r="E328" t="s">
        <v>74</v>
      </c>
      <c r="F328" t="s">
        <v>6216</v>
      </c>
      <c r="G328" t="s">
        <v>3755</v>
      </c>
      <c r="H328" t="s">
        <v>74</v>
      </c>
      <c r="I328" t="s">
        <v>6217</v>
      </c>
      <c r="J328" t="s">
        <v>3759</v>
      </c>
      <c r="K328" t="s">
        <v>2488</v>
      </c>
      <c r="L328" t="s">
        <v>74</v>
      </c>
      <c r="M328" t="s">
        <v>78</v>
      </c>
      <c r="N328" t="s">
        <v>2370</v>
      </c>
      <c r="O328" t="s">
        <v>74</v>
      </c>
      <c r="P328" t="s">
        <v>74</v>
      </c>
      <c r="Q328" t="s">
        <v>74</v>
      </c>
      <c r="R328" t="s">
        <v>74</v>
      </c>
      <c r="S328" t="s">
        <v>74</v>
      </c>
      <c r="T328" t="s">
        <v>74</v>
      </c>
      <c r="U328" t="s">
        <v>6218</v>
      </c>
      <c r="V328" t="s">
        <v>6219</v>
      </c>
      <c r="W328" t="s">
        <v>6220</v>
      </c>
      <c r="X328" t="s">
        <v>6221</v>
      </c>
      <c r="Y328" t="s">
        <v>6222</v>
      </c>
      <c r="Z328" t="s">
        <v>6223</v>
      </c>
      <c r="AA328" t="s">
        <v>6224</v>
      </c>
      <c r="AB328" t="s">
        <v>6225</v>
      </c>
      <c r="AC328" t="s">
        <v>74</v>
      </c>
      <c r="AD328" t="s">
        <v>74</v>
      </c>
      <c r="AE328" t="s">
        <v>74</v>
      </c>
      <c r="AF328" t="s">
        <v>74</v>
      </c>
      <c r="AG328">
        <v>56</v>
      </c>
      <c r="AH328">
        <v>3</v>
      </c>
      <c r="AI328">
        <v>3</v>
      </c>
      <c r="AJ328">
        <v>0</v>
      </c>
      <c r="AK328">
        <v>2</v>
      </c>
      <c r="AL328" t="s">
        <v>240</v>
      </c>
      <c r="AM328" t="s">
        <v>241</v>
      </c>
      <c r="AN328" t="s">
        <v>242</v>
      </c>
      <c r="AO328" t="s">
        <v>2497</v>
      </c>
      <c r="AP328" t="s">
        <v>74</v>
      </c>
      <c r="AQ328" t="s">
        <v>3770</v>
      </c>
      <c r="AR328" t="s">
        <v>2499</v>
      </c>
      <c r="AS328" t="s">
        <v>74</v>
      </c>
      <c r="AT328" t="s">
        <v>74</v>
      </c>
      <c r="AU328">
        <v>2011</v>
      </c>
      <c r="AV328">
        <v>192</v>
      </c>
      <c r="AW328" t="s">
        <v>74</v>
      </c>
      <c r="AX328" t="s">
        <v>74</v>
      </c>
      <c r="AY328" t="s">
        <v>74</v>
      </c>
      <c r="AZ328" t="s">
        <v>74</v>
      </c>
      <c r="BA328" t="s">
        <v>74</v>
      </c>
      <c r="BB328">
        <v>1</v>
      </c>
      <c r="BC328">
        <v>7</v>
      </c>
      <c r="BD328" t="s">
        <v>74</v>
      </c>
      <c r="BE328" t="s">
        <v>6226</v>
      </c>
      <c r="BF328" t="str">
        <f>HYPERLINK("http://dx.doi.org/10.1029/2010GM001001","http://dx.doi.org/10.1029/2010GM001001")</f>
        <v>http://dx.doi.org/10.1029/2010GM001001</v>
      </c>
      <c r="BG328" t="s">
        <v>3772</v>
      </c>
      <c r="BH328" t="s">
        <v>74</v>
      </c>
      <c r="BI328">
        <v>7</v>
      </c>
      <c r="BJ328" t="s">
        <v>3773</v>
      </c>
      <c r="BK328" t="s">
        <v>2384</v>
      </c>
      <c r="BL328" t="s">
        <v>3774</v>
      </c>
      <c r="BM328" t="s">
        <v>3775</v>
      </c>
      <c r="BN328" t="s">
        <v>74</v>
      </c>
      <c r="BO328" t="s">
        <v>74</v>
      </c>
      <c r="BP328" t="s">
        <v>74</v>
      </c>
      <c r="BQ328" t="s">
        <v>74</v>
      </c>
      <c r="BR328" t="s">
        <v>103</v>
      </c>
      <c r="BS328" t="s">
        <v>6227</v>
      </c>
      <c r="BT328" t="str">
        <f>HYPERLINK("https%3A%2F%2Fwww.webofscience.com%2Fwos%2Fwoscc%2Ffull-record%2FWOS:000290418300001","View Full Record in Web of Science")</f>
        <v>View Full Record in Web of Science</v>
      </c>
    </row>
    <row r="329" spans="1:72" x14ac:dyDescent="0.15">
      <c r="A329" t="s">
        <v>2017</v>
      </c>
      <c r="B329" t="s">
        <v>6228</v>
      </c>
      <c r="C329" t="s">
        <v>3755</v>
      </c>
      <c r="D329" t="s">
        <v>3756</v>
      </c>
      <c r="E329" t="s">
        <v>74</v>
      </c>
      <c r="F329" t="s">
        <v>6229</v>
      </c>
      <c r="G329" t="s">
        <v>3755</v>
      </c>
      <c r="H329" t="s">
        <v>74</v>
      </c>
      <c r="I329" t="s">
        <v>6230</v>
      </c>
      <c r="J329" t="s">
        <v>3759</v>
      </c>
      <c r="K329" t="s">
        <v>2488</v>
      </c>
      <c r="L329" t="s">
        <v>74</v>
      </c>
      <c r="M329" t="s">
        <v>78</v>
      </c>
      <c r="N329" t="s">
        <v>2370</v>
      </c>
      <c r="O329" t="s">
        <v>74</v>
      </c>
      <c r="P329" t="s">
        <v>74</v>
      </c>
      <c r="Q329" t="s">
        <v>74</v>
      </c>
      <c r="R329" t="s">
        <v>74</v>
      </c>
      <c r="S329" t="s">
        <v>74</v>
      </c>
      <c r="T329" t="s">
        <v>74</v>
      </c>
      <c r="U329" t="s">
        <v>6231</v>
      </c>
      <c r="V329" t="s">
        <v>6232</v>
      </c>
      <c r="W329" t="s">
        <v>6233</v>
      </c>
      <c r="X329" t="s">
        <v>6234</v>
      </c>
      <c r="Y329" t="s">
        <v>6235</v>
      </c>
      <c r="Z329" t="s">
        <v>6236</v>
      </c>
      <c r="AA329" t="s">
        <v>6224</v>
      </c>
      <c r="AB329" t="s">
        <v>6225</v>
      </c>
      <c r="AC329" t="s">
        <v>74</v>
      </c>
      <c r="AD329" t="s">
        <v>74</v>
      </c>
      <c r="AE329" t="s">
        <v>74</v>
      </c>
      <c r="AF329" t="s">
        <v>74</v>
      </c>
      <c r="AG329">
        <v>102</v>
      </c>
      <c r="AH329">
        <v>36</v>
      </c>
      <c r="AI329">
        <v>40</v>
      </c>
      <c r="AJ329">
        <v>1</v>
      </c>
      <c r="AK329">
        <v>10</v>
      </c>
      <c r="AL329" t="s">
        <v>240</v>
      </c>
      <c r="AM329" t="s">
        <v>241</v>
      </c>
      <c r="AN329" t="s">
        <v>242</v>
      </c>
      <c r="AO329" t="s">
        <v>2497</v>
      </c>
      <c r="AP329" t="s">
        <v>74</v>
      </c>
      <c r="AQ329" t="s">
        <v>3770</v>
      </c>
      <c r="AR329" t="s">
        <v>2499</v>
      </c>
      <c r="AS329" t="s">
        <v>74</v>
      </c>
      <c r="AT329" t="s">
        <v>74</v>
      </c>
      <c r="AU329">
        <v>2011</v>
      </c>
      <c r="AV329">
        <v>192</v>
      </c>
      <c r="AW329" t="s">
        <v>74</v>
      </c>
      <c r="AX329" t="s">
        <v>74</v>
      </c>
      <c r="AY329" t="s">
        <v>74</v>
      </c>
      <c r="AZ329" t="s">
        <v>74</v>
      </c>
      <c r="BA329" t="s">
        <v>74</v>
      </c>
      <c r="BB329">
        <v>9</v>
      </c>
      <c r="BC329">
        <v>26</v>
      </c>
      <c r="BD329" t="s">
        <v>74</v>
      </c>
      <c r="BE329" t="s">
        <v>6237</v>
      </c>
      <c r="BF329" t="str">
        <f>HYPERLINK("http://dx.doi.org/10.1029/2010GM000933","http://dx.doi.org/10.1029/2010GM000933")</f>
        <v>http://dx.doi.org/10.1029/2010GM000933</v>
      </c>
      <c r="BG329" t="s">
        <v>3772</v>
      </c>
      <c r="BH329" t="s">
        <v>74</v>
      </c>
      <c r="BI329">
        <v>18</v>
      </c>
      <c r="BJ329" t="s">
        <v>3773</v>
      </c>
      <c r="BK329" t="s">
        <v>2384</v>
      </c>
      <c r="BL329" t="s">
        <v>3774</v>
      </c>
      <c r="BM329" t="s">
        <v>3775</v>
      </c>
      <c r="BN329" t="s">
        <v>74</v>
      </c>
      <c r="BO329" t="s">
        <v>74</v>
      </c>
      <c r="BP329" t="s">
        <v>74</v>
      </c>
      <c r="BQ329" t="s">
        <v>74</v>
      </c>
      <c r="BR329" t="s">
        <v>103</v>
      </c>
      <c r="BS329" t="s">
        <v>6238</v>
      </c>
      <c r="BT329" t="str">
        <f>HYPERLINK("https%3A%2F%2Fwww.webofscience.com%2Fwos%2Fwoscc%2Ffull-record%2FWOS:000290418300002","View Full Record in Web of Science")</f>
        <v>View Full Record in Web of Science</v>
      </c>
    </row>
    <row r="330" spans="1:72" x14ac:dyDescent="0.15">
      <c r="A330" t="s">
        <v>2017</v>
      </c>
      <c r="B330" t="s">
        <v>6239</v>
      </c>
      <c r="C330" t="s">
        <v>3755</v>
      </c>
      <c r="D330" t="s">
        <v>3756</v>
      </c>
      <c r="E330" t="s">
        <v>74</v>
      </c>
      <c r="F330" t="s">
        <v>6240</v>
      </c>
      <c r="G330" t="s">
        <v>3755</v>
      </c>
      <c r="H330" t="s">
        <v>74</v>
      </c>
      <c r="I330" t="s">
        <v>6241</v>
      </c>
      <c r="J330" t="s">
        <v>3759</v>
      </c>
      <c r="K330" t="s">
        <v>2488</v>
      </c>
      <c r="L330" t="s">
        <v>74</v>
      </c>
      <c r="M330" t="s">
        <v>78</v>
      </c>
      <c r="N330" t="s">
        <v>2370</v>
      </c>
      <c r="O330" t="s">
        <v>74</v>
      </c>
      <c r="P330" t="s">
        <v>74</v>
      </c>
      <c r="Q330" t="s">
        <v>74</v>
      </c>
      <c r="R330" t="s">
        <v>74</v>
      </c>
      <c r="S330" t="s">
        <v>74</v>
      </c>
      <c r="T330" t="s">
        <v>74</v>
      </c>
      <c r="U330" t="s">
        <v>6242</v>
      </c>
      <c r="V330" t="s">
        <v>6243</v>
      </c>
      <c r="W330" t="s">
        <v>6244</v>
      </c>
      <c r="X330" t="s">
        <v>3794</v>
      </c>
      <c r="Y330" t="s">
        <v>6245</v>
      </c>
      <c r="Z330" t="s">
        <v>6246</v>
      </c>
      <c r="AA330" t="s">
        <v>6247</v>
      </c>
      <c r="AB330" t="s">
        <v>6248</v>
      </c>
      <c r="AC330" t="s">
        <v>74</v>
      </c>
      <c r="AD330" t="s">
        <v>74</v>
      </c>
      <c r="AE330" t="s">
        <v>74</v>
      </c>
      <c r="AF330" t="s">
        <v>74</v>
      </c>
      <c r="AG330">
        <v>92</v>
      </c>
      <c r="AH330">
        <v>6</v>
      </c>
      <c r="AI330">
        <v>9</v>
      </c>
      <c r="AJ330">
        <v>0</v>
      </c>
      <c r="AK330">
        <v>4</v>
      </c>
      <c r="AL330" t="s">
        <v>240</v>
      </c>
      <c r="AM330" t="s">
        <v>241</v>
      </c>
      <c r="AN330" t="s">
        <v>242</v>
      </c>
      <c r="AO330" t="s">
        <v>2497</v>
      </c>
      <c r="AP330" t="s">
        <v>74</v>
      </c>
      <c r="AQ330" t="s">
        <v>3770</v>
      </c>
      <c r="AR330" t="s">
        <v>2499</v>
      </c>
      <c r="AS330" t="s">
        <v>74</v>
      </c>
      <c r="AT330" t="s">
        <v>74</v>
      </c>
      <c r="AU330">
        <v>2011</v>
      </c>
      <c r="AV330">
        <v>192</v>
      </c>
      <c r="AW330" t="s">
        <v>74</v>
      </c>
      <c r="AX330" t="s">
        <v>74</v>
      </c>
      <c r="AY330" t="s">
        <v>74</v>
      </c>
      <c r="AZ330" t="s">
        <v>74</v>
      </c>
      <c r="BA330" t="s">
        <v>74</v>
      </c>
      <c r="BB330">
        <v>27</v>
      </c>
      <c r="BC330">
        <v>44</v>
      </c>
      <c r="BD330" t="s">
        <v>74</v>
      </c>
      <c r="BE330" t="s">
        <v>6249</v>
      </c>
      <c r="BF330" t="str">
        <f>HYPERLINK("http://dx.doi.org/10.1029/2010GM000935","http://dx.doi.org/10.1029/2010GM000935")</f>
        <v>http://dx.doi.org/10.1029/2010GM000935</v>
      </c>
      <c r="BG330" t="s">
        <v>3772</v>
      </c>
      <c r="BH330" t="s">
        <v>74</v>
      </c>
      <c r="BI330">
        <v>18</v>
      </c>
      <c r="BJ330" t="s">
        <v>3773</v>
      </c>
      <c r="BK330" t="s">
        <v>2384</v>
      </c>
      <c r="BL330" t="s">
        <v>3774</v>
      </c>
      <c r="BM330" t="s">
        <v>3775</v>
      </c>
      <c r="BN330" t="s">
        <v>74</v>
      </c>
      <c r="BO330" t="s">
        <v>74</v>
      </c>
      <c r="BP330" t="s">
        <v>74</v>
      </c>
      <c r="BQ330" t="s">
        <v>74</v>
      </c>
      <c r="BR330" t="s">
        <v>103</v>
      </c>
      <c r="BS330" t="s">
        <v>6250</v>
      </c>
      <c r="BT330" t="str">
        <f>HYPERLINK("https%3A%2F%2Fwww.webofscience.com%2Fwos%2Fwoscc%2Ffull-record%2FWOS:000290418300003","View Full Record in Web of Science")</f>
        <v>View Full Record in Web of Science</v>
      </c>
    </row>
    <row r="331" spans="1:72" x14ac:dyDescent="0.15">
      <c r="A331" t="s">
        <v>2017</v>
      </c>
      <c r="B331" t="s">
        <v>6251</v>
      </c>
      <c r="C331" t="s">
        <v>3755</v>
      </c>
      <c r="D331" t="s">
        <v>3756</v>
      </c>
      <c r="E331" t="s">
        <v>74</v>
      </c>
      <c r="F331" t="s">
        <v>6252</v>
      </c>
      <c r="G331" t="s">
        <v>3755</v>
      </c>
      <c r="H331" t="s">
        <v>74</v>
      </c>
      <c r="I331" t="s">
        <v>6253</v>
      </c>
      <c r="J331" t="s">
        <v>3759</v>
      </c>
      <c r="K331" t="s">
        <v>2488</v>
      </c>
      <c r="L331" t="s">
        <v>74</v>
      </c>
      <c r="M331" t="s">
        <v>78</v>
      </c>
      <c r="N331" t="s">
        <v>2370</v>
      </c>
      <c r="O331" t="s">
        <v>74</v>
      </c>
      <c r="P331" t="s">
        <v>74</v>
      </c>
      <c r="Q331" t="s">
        <v>74</v>
      </c>
      <c r="R331" t="s">
        <v>74</v>
      </c>
      <c r="S331" t="s">
        <v>74</v>
      </c>
      <c r="T331" t="s">
        <v>74</v>
      </c>
      <c r="U331" t="s">
        <v>6254</v>
      </c>
      <c r="V331" t="s">
        <v>6255</v>
      </c>
      <c r="W331" t="s">
        <v>6256</v>
      </c>
      <c r="X331" t="s">
        <v>6257</v>
      </c>
      <c r="Y331" t="s">
        <v>6258</v>
      </c>
      <c r="Z331" t="s">
        <v>6259</v>
      </c>
      <c r="AA331" t="s">
        <v>6260</v>
      </c>
      <c r="AB331" t="s">
        <v>74</v>
      </c>
      <c r="AC331" t="s">
        <v>6261</v>
      </c>
      <c r="AD331" t="s">
        <v>3769</v>
      </c>
      <c r="AE331" t="s">
        <v>74</v>
      </c>
      <c r="AF331" t="s">
        <v>74</v>
      </c>
      <c r="AG331">
        <v>141</v>
      </c>
      <c r="AH331">
        <v>20</v>
      </c>
      <c r="AI331">
        <v>24</v>
      </c>
      <c r="AJ331">
        <v>0</v>
      </c>
      <c r="AK331">
        <v>42</v>
      </c>
      <c r="AL331" t="s">
        <v>240</v>
      </c>
      <c r="AM331" t="s">
        <v>241</v>
      </c>
      <c r="AN331" t="s">
        <v>242</v>
      </c>
      <c r="AO331" t="s">
        <v>2497</v>
      </c>
      <c r="AP331" t="s">
        <v>74</v>
      </c>
      <c r="AQ331" t="s">
        <v>3770</v>
      </c>
      <c r="AR331" t="s">
        <v>2499</v>
      </c>
      <c r="AS331" t="s">
        <v>74</v>
      </c>
      <c r="AT331" t="s">
        <v>74</v>
      </c>
      <c r="AU331">
        <v>2011</v>
      </c>
      <c r="AV331">
        <v>192</v>
      </c>
      <c r="AW331" t="s">
        <v>74</v>
      </c>
      <c r="AX331" t="s">
        <v>74</v>
      </c>
      <c r="AY331" t="s">
        <v>74</v>
      </c>
      <c r="AZ331" t="s">
        <v>74</v>
      </c>
      <c r="BA331" t="s">
        <v>74</v>
      </c>
      <c r="BB331">
        <v>61</v>
      </c>
      <c r="BC331">
        <v>81</v>
      </c>
      <c r="BD331" t="s">
        <v>74</v>
      </c>
      <c r="BE331" t="s">
        <v>6262</v>
      </c>
      <c r="BF331" t="str">
        <f>HYPERLINK("http://dx.doi.org/10.1029/2010GM000995","http://dx.doi.org/10.1029/2010GM000995")</f>
        <v>http://dx.doi.org/10.1029/2010GM000995</v>
      </c>
      <c r="BG331" t="s">
        <v>3772</v>
      </c>
      <c r="BH331" t="s">
        <v>74</v>
      </c>
      <c r="BI331">
        <v>21</v>
      </c>
      <c r="BJ331" t="s">
        <v>3773</v>
      </c>
      <c r="BK331" t="s">
        <v>2384</v>
      </c>
      <c r="BL331" t="s">
        <v>3774</v>
      </c>
      <c r="BM331" t="s">
        <v>3775</v>
      </c>
      <c r="BN331" t="s">
        <v>74</v>
      </c>
      <c r="BO331" t="s">
        <v>74</v>
      </c>
      <c r="BP331" t="s">
        <v>74</v>
      </c>
      <c r="BQ331" t="s">
        <v>74</v>
      </c>
      <c r="BR331" t="s">
        <v>103</v>
      </c>
      <c r="BS331" t="s">
        <v>6263</v>
      </c>
      <c r="BT331" t="str">
        <f>HYPERLINK("https%3A%2F%2Fwww.webofscience.com%2Fwos%2Fwoscc%2Ffull-record%2FWOS:000290418300005","View Full Record in Web of Science")</f>
        <v>View Full Record in Web of Science</v>
      </c>
    </row>
    <row r="332" spans="1:72" x14ac:dyDescent="0.15">
      <c r="A332" t="s">
        <v>2017</v>
      </c>
      <c r="B332" t="s">
        <v>6264</v>
      </c>
      <c r="C332" t="s">
        <v>3755</v>
      </c>
      <c r="D332" t="s">
        <v>3756</v>
      </c>
      <c r="E332" t="s">
        <v>74</v>
      </c>
      <c r="F332" t="s">
        <v>6265</v>
      </c>
      <c r="G332" t="s">
        <v>3755</v>
      </c>
      <c r="H332" t="s">
        <v>74</v>
      </c>
      <c r="I332" t="s">
        <v>6266</v>
      </c>
      <c r="J332" t="s">
        <v>3759</v>
      </c>
      <c r="K332" t="s">
        <v>2488</v>
      </c>
      <c r="L332" t="s">
        <v>74</v>
      </c>
      <c r="M332" t="s">
        <v>78</v>
      </c>
      <c r="N332" t="s">
        <v>2370</v>
      </c>
      <c r="O332" t="s">
        <v>74</v>
      </c>
      <c r="P332" t="s">
        <v>74</v>
      </c>
      <c r="Q332" t="s">
        <v>74</v>
      </c>
      <c r="R332" t="s">
        <v>74</v>
      </c>
      <c r="S332" t="s">
        <v>74</v>
      </c>
      <c r="T332" t="s">
        <v>74</v>
      </c>
      <c r="U332" t="s">
        <v>6267</v>
      </c>
      <c r="V332" t="s">
        <v>6268</v>
      </c>
      <c r="W332" t="s">
        <v>6269</v>
      </c>
      <c r="X332" t="s">
        <v>6270</v>
      </c>
      <c r="Y332" t="s">
        <v>6271</v>
      </c>
      <c r="Z332" t="s">
        <v>74</v>
      </c>
      <c r="AA332" t="s">
        <v>6272</v>
      </c>
      <c r="AB332" t="s">
        <v>6273</v>
      </c>
      <c r="AC332" t="s">
        <v>6274</v>
      </c>
      <c r="AD332" t="s">
        <v>6275</v>
      </c>
      <c r="AE332" t="s">
        <v>74</v>
      </c>
      <c r="AF332" t="s">
        <v>74</v>
      </c>
      <c r="AG332">
        <v>143</v>
      </c>
      <c r="AH332">
        <v>24</v>
      </c>
      <c r="AI332">
        <v>25</v>
      </c>
      <c r="AJ332">
        <v>0</v>
      </c>
      <c r="AK332">
        <v>11</v>
      </c>
      <c r="AL332" t="s">
        <v>240</v>
      </c>
      <c r="AM332" t="s">
        <v>241</v>
      </c>
      <c r="AN332" t="s">
        <v>242</v>
      </c>
      <c r="AO332" t="s">
        <v>2497</v>
      </c>
      <c r="AP332" t="s">
        <v>74</v>
      </c>
      <c r="AQ332" t="s">
        <v>3770</v>
      </c>
      <c r="AR332" t="s">
        <v>2499</v>
      </c>
      <c r="AS332" t="s">
        <v>74</v>
      </c>
      <c r="AT332" t="s">
        <v>74</v>
      </c>
      <c r="AU332">
        <v>2011</v>
      </c>
      <c r="AV332">
        <v>192</v>
      </c>
      <c r="AW332" t="s">
        <v>74</v>
      </c>
      <c r="AX332" t="s">
        <v>74</v>
      </c>
      <c r="AY332" t="s">
        <v>74</v>
      </c>
      <c r="AZ332" t="s">
        <v>74</v>
      </c>
      <c r="BA332" t="s">
        <v>74</v>
      </c>
      <c r="BB332">
        <v>83</v>
      </c>
      <c r="BC332">
        <v>110</v>
      </c>
      <c r="BD332" t="s">
        <v>74</v>
      </c>
      <c r="BE332" t="s">
        <v>6276</v>
      </c>
      <c r="BF332" t="str">
        <f>HYPERLINK("http://dx.doi.org/10.1029/2010GM000940","http://dx.doi.org/10.1029/2010GM000940")</f>
        <v>http://dx.doi.org/10.1029/2010GM000940</v>
      </c>
      <c r="BG332" t="s">
        <v>3772</v>
      </c>
      <c r="BH332" t="s">
        <v>74</v>
      </c>
      <c r="BI332">
        <v>28</v>
      </c>
      <c r="BJ332" t="s">
        <v>3773</v>
      </c>
      <c r="BK332" t="s">
        <v>2384</v>
      </c>
      <c r="BL332" t="s">
        <v>3774</v>
      </c>
      <c r="BM332" t="s">
        <v>3775</v>
      </c>
      <c r="BN332" t="s">
        <v>74</v>
      </c>
      <c r="BO332" t="s">
        <v>74</v>
      </c>
      <c r="BP332" t="s">
        <v>74</v>
      </c>
      <c r="BQ332" t="s">
        <v>74</v>
      </c>
      <c r="BR332" t="s">
        <v>103</v>
      </c>
      <c r="BS332" t="s">
        <v>6277</v>
      </c>
      <c r="BT332" t="str">
        <f>HYPERLINK("https%3A%2F%2Fwww.webofscience.com%2Fwos%2Fwoscc%2Ffull-record%2FWOS:000290418300006","View Full Record in Web of Science")</f>
        <v>View Full Record in Web of Science</v>
      </c>
    </row>
    <row r="333" spans="1:72" x14ac:dyDescent="0.15">
      <c r="A333" t="s">
        <v>2017</v>
      </c>
      <c r="B333" t="s">
        <v>6278</v>
      </c>
      <c r="C333" t="s">
        <v>3755</v>
      </c>
      <c r="D333" t="s">
        <v>3756</v>
      </c>
      <c r="E333" t="s">
        <v>74</v>
      </c>
      <c r="F333" t="s">
        <v>6279</v>
      </c>
      <c r="G333" t="s">
        <v>3755</v>
      </c>
      <c r="H333" t="s">
        <v>74</v>
      </c>
      <c r="I333" t="s">
        <v>6280</v>
      </c>
      <c r="J333" t="s">
        <v>3759</v>
      </c>
      <c r="K333" t="s">
        <v>2488</v>
      </c>
      <c r="L333" t="s">
        <v>74</v>
      </c>
      <c r="M333" t="s">
        <v>78</v>
      </c>
      <c r="N333" t="s">
        <v>2370</v>
      </c>
      <c r="O333" t="s">
        <v>74</v>
      </c>
      <c r="P333" t="s">
        <v>74</v>
      </c>
      <c r="Q333" t="s">
        <v>74</v>
      </c>
      <c r="R333" t="s">
        <v>74</v>
      </c>
      <c r="S333" t="s">
        <v>74</v>
      </c>
      <c r="T333" t="s">
        <v>74</v>
      </c>
      <c r="U333" t="s">
        <v>6281</v>
      </c>
      <c r="V333" t="s">
        <v>6282</v>
      </c>
      <c r="W333" t="s">
        <v>6283</v>
      </c>
      <c r="X333" t="s">
        <v>6284</v>
      </c>
      <c r="Y333" t="s">
        <v>6285</v>
      </c>
      <c r="Z333" t="s">
        <v>6286</v>
      </c>
      <c r="AA333" t="s">
        <v>6287</v>
      </c>
      <c r="AB333" t="s">
        <v>6288</v>
      </c>
      <c r="AC333" t="s">
        <v>6289</v>
      </c>
      <c r="AD333" t="s">
        <v>6290</v>
      </c>
      <c r="AE333" t="s">
        <v>74</v>
      </c>
      <c r="AF333" t="s">
        <v>74</v>
      </c>
      <c r="AG333">
        <v>158</v>
      </c>
      <c r="AH333">
        <v>14</v>
      </c>
      <c r="AI333">
        <v>15</v>
      </c>
      <c r="AJ333">
        <v>0</v>
      </c>
      <c r="AK333">
        <v>16</v>
      </c>
      <c r="AL333" t="s">
        <v>240</v>
      </c>
      <c r="AM333" t="s">
        <v>241</v>
      </c>
      <c r="AN333" t="s">
        <v>242</v>
      </c>
      <c r="AO333" t="s">
        <v>2497</v>
      </c>
      <c r="AP333" t="s">
        <v>74</v>
      </c>
      <c r="AQ333" t="s">
        <v>3770</v>
      </c>
      <c r="AR333" t="s">
        <v>2499</v>
      </c>
      <c r="AS333" t="s">
        <v>74</v>
      </c>
      <c r="AT333" t="s">
        <v>74</v>
      </c>
      <c r="AU333">
        <v>2011</v>
      </c>
      <c r="AV333">
        <v>192</v>
      </c>
      <c r="AW333" t="s">
        <v>74</v>
      </c>
      <c r="AX333" t="s">
        <v>74</v>
      </c>
      <c r="AY333" t="s">
        <v>74</v>
      </c>
      <c r="AZ333" t="s">
        <v>74</v>
      </c>
      <c r="BA333" t="s">
        <v>74</v>
      </c>
      <c r="BB333">
        <v>129</v>
      </c>
      <c r="BC333">
        <v>148</v>
      </c>
      <c r="BD333" t="s">
        <v>74</v>
      </c>
      <c r="BE333" t="s">
        <v>6291</v>
      </c>
      <c r="BF333" t="str">
        <f>HYPERLINK("http://dx.doi.org/10.1029/2010GM000939","http://dx.doi.org/10.1029/2010GM000939")</f>
        <v>http://dx.doi.org/10.1029/2010GM000939</v>
      </c>
      <c r="BG333" t="s">
        <v>3772</v>
      </c>
      <c r="BH333" t="s">
        <v>74</v>
      </c>
      <c r="BI333">
        <v>20</v>
      </c>
      <c r="BJ333" t="s">
        <v>3773</v>
      </c>
      <c r="BK333" t="s">
        <v>2384</v>
      </c>
      <c r="BL333" t="s">
        <v>3774</v>
      </c>
      <c r="BM333" t="s">
        <v>3775</v>
      </c>
      <c r="BN333" t="s">
        <v>74</v>
      </c>
      <c r="BO333" t="s">
        <v>74</v>
      </c>
      <c r="BP333" t="s">
        <v>74</v>
      </c>
      <c r="BQ333" t="s">
        <v>74</v>
      </c>
      <c r="BR333" t="s">
        <v>103</v>
      </c>
      <c r="BS333" t="s">
        <v>6292</v>
      </c>
      <c r="BT333" t="str">
        <f>HYPERLINK("https%3A%2F%2Fwww.webofscience.com%2Fwos%2Fwoscc%2Ffull-record%2FWOS:000290418300008","View Full Record in Web of Science")</f>
        <v>View Full Record in Web of Science</v>
      </c>
    </row>
    <row r="334" spans="1:72" x14ac:dyDescent="0.15">
      <c r="A334" t="s">
        <v>2017</v>
      </c>
      <c r="B334" t="s">
        <v>6293</v>
      </c>
      <c r="C334" t="s">
        <v>3755</v>
      </c>
      <c r="D334" t="s">
        <v>3756</v>
      </c>
      <c r="E334" t="s">
        <v>74</v>
      </c>
      <c r="F334" t="s">
        <v>6294</v>
      </c>
      <c r="G334" t="s">
        <v>3755</v>
      </c>
      <c r="H334" t="s">
        <v>74</v>
      </c>
      <c r="I334" t="s">
        <v>6295</v>
      </c>
      <c r="J334" t="s">
        <v>3759</v>
      </c>
      <c r="K334" t="s">
        <v>2488</v>
      </c>
      <c r="L334" t="s">
        <v>74</v>
      </c>
      <c r="M334" t="s">
        <v>78</v>
      </c>
      <c r="N334" t="s">
        <v>2370</v>
      </c>
      <c r="O334" t="s">
        <v>74</v>
      </c>
      <c r="P334" t="s">
        <v>74</v>
      </c>
      <c r="Q334" t="s">
        <v>74</v>
      </c>
      <c r="R334" t="s">
        <v>74</v>
      </c>
      <c r="S334" t="s">
        <v>74</v>
      </c>
      <c r="T334" t="s">
        <v>74</v>
      </c>
      <c r="U334" t="s">
        <v>6296</v>
      </c>
      <c r="V334" t="s">
        <v>6297</v>
      </c>
      <c r="W334" t="s">
        <v>6298</v>
      </c>
      <c r="X334" t="s">
        <v>6299</v>
      </c>
      <c r="Y334" t="s">
        <v>6300</v>
      </c>
      <c r="Z334" t="s">
        <v>6301</v>
      </c>
      <c r="AA334" t="s">
        <v>6302</v>
      </c>
      <c r="AB334" t="s">
        <v>6303</v>
      </c>
      <c r="AC334" t="s">
        <v>6304</v>
      </c>
      <c r="AD334" t="s">
        <v>3769</v>
      </c>
      <c r="AE334" t="s">
        <v>74</v>
      </c>
      <c r="AF334" t="s">
        <v>74</v>
      </c>
      <c r="AG334">
        <v>182</v>
      </c>
      <c r="AH334">
        <v>11</v>
      </c>
      <c r="AI334">
        <v>11</v>
      </c>
      <c r="AJ334">
        <v>0</v>
      </c>
      <c r="AK334">
        <v>11</v>
      </c>
      <c r="AL334" t="s">
        <v>240</v>
      </c>
      <c r="AM334" t="s">
        <v>241</v>
      </c>
      <c r="AN334" t="s">
        <v>242</v>
      </c>
      <c r="AO334" t="s">
        <v>2497</v>
      </c>
      <c r="AP334" t="s">
        <v>74</v>
      </c>
      <c r="AQ334" t="s">
        <v>3770</v>
      </c>
      <c r="AR334" t="s">
        <v>2499</v>
      </c>
      <c r="AS334" t="s">
        <v>74</v>
      </c>
      <c r="AT334" t="s">
        <v>74</v>
      </c>
      <c r="AU334">
        <v>2011</v>
      </c>
      <c r="AV334">
        <v>192</v>
      </c>
      <c r="AW334" t="s">
        <v>74</v>
      </c>
      <c r="AX334" t="s">
        <v>74</v>
      </c>
      <c r="AY334" t="s">
        <v>74</v>
      </c>
      <c r="AZ334" t="s">
        <v>74</v>
      </c>
      <c r="BA334" t="s">
        <v>74</v>
      </c>
      <c r="BB334">
        <v>159</v>
      </c>
      <c r="BC334">
        <v>186</v>
      </c>
      <c r="BD334" t="s">
        <v>74</v>
      </c>
      <c r="BE334" t="s">
        <v>6305</v>
      </c>
      <c r="BF334" t="str">
        <f>HYPERLINK("http://dx.doi.org/10.1029/2010GM001013","http://dx.doi.org/10.1029/2010GM001013")</f>
        <v>http://dx.doi.org/10.1029/2010GM001013</v>
      </c>
      <c r="BG334" t="s">
        <v>3772</v>
      </c>
      <c r="BH334" t="s">
        <v>74</v>
      </c>
      <c r="BI334">
        <v>28</v>
      </c>
      <c r="BJ334" t="s">
        <v>3773</v>
      </c>
      <c r="BK334" t="s">
        <v>2384</v>
      </c>
      <c r="BL334" t="s">
        <v>3774</v>
      </c>
      <c r="BM334" t="s">
        <v>3775</v>
      </c>
      <c r="BN334" t="s">
        <v>74</v>
      </c>
      <c r="BO334" t="s">
        <v>74</v>
      </c>
      <c r="BP334" t="s">
        <v>74</v>
      </c>
      <c r="BQ334" t="s">
        <v>74</v>
      </c>
      <c r="BR334" t="s">
        <v>103</v>
      </c>
      <c r="BS334" t="s">
        <v>6306</v>
      </c>
      <c r="BT334" t="str">
        <f>HYPERLINK("https%3A%2F%2Fwww.webofscience.com%2Fwos%2Fwoscc%2Ffull-record%2FWOS:000290418300010","View Full Record in Web of Science")</f>
        <v>View Full Record in Web of Science</v>
      </c>
    </row>
    <row r="335" spans="1:72" x14ac:dyDescent="0.15">
      <c r="A335" t="s">
        <v>2017</v>
      </c>
      <c r="B335" t="s">
        <v>6307</v>
      </c>
      <c r="C335" t="s">
        <v>3755</v>
      </c>
      <c r="D335" t="s">
        <v>3756</v>
      </c>
      <c r="E335" t="s">
        <v>74</v>
      </c>
      <c r="F335" t="s">
        <v>6308</v>
      </c>
      <c r="G335" t="s">
        <v>3755</v>
      </c>
      <c r="H335" t="s">
        <v>74</v>
      </c>
      <c r="I335" t="s">
        <v>6309</v>
      </c>
      <c r="J335" t="s">
        <v>3759</v>
      </c>
      <c r="K335" t="s">
        <v>6310</v>
      </c>
      <c r="L335" t="s">
        <v>74</v>
      </c>
      <c r="M335" t="s">
        <v>78</v>
      </c>
      <c r="N335" t="s">
        <v>2370</v>
      </c>
      <c r="O335" t="s">
        <v>74</v>
      </c>
      <c r="P335" t="s">
        <v>74</v>
      </c>
      <c r="Q335" t="s">
        <v>74</v>
      </c>
      <c r="R335" t="s">
        <v>74</v>
      </c>
      <c r="S335" t="s">
        <v>74</v>
      </c>
      <c r="T335" t="s">
        <v>74</v>
      </c>
      <c r="U335" t="s">
        <v>6311</v>
      </c>
      <c r="V335" t="s">
        <v>6312</v>
      </c>
      <c r="W335" t="s">
        <v>6313</v>
      </c>
      <c r="X335" t="s">
        <v>6314</v>
      </c>
      <c r="Y335" t="s">
        <v>6315</v>
      </c>
      <c r="Z335" t="s">
        <v>6316</v>
      </c>
      <c r="AA335" t="s">
        <v>6317</v>
      </c>
      <c r="AB335" t="s">
        <v>6318</v>
      </c>
      <c r="AC335" t="s">
        <v>74</v>
      </c>
      <c r="AD335" t="s">
        <v>74</v>
      </c>
      <c r="AE335" t="s">
        <v>74</v>
      </c>
      <c r="AF335" t="s">
        <v>74</v>
      </c>
      <c r="AG335">
        <v>21</v>
      </c>
      <c r="AH335">
        <v>19</v>
      </c>
      <c r="AI335">
        <v>19</v>
      </c>
      <c r="AJ335">
        <v>0</v>
      </c>
      <c r="AK335">
        <v>12</v>
      </c>
      <c r="AL335" t="s">
        <v>240</v>
      </c>
      <c r="AM335" t="s">
        <v>241</v>
      </c>
      <c r="AN335" t="s">
        <v>242</v>
      </c>
      <c r="AO335" t="s">
        <v>2497</v>
      </c>
      <c r="AP335" t="s">
        <v>74</v>
      </c>
      <c r="AQ335" t="s">
        <v>3770</v>
      </c>
      <c r="AR335" t="s">
        <v>2499</v>
      </c>
      <c r="AS335" t="s">
        <v>74</v>
      </c>
      <c r="AT335" t="s">
        <v>74</v>
      </c>
      <c r="AU335">
        <v>2011</v>
      </c>
      <c r="AV335">
        <v>192</v>
      </c>
      <c r="AW335" t="s">
        <v>74</v>
      </c>
      <c r="AX335" t="s">
        <v>74</v>
      </c>
      <c r="AY335" t="s">
        <v>74</v>
      </c>
      <c r="AZ335" t="s">
        <v>74</v>
      </c>
      <c r="BA335" t="s">
        <v>74</v>
      </c>
      <c r="BB335">
        <v>187</v>
      </c>
      <c r="BC335">
        <v>197</v>
      </c>
      <c r="BD335" t="s">
        <v>74</v>
      </c>
      <c r="BE335" t="s">
        <v>6319</v>
      </c>
      <c r="BF335" t="str">
        <f>HYPERLINK("http://dx.doi.org/10.1029/2010GM000951","http://dx.doi.org/10.1029/2010GM000951")</f>
        <v>http://dx.doi.org/10.1029/2010GM000951</v>
      </c>
      <c r="BG335" t="s">
        <v>3772</v>
      </c>
      <c r="BH335" t="s">
        <v>74</v>
      </c>
      <c r="BI335">
        <v>11</v>
      </c>
      <c r="BJ335" t="s">
        <v>3773</v>
      </c>
      <c r="BK335" t="s">
        <v>2384</v>
      </c>
      <c r="BL335" t="s">
        <v>3774</v>
      </c>
      <c r="BM335" t="s">
        <v>3775</v>
      </c>
      <c r="BN335" t="s">
        <v>74</v>
      </c>
      <c r="BO335" t="s">
        <v>74</v>
      </c>
      <c r="BP335" t="s">
        <v>74</v>
      </c>
      <c r="BQ335" t="s">
        <v>74</v>
      </c>
      <c r="BR335" t="s">
        <v>103</v>
      </c>
      <c r="BS335" t="s">
        <v>6320</v>
      </c>
      <c r="BT335" t="str">
        <f>HYPERLINK("https%3A%2F%2Fwww.webofscience.com%2Fwos%2Fwoscc%2Ffull-record%2FWOS:000290418300011","View Full Record in Web of Science")</f>
        <v>View Full Record in Web of Science</v>
      </c>
    </row>
    <row r="336" spans="1:72" x14ac:dyDescent="0.15">
      <c r="A336" t="s">
        <v>2017</v>
      </c>
      <c r="B336" t="s">
        <v>6321</v>
      </c>
      <c r="C336" t="s">
        <v>3755</v>
      </c>
      <c r="D336" t="s">
        <v>3756</v>
      </c>
      <c r="E336" t="s">
        <v>74</v>
      </c>
      <c r="F336" t="s">
        <v>6322</v>
      </c>
      <c r="G336" t="s">
        <v>3755</v>
      </c>
      <c r="H336" t="s">
        <v>74</v>
      </c>
      <c r="I336" t="s">
        <v>6323</v>
      </c>
      <c r="J336" t="s">
        <v>3759</v>
      </c>
      <c r="K336" t="s">
        <v>2488</v>
      </c>
      <c r="L336" t="s">
        <v>74</v>
      </c>
      <c r="M336" t="s">
        <v>78</v>
      </c>
      <c r="N336" t="s">
        <v>2370</v>
      </c>
      <c r="O336" t="s">
        <v>74</v>
      </c>
      <c r="P336" t="s">
        <v>74</v>
      </c>
      <c r="Q336" t="s">
        <v>74</v>
      </c>
      <c r="R336" t="s">
        <v>74</v>
      </c>
      <c r="S336" t="s">
        <v>74</v>
      </c>
      <c r="T336" t="s">
        <v>74</v>
      </c>
      <c r="U336" t="s">
        <v>6324</v>
      </c>
      <c r="V336" t="s">
        <v>6325</v>
      </c>
      <c r="W336" t="s">
        <v>6326</v>
      </c>
      <c r="X336" t="s">
        <v>6327</v>
      </c>
      <c r="Y336" t="s">
        <v>6328</v>
      </c>
      <c r="Z336" t="s">
        <v>6329</v>
      </c>
      <c r="AA336" t="s">
        <v>6330</v>
      </c>
      <c r="AB336" t="s">
        <v>6331</v>
      </c>
      <c r="AC336" t="s">
        <v>6332</v>
      </c>
      <c r="AD336" t="s">
        <v>2666</v>
      </c>
      <c r="AE336" t="s">
        <v>74</v>
      </c>
      <c r="AF336" t="s">
        <v>74</v>
      </c>
      <c r="AG336">
        <v>85</v>
      </c>
      <c r="AH336">
        <v>34</v>
      </c>
      <c r="AI336">
        <v>35</v>
      </c>
      <c r="AJ336">
        <v>0</v>
      </c>
      <c r="AK336">
        <v>20</v>
      </c>
      <c r="AL336" t="s">
        <v>240</v>
      </c>
      <c r="AM336" t="s">
        <v>241</v>
      </c>
      <c r="AN336" t="s">
        <v>242</v>
      </c>
      <c r="AO336" t="s">
        <v>2497</v>
      </c>
      <c r="AP336" t="s">
        <v>74</v>
      </c>
      <c r="AQ336" t="s">
        <v>3770</v>
      </c>
      <c r="AR336" t="s">
        <v>2499</v>
      </c>
      <c r="AS336" t="s">
        <v>74</v>
      </c>
      <c r="AT336" t="s">
        <v>74</v>
      </c>
      <c r="AU336">
        <v>2011</v>
      </c>
      <c r="AV336">
        <v>192</v>
      </c>
      <c r="AW336" t="s">
        <v>74</v>
      </c>
      <c r="AX336" t="s">
        <v>74</v>
      </c>
      <c r="AY336" t="s">
        <v>74</v>
      </c>
      <c r="AZ336" t="s">
        <v>74</v>
      </c>
      <c r="BA336" t="s">
        <v>74</v>
      </c>
      <c r="BB336">
        <v>199</v>
      </c>
      <c r="BC336">
        <v>219</v>
      </c>
      <c r="BD336" t="s">
        <v>74</v>
      </c>
      <c r="BE336" t="s">
        <v>6333</v>
      </c>
      <c r="BF336" t="str">
        <f>HYPERLINK("http://dx.doi.org/10.1029/2010GM000932","http://dx.doi.org/10.1029/2010GM000932")</f>
        <v>http://dx.doi.org/10.1029/2010GM000932</v>
      </c>
      <c r="BG336" t="s">
        <v>3772</v>
      </c>
      <c r="BH336" t="s">
        <v>74</v>
      </c>
      <c r="BI336">
        <v>21</v>
      </c>
      <c r="BJ336" t="s">
        <v>3773</v>
      </c>
      <c r="BK336" t="s">
        <v>2384</v>
      </c>
      <c r="BL336" t="s">
        <v>3774</v>
      </c>
      <c r="BM336" t="s">
        <v>3775</v>
      </c>
      <c r="BN336" t="s">
        <v>74</v>
      </c>
      <c r="BO336" t="s">
        <v>74</v>
      </c>
      <c r="BP336" t="s">
        <v>74</v>
      </c>
      <c r="BQ336" t="s">
        <v>74</v>
      </c>
      <c r="BR336" t="s">
        <v>103</v>
      </c>
      <c r="BS336" t="s">
        <v>6334</v>
      </c>
      <c r="BT336" t="str">
        <f>HYPERLINK("https%3A%2F%2Fwww.webofscience.com%2Fwos%2Fwoscc%2Ffull-record%2FWOS:000290418300012","View Full Record in Web of Science")</f>
        <v>View Full Record in Web of Science</v>
      </c>
    </row>
    <row r="337" spans="1:72" x14ac:dyDescent="0.15">
      <c r="A337" t="s">
        <v>2017</v>
      </c>
      <c r="B337" t="s">
        <v>6335</v>
      </c>
      <c r="C337" t="s">
        <v>3755</v>
      </c>
      <c r="D337" t="s">
        <v>3756</v>
      </c>
      <c r="E337" t="s">
        <v>74</v>
      </c>
      <c r="F337" t="s">
        <v>6336</v>
      </c>
      <c r="G337" t="s">
        <v>3755</v>
      </c>
      <c r="H337" t="s">
        <v>74</v>
      </c>
      <c r="I337" t="s">
        <v>6337</v>
      </c>
      <c r="J337" t="s">
        <v>3759</v>
      </c>
      <c r="K337" t="s">
        <v>2488</v>
      </c>
      <c r="L337" t="s">
        <v>74</v>
      </c>
      <c r="M337" t="s">
        <v>78</v>
      </c>
      <c r="N337" t="s">
        <v>2370</v>
      </c>
      <c r="O337" t="s">
        <v>74</v>
      </c>
      <c r="P337" t="s">
        <v>74</v>
      </c>
      <c r="Q337" t="s">
        <v>74</v>
      </c>
      <c r="R337" t="s">
        <v>74</v>
      </c>
      <c r="S337" t="s">
        <v>74</v>
      </c>
      <c r="T337" t="s">
        <v>74</v>
      </c>
      <c r="U337" t="s">
        <v>6338</v>
      </c>
      <c r="V337" t="s">
        <v>6339</v>
      </c>
      <c r="W337" t="s">
        <v>6340</v>
      </c>
      <c r="X337" t="s">
        <v>6341</v>
      </c>
      <c r="Y337" t="s">
        <v>6342</v>
      </c>
      <c r="Z337" t="s">
        <v>6343</v>
      </c>
      <c r="AA337" t="s">
        <v>6344</v>
      </c>
      <c r="AB337" t="s">
        <v>6345</v>
      </c>
      <c r="AC337" t="s">
        <v>6346</v>
      </c>
      <c r="AD337" t="s">
        <v>3769</v>
      </c>
      <c r="AE337" t="s">
        <v>74</v>
      </c>
      <c r="AF337" t="s">
        <v>74</v>
      </c>
      <c r="AG337">
        <v>25</v>
      </c>
      <c r="AH337">
        <v>12</v>
      </c>
      <c r="AI337">
        <v>13</v>
      </c>
      <c r="AJ337">
        <v>2</v>
      </c>
      <c r="AK337">
        <v>8</v>
      </c>
      <c r="AL337" t="s">
        <v>240</v>
      </c>
      <c r="AM337" t="s">
        <v>241</v>
      </c>
      <c r="AN337" t="s">
        <v>242</v>
      </c>
      <c r="AO337" t="s">
        <v>2497</v>
      </c>
      <c r="AP337" t="s">
        <v>74</v>
      </c>
      <c r="AQ337" t="s">
        <v>3770</v>
      </c>
      <c r="AR337" t="s">
        <v>2499</v>
      </c>
      <c r="AS337" t="s">
        <v>74</v>
      </c>
      <c r="AT337" t="s">
        <v>74</v>
      </c>
      <c r="AU337">
        <v>2011</v>
      </c>
      <c r="AV337">
        <v>192</v>
      </c>
      <c r="AW337" t="s">
        <v>74</v>
      </c>
      <c r="AX337" t="s">
        <v>74</v>
      </c>
      <c r="AY337" t="s">
        <v>74</v>
      </c>
      <c r="AZ337" t="s">
        <v>74</v>
      </c>
      <c r="BA337" t="s">
        <v>74</v>
      </c>
      <c r="BB337">
        <v>221</v>
      </c>
      <c r="BC337">
        <v>233</v>
      </c>
      <c r="BD337" t="s">
        <v>74</v>
      </c>
      <c r="BE337" t="s">
        <v>6347</v>
      </c>
      <c r="BF337" t="str">
        <f>HYPERLINK("http://dx.doi.org/10.1029/2010GM000936","http://dx.doi.org/10.1029/2010GM000936")</f>
        <v>http://dx.doi.org/10.1029/2010GM000936</v>
      </c>
      <c r="BG337" t="s">
        <v>3772</v>
      </c>
      <c r="BH337" t="s">
        <v>74</v>
      </c>
      <c r="BI337">
        <v>13</v>
      </c>
      <c r="BJ337" t="s">
        <v>3773</v>
      </c>
      <c r="BK337" t="s">
        <v>2384</v>
      </c>
      <c r="BL337" t="s">
        <v>3774</v>
      </c>
      <c r="BM337" t="s">
        <v>3775</v>
      </c>
      <c r="BN337" t="s">
        <v>74</v>
      </c>
      <c r="BO337" t="s">
        <v>74</v>
      </c>
      <c r="BP337" t="s">
        <v>74</v>
      </c>
      <c r="BQ337" t="s">
        <v>74</v>
      </c>
      <c r="BR337" t="s">
        <v>103</v>
      </c>
      <c r="BS337" t="s">
        <v>6348</v>
      </c>
      <c r="BT337" t="str">
        <f>HYPERLINK("https%3A%2F%2Fwww.webofscience.com%2Fwos%2Fwoscc%2Ffull-record%2FWOS:000290418300013","View Full Record in Web of Science")</f>
        <v>View Full Record in Web of Science</v>
      </c>
    </row>
    <row r="338" spans="1:72" x14ac:dyDescent="0.15">
      <c r="A338" t="s">
        <v>72</v>
      </c>
      <c r="B338" t="s">
        <v>6349</v>
      </c>
      <c r="C338" t="s">
        <v>74</v>
      </c>
      <c r="D338" t="s">
        <v>74</v>
      </c>
      <c r="E338" t="s">
        <v>74</v>
      </c>
      <c r="F338" t="s">
        <v>6350</v>
      </c>
      <c r="G338" t="s">
        <v>74</v>
      </c>
      <c r="H338" t="s">
        <v>74</v>
      </c>
      <c r="I338" t="s">
        <v>6351</v>
      </c>
      <c r="J338" t="s">
        <v>6352</v>
      </c>
      <c r="K338" t="s">
        <v>74</v>
      </c>
      <c r="L338" t="s">
        <v>74</v>
      </c>
      <c r="M338" t="s">
        <v>78</v>
      </c>
      <c r="N338" t="s">
        <v>79</v>
      </c>
      <c r="O338" t="s">
        <v>74</v>
      </c>
      <c r="P338" t="s">
        <v>74</v>
      </c>
      <c r="Q338" t="s">
        <v>74</v>
      </c>
      <c r="R338" t="s">
        <v>74</v>
      </c>
      <c r="S338" t="s">
        <v>74</v>
      </c>
      <c r="T338" t="s">
        <v>6353</v>
      </c>
      <c r="U338" t="s">
        <v>6354</v>
      </c>
      <c r="V338" t="s">
        <v>6355</v>
      </c>
      <c r="W338" t="s">
        <v>6356</v>
      </c>
      <c r="X338" t="s">
        <v>6357</v>
      </c>
      <c r="Y338" t="s">
        <v>6358</v>
      </c>
      <c r="Z338" t="s">
        <v>6359</v>
      </c>
      <c r="AA338" t="s">
        <v>74</v>
      </c>
      <c r="AB338" t="s">
        <v>74</v>
      </c>
      <c r="AC338" t="s">
        <v>74</v>
      </c>
      <c r="AD338" t="s">
        <v>74</v>
      </c>
      <c r="AE338" t="s">
        <v>74</v>
      </c>
      <c r="AF338" t="s">
        <v>74</v>
      </c>
      <c r="AG338">
        <v>60</v>
      </c>
      <c r="AH338">
        <v>98</v>
      </c>
      <c r="AI338">
        <v>106</v>
      </c>
      <c r="AJ338">
        <v>0</v>
      </c>
      <c r="AK338">
        <v>84</v>
      </c>
      <c r="AL338" t="s">
        <v>3232</v>
      </c>
      <c r="AM338" t="s">
        <v>3233</v>
      </c>
      <c r="AN338" t="s">
        <v>3234</v>
      </c>
      <c r="AO338" t="s">
        <v>6360</v>
      </c>
      <c r="AP338" t="s">
        <v>6361</v>
      </c>
      <c r="AQ338" t="s">
        <v>74</v>
      </c>
      <c r="AR338" t="s">
        <v>6362</v>
      </c>
      <c r="AS338" t="s">
        <v>6363</v>
      </c>
      <c r="AT338" t="s">
        <v>74</v>
      </c>
      <c r="AU338">
        <v>2011</v>
      </c>
      <c r="AV338">
        <v>1</v>
      </c>
      <c r="AW338">
        <v>3</v>
      </c>
      <c r="AX338" t="s">
        <v>74</v>
      </c>
      <c r="AY338" t="s">
        <v>74</v>
      </c>
      <c r="AZ338" t="s">
        <v>74</v>
      </c>
      <c r="BA338" t="s">
        <v>74</v>
      </c>
      <c r="BB338">
        <v>187</v>
      </c>
      <c r="BC338">
        <v>200</v>
      </c>
      <c r="BD338" t="s">
        <v>74</v>
      </c>
      <c r="BE338" t="s">
        <v>6364</v>
      </c>
      <c r="BF338" t="str">
        <f>HYPERLINK("http://dx.doi.org/10.3354/aei00019","http://dx.doi.org/10.3354/aei00019")</f>
        <v>http://dx.doi.org/10.3354/aei00019</v>
      </c>
      <c r="BG338" t="s">
        <v>74</v>
      </c>
      <c r="BH338" t="s">
        <v>74</v>
      </c>
      <c r="BI338">
        <v>14</v>
      </c>
      <c r="BJ338" t="s">
        <v>6365</v>
      </c>
      <c r="BK338" t="s">
        <v>100</v>
      </c>
      <c r="BL338" t="s">
        <v>6365</v>
      </c>
      <c r="BM338" t="s">
        <v>6366</v>
      </c>
      <c r="BN338" t="s">
        <v>74</v>
      </c>
      <c r="BO338" t="s">
        <v>3113</v>
      </c>
      <c r="BP338" t="s">
        <v>74</v>
      </c>
      <c r="BQ338" t="s">
        <v>74</v>
      </c>
      <c r="BR338" t="s">
        <v>103</v>
      </c>
      <c r="BS338" t="s">
        <v>6367</v>
      </c>
      <c r="BT338" t="str">
        <f>HYPERLINK("https%3A%2F%2Fwww.webofscience.com%2Fwos%2Fwoscc%2Ffull-record%2FWOS:000292314200002","View Full Record in Web of Science")</f>
        <v>View Full Record in Web of Science</v>
      </c>
    </row>
    <row r="339" spans="1:72" x14ac:dyDescent="0.15">
      <c r="A339" t="s">
        <v>72</v>
      </c>
      <c r="B339" t="s">
        <v>6368</v>
      </c>
      <c r="C339" t="s">
        <v>74</v>
      </c>
      <c r="D339" t="s">
        <v>74</v>
      </c>
      <c r="E339" t="s">
        <v>74</v>
      </c>
      <c r="F339" t="s">
        <v>6369</v>
      </c>
      <c r="G339" t="s">
        <v>74</v>
      </c>
      <c r="H339" t="s">
        <v>74</v>
      </c>
      <c r="I339" t="s">
        <v>6370</v>
      </c>
      <c r="J339" t="s">
        <v>6371</v>
      </c>
      <c r="K339" t="s">
        <v>74</v>
      </c>
      <c r="L339" t="s">
        <v>74</v>
      </c>
      <c r="M339" t="s">
        <v>78</v>
      </c>
      <c r="N339" t="s">
        <v>79</v>
      </c>
      <c r="O339" t="s">
        <v>74</v>
      </c>
      <c r="P339" t="s">
        <v>74</v>
      </c>
      <c r="Q339" t="s">
        <v>74</v>
      </c>
      <c r="R339" t="s">
        <v>74</v>
      </c>
      <c r="S339" t="s">
        <v>74</v>
      </c>
      <c r="T339" t="s">
        <v>6372</v>
      </c>
      <c r="U339" t="s">
        <v>6373</v>
      </c>
      <c r="V339" t="s">
        <v>6374</v>
      </c>
      <c r="W339" t="s">
        <v>6375</v>
      </c>
      <c r="X339" t="s">
        <v>5095</v>
      </c>
      <c r="Y339" t="s">
        <v>5516</v>
      </c>
      <c r="Z339" t="s">
        <v>5517</v>
      </c>
      <c r="AA339" t="s">
        <v>6376</v>
      </c>
      <c r="AB339" t="s">
        <v>6377</v>
      </c>
      <c r="AC339" t="s">
        <v>5520</v>
      </c>
      <c r="AD339" t="s">
        <v>5521</v>
      </c>
      <c r="AE339" t="s">
        <v>6378</v>
      </c>
      <c r="AF339" t="s">
        <v>74</v>
      </c>
      <c r="AG339">
        <v>58</v>
      </c>
      <c r="AH339">
        <v>26</v>
      </c>
      <c r="AI339">
        <v>26</v>
      </c>
      <c r="AJ339">
        <v>2</v>
      </c>
      <c r="AK339">
        <v>36</v>
      </c>
      <c r="AL339" t="s">
        <v>3232</v>
      </c>
      <c r="AM339" t="s">
        <v>3233</v>
      </c>
      <c r="AN339" t="s">
        <v>3234</v>
      </c>
      <c r="AO339" t="s">
        <v>6379</v>
      </c>
      <c r="AP339" t="s">
        <v>6380</v>
      </c>
      <c r="AQ339" t="s">
        <v>74</v>
      </c>
      <c r="AR339" t="s">
        <v>6381</v>
      </c>
      <c r="AS339" t="s">
        <v>6382</v>
      </c>
      <c r="AT339" t="s">
        <v>74</v>
      </c>
      <c r="AU339">
        <v>2011</v>
      </c>
      <c r="AV339">
        <v>12</v>
      </c>
      <c r="AW339">
        <v>2</v>
      </c>
      <c r="AX339" t="s">
        <v>74</v>
      </c>
      <c r="AY339" t="s">
        <v>74</v>
      </c>
      <c r="AZ339" t="s">
        <v>74</v>
      </c>
      <c r="BA339" t="s">
        <v>74</v>
      </c>
      <c r="BB339">
        <v>177</v>
      </c>
      <c r="BC339">
        <v>185</v>
      </c>
      <c r="BD339" t="s">
        <v>74</v>
      </c>
      <c r="BE339" t="s">
        <v>6383</v>
      </c>
      <c r="BF339" t="str">
        <f>HYPERLINK("http://dx.doi.org/10.3354/ab00340","http://dx.doi.org/10.3354/ab00340")</f>
        <v>http://dx.doi.org/10.3354/ab00340</v>
      </c>
      <c r="BG339" t="s">
        <v>74</v>
      </c>
      <c r="BH339" t="s">
        <v>74</v>
      </c>
      <c r="BI339">
        <v>9</v>
      </c>
      <c r="BJ339" t="s">
        <v>893</v>
      </c>
      <c r="BK339" t="s">
        <v>100</v>
      </c>
      <c r="BL339" t="s">
        <v>893</v>
      </c>
      <c r="BM339" t="s">
        <v>6384</v>
      </c>
      <c r="BN339" t="s">
        <v>74</v>
      </c>
      <c r="BO339" t="s">
        <v>3320</v>
      </c>
      <c r="BP339" t="s">
        <v>74</v>
      </c>
      <c r="BQ339" t="s">
        <v>74</v>
      </c>
      <c r="BR339" t="s">
        <v>103</v>
      </c>
      <c r="BS339" t="s">
        <v>6385</v>
      </c>
      <c r="BT339" t="str">
        <f>HYPERLINK("https%3A%2F%2Fwww.webofscience.com%2Fwos%2Fwoscc%2Ffull-record%2FWOS:000290248200008","View Full Record in Web of Science")</f>
        <v>View Full Record in Web of Science</v>
      </c>
    </row>
    <row r="340" spans="1:72" x14ac:dyDescent="0.15">
      <c r="A340" t="s">
        <v>72</v>
      </c>
      <c r="B340" t="s">
        <v>6386</v>
      </c>
      <c r="C340" t="s">
        <v>74</v>
      </c>
      <c r="D340" t="s">
        <v>74</v>
      </c>
      <c r="E340" t="s">
        <v>74</v>
      </c>
      <c r="F340" t="s">
        <v>6387</v>
      </c>
      <c r="G340" t="s">
        <v>74</v>
      </c>
      <c r="H340" t="s">
        <v>74</v>
      </c>
      <c r="I340" t="s">
        <v>6388</v>
      </c>
      <c r="J340" t="s">
        <v>6389</v>
      </c>
      <c r="K340" t="s">
        <v>74</v>
      </c>
      <c r="L340" t="s">
        <v>74</v>
      </c>
      <c r="M340" t="s">
        <v>78</v>
      </c>
      <c r="N340" t="s">
        <v>79</v>
      </c>
      <c r="O340" t="s">
        <v>74</v>
      </c>
      <c r="P340" t="s">
        <v>74</v>
      </c>
      <c r="Q340" t="s">
        <v>74</v>
      </c>
      <c r="R340" t="s">
        <v>74</v>
      </c>
      <c r="S340" t="s">
        <v>74</v>
      </c>
      <c r="T340" t="s">
        <v>6390</v>
      </c>
      <c r="U340" t="s">
        <v>6391</v>
      </c>
      <c r="V340" t="s">
        <v>6392</v>
      </c>
      <c r="W340" t="s">
        <v>6393</v>
      </c>
      <c r="X340" t="s">
        <v>6394</v>
      </c>
      <c r="Y340" t="s">
        <v>6395</v>
      </c>
      <c r="Z340" t="s">
        <v>6396</v>
      </c>
      <c r="AA340" t="s">
        <v>6397</v>
      </c>
      <c r="AB340" t="s">
        <v>6398</v>
      </c>
      <c r="AC340" t="s">
        <v>74</v>
      </c>
      <c r="AD340" t="s">
        <v>74</v>
      </c>
      <c r="AE340" t="s">
        <v>74</v>
      </c>
      <c r="AF340" t="s">
        <v>74</v>
      </c>
      <c r="AG340">
        <v>128</v>
      </c>
      <c r="AH340">
        <v>48</v>
      </c>
      <c r="AI340">
        <v>53</v>
      </c>
      <c r="AJ340">
        <v>8</v>
      </c>
      <c r="AK340">
        <v>57</v>
      </c>
      <c r="AL340" t="s">
        <v>6399</v>
      </c>
      <c r="AM340" t="s">
        <v>6400</v>
      </c>
      <c r="AN340" t="s">
        <v>6401</v>
      </c>
      <c r="AO340" t="s">
        <v>6402</v>
      </c>
      <c r="AP340" t="s">
        <v>74</v>
      </c>
      <c r="AQ340" t="s">
        <v>74</v>
      </c>
      <c r="AR340" t="s">
        <v>6403</v>
      </c>
      <c r="AS340" t="s">
        <v>6404</v>
      </c>
      <c r="AT340" t="s">
        <v>74</v>
      </c>
      <c r="AU340">
        <v>2011</v>
      </c>
      <c r="AV340">
        <v>37</v>
      </c>
      <c r="AW340">
        <v>2</v>
      </c>
      <c r="AX340" t="s">
        <v>74</v>
      </c>
      <c r="AY340" t="s">
        <v>74</v>
      </c>
      <c r="AZ340" t="s">
        <v>74</v>
      </c>
      <c r="BA340" t="s">
        <v>74</v>
      </c>
      <c r="BB340">
        <v>111</v>
      </c>
      <c r="BC340">
        <v>138</v>
      </c>
      <c r="BD340" t="s">
        <v>74</v>
      </c>
      <c r="BE340" t="s">
        <v>6405</v>
      </c>
      <c r="BF340" t="str">
        <f>HYPERLINK("http://dx.doi.org/10.1578/AM.37.2.2011.111","http://dx.doi.org/10.1578/AM.37.2.2011.111")</f>
        <v>http://dx.doi.org/10.1578/AM.37.2.2011.111</v>
      </c>
      <c r="BG340" t="s">
        <v>74</v>
      </c>
      <c r="BH340" t="s">
        <v>74</v>
      </c>
      <c r="BI340">
        <v>28</v>
      </c>
      <c r="BJ340" t="s">
        <v>1049</v>
      </c>
      <c r="BK340" t="s">
        <v>100</v>
      </c>
      <c r="BL340" t="s">
        <v>1049</v>
      </c>
      <c r="BM340" t="s">
        <v>6406</v>
      </c>
      <c r="BN340" t="s">
        <v>74</v>
      </c>
      <c r="BO340" t="s">
        <v>74</v>
      </c>
      <c r="BP340" t="s">
        <v>74</v>
      </c>
      <c r="BQ340" t="s">
        <v>74</v>
      </c>
      <c r="BR340" t="s">
        <v>103</v>
      </c>
      <c r="BS340" t="s">
        <v>6407</v>
      </c>
      <c r="BT340" t="str">
        <f>HYPERLINK("https%3A%2F%2Fwww.webofscience.com%2Fwos%2Fwoscc%2Ffull-record%2FWOS:000292149400002","View Full Record in Web of Science")</f>
        <v>View Full Record in Web of Science</v>
      </c>
    </row>
    <row r="341" spans="1:72" x14ac:dyDescent="0.15">
      <c r="A341" t="s">
        <v>72</v>
      </c>
      <c r="B341" t="s">
        <v>6408</v>
      </c>
      <c r="C341" t="s">
        <v>74</v>
      </c>
      <c r="D341" t="s">
        <v>74</v>
      </c>
      <c r="E341" t="s">
        <v>74</v>
      </c>
      <c r="F341" t="s">
        <v>6409</v>
      </c>
      <c r="G341" t="s">
        <v>74</v>
      </c>
      <c r="H341" t="s">
        <v>74</v>
      </c>
      <c r="I341" t="s">
        <v>6410</v>
      </c>
      <c r="J341" t="s">
        <v>4957</v>
      </c>
      <c r="K341" t="s">
        <v>74</v>
      </c>
      <c r="L341" t="s">
        <v>74</v>
      </c>
      <c r="M341" t="s">
        <v>78</v>
      </c>
      <c r="N341" t="s">
        <v>79</v>
      </c>
      <c r="O341" t="s">
        <v>74</v>
      </c>
      <c r="P341" t="s">
        <v>74</v>
      </c>
      <c r="Q341" t="s">
        <v>74</v>
      </c>
      <c r="R341" t="s">
        <v>74</v>
      </c>
      <c r="S341" t="s">
        <v>74</v>
      </c>
      <c r="T341" t="s">
        <v>6411</v>
      </c>
      <c r="U341" t="s">
        <v>6412</v>
      </c>
      <c r="V341" t="s">
        <v>6413</v>
      </c>
      <c r="W341" t="s">
        <v>6414</v>
      </c>
      <c r="X341" t="s">
        <v>6415</v>
      </c>
      <c r="Y341" t="s">
        <v>6416</v>
      </c>
      <c r="Z341" t="s">
        <v>6417</v>
      </c>
      <c r="AA341" t="s">
        <v>6418</v>
      </c>
      <c r="AB341" t="s">
        <v>74</v>
      </c>
      <c r="AC341" t="s">
        <v>6419</v>
      </c>
      <c r="AD341" t="s">
        <v>6420</v>
      </c>
      <c r="AE341" t="s">
        <v>6421</v>
      </c>
      <c r="AF341" t="s">
        <v>74</v>
      </c>
      <c r="AG341">
        <v>86</v>
      </c>
      <c r="AH341">
        <v>22</v>
      </c>
      <c r="AI341">
        <v>25</v>
      </c>
      <c r="AJ341">
        <v>0</v>
      </c>
      <c r="AK341">
        <v>37</v>
      </c>
      <c r="AL341" t="s">
        <v>3232</v>
      </c>
      <c r="AM341" t="s">
        <v>3233</v>
      </c>
      <c r="AN341" t="s">
        <v>3234</v>
      </c>
      <c r="AO341" t="s">
        <v>4970</v>
      </c>
      <c r="AP341" t="s">
        <v>4971</v>
      </c>
      <c r="AQ341" t="s">
        <v>74</v>
      </c>
      <c r="AR341" t="s">
        <v>4972</v>
      </c>
      <c r="AS341" t="s">
        <v>4973</v>
      </c>
      <c r="AT341" t="s">
        <v>74</v>
      </c>
      <c r="AU341">
        <v>2011</v>
      </c>
      <c r="AV341">
        <v>64</v>
      </c>
      <c r="AW341">
        <v>3</v>
      </c>
      <c r="AX341" t="s">
        <v>74</v>
      </c>
      <c r="AY341" t="s">
        <v>74</v>
      </c>
      <c r="AZ341" t="s">
        <v>74</v>
      </c>
      <c r="BA341" t="s">
        <v>74</v>
      </c>
      <c r="BB341">
        <v>205</v>
      </c>
      <c r="BC341">
        <v>220</v>
      </c>
      <c r="BD341" t="s">
        <v>74</v>
      </c>
      <c r="BE341" t="s">
        <v>6422</v>
      </c>
      <c r="BF341" t="str">
        <f>HYPERLINK("http://dx.doi.org/10.3354/ame01519","http://dx.doi.org/10.3354/ame01519")</f>
        <v>http://dx.doi.org/10.3354/ame01519</v>
      </c>
      <c r="BG341" t="s">
        <v>74</v>
      </c>
      <c r="BH341" t="s">
        <v>74</v>
      </c>
      <c r="BI341">
        <v>16</v>
      </c>
      <c r="BJ341" t="s">
        <v>4975</v>
      </c>
      <c r="BK341" t="s">
        <v>100</v>
      </c>
      <c r="BL341" t="s">
        <v>4976</v>
      </c>
      <c r="BM341" t="s">
        <v>6423</v>
      </c>
      <c r="BN341" t="s">
        <v>74</v>
      </c>
      <c r="BO341" t="s">
        <v>375</v>
      </c>
      <c r="BP341" t="s">
        <v>74</v>
      </c>
      <c r="BQ341" t="s">
        <v>74</v>
      </c>
      <c r="BR341" t="s">
        <v>103</v>
      </c>
      <c r="BS341" t="s">
        <v>6424</v>
      </c>
      <c r="BT341" t="str">
        <f>HYPERLINK("https%3A%2F%2Fwww.webofscience.com%2Fwos%2Fwoscc%2Ffull-record%2FWOS:000296265000001","View Full Record in Web of Science")</f>
        <v>View Full Record in Web of Science</v>
      </c>
    </row>
    <row r="342" spans="1:72" x14ac:dyDescent="0.15">
      <c r="A342" t="s">
        <v>72</v>
      </c>
      <c r="B342" t="s">
        <v>6425</v>
      </c>
      <c r="C342" t="s">
        <v>74</v>
      </c>
      <c r="D342" t="s">
        <v>74</v>
      </c>
      <c r="E342" t="s">
        <v>74</v>
      </c>
      <c r="F342" t="s">
        <v>6426</v>
      </c>
      <c r="G342" t="s">
        <v>74</v>
      </c>
      <c r="H342" t="s">
        <v>74</v>
      </c>
      <c r="I342" t="s">
        <v>6427</v>
      </c>
      <c r="J342" t="s">
        <v>6428</v>
      </c>
      <c r="K342" t="s">
        <v>74</v>
      </c>
      <c r="L342" t="s">
        <v>74</v>
      </c>
      <c r="M342" t="s">
        <v>78</v>
      </c>
      <c r="N342" t="s">
        <v>79</v>
      </c>
      <c r="O342" t="s">
        <v>74</v>
      </c>
      <c r="P342" t="s">
        <v>74</v>
      </c>
      <c r="Q342" t="s">
        <v>74</v>
      </c>
      <c r="R342" t="s">
        <v>74</v>
      </c>
      <c r="S342" t="s">
        <v>74</v>
      </c>
      <c r="T342" t="s">
        <v>6429</v>
      </c>
      <c r="U342" t="s">
        <v>74</v>
      </c>
      <c r="V342" t="s">
        <v>6430</v>
      </c>
      <c r="W342" t="s">
        <v>6431</v>
      </c>
      <c r="X342" t="s">
        <v>6432</v>
      </c>
      <c r="Y342" t="s">
        <v>6433</v>
      </c>
      <c r="Z342" t="s">
        <v>6434</v>
      </c>
      <c r="AA342" t="s">
        <v>74</v>
      </c>
      <c r="AB342" t="s">
        <v>74</v>
      </c>
      <c r="AC342" t="s">
        <v>74</v>
      </c>
      <c r="AD342" t="s">
        <v>74</v>
      </c>
      <c r="AE342" t="s">
        <v>74</v>
      </c>
      <c r="AF342" t="s">
        <v>74</v>
      </c>
      <c r="AG342">
        <v>34</v>
      </c>
      <c r="AH342">
        <v>5</v>
      </c>
      <c r="AI342">
        <v>8</v>
      </c>
      <c r="AJ342">
        <v>0</v>
      </c>
      <c r="AK342">
        <v>1</v>
      </c>
      <c r="AL342" t="s">
        <v>474</v>
      </c>
      <c r="AM342" t="s">
        <v>475</v>
      </c>
      <c r="AN342" t="s">
        <v>476</v>
      </c>
      <c r="AO342" t="s">
        <v>6435</v>
      </c>
      <c r="AP342" t="s">
        <v>6436</v>
      </c>
      <c r="AQ342" t="s">
        <v>74</v>
      </c>
      <c r="AR342" t="s">
        <v>6437</v>
      </c>
      <c r="AS342" t="s">
        <v>6438</v>
      </c>
      <c r="AT342" t="s">
        <v>74</v>
      </c>
      <c r="AU342">
        <v>2011</v>
      </c>
      <c r="AV342">
        <v>7</v>
      </c>
      <c r="AW342">
        <v>2</v>
      </c>
      <c r="AX342" t="s">
        <v>74</v>
      </c>
      <c r="AY342" t="s">
        <v>74</v>
      </c>
      <c r="AZ342" t="s">
        <v>74</v>
      </c>
      <c r="BA342" t="s">
        <v>74</v>
      </c>
      <c r="BB342">
        <v>139</v>
      </c>
      <c r="BC342">
        <v>153</v>
      </c>
      <c r="BD342" t="s">
        <v>74</v>
      </c>
      <c r="BE342" t="s">
        <v>6439</v>
      </c>
      <c r="BF342" t="str">
        <f>HYPERLINK("http://dx.doi.org/10.1080/17452007.2011.582336","http://dx.doi.org/10.1080/17452007.2011.582336")</f>
        <v>http://dx.doi.org/10.1080/17452007.2011.582336</v>
      </c>
      <c r="BG342" t="s">
        <v>74</v>
      </c>
      <c r="BH342" t="s">
        <v>74</v>
      </c>
      <c r="BI342">
        <v>15</v>
      </c>
      <c r="BJ342" t="s">
        <v>6440</v>
      </c>
      <c r="BK342" t="s">
        <v>6441</v>
      </c>
      <c r="BL342" t="s">
        <v>6442</v>
      </c>
      <c r="BM342" t="s">
        <v>6443</v>
      </c>
      <c r="BN342" t="s">
        <v>74</v>
      </c>
      <c r="BO342" t="s">
        <v>74</v>
      </c>
      <c r="BP342" t="s">
        <v>74</v>
      </c>
      <c r="BQ342" t="s">
        <v>74</v>
      </c>
      <c r="BR342" t="s">
        <v>103</v>
      </c>
      <c r="BS342" t="s">
        <v>6444</v>
      </c>
      <c r="BT342" t="str">
        <f>HYPERLINK("https%3A%2F%2Fwww.webofscience.com%2Fwos%2Fwoscc%2Ffull-record%2FWOS:000213070300007","View Full Record in Web of Science")</f>
        <v>View Full Record in Web of Science</v>
      </c>
    </row>
    <row r="343" spans="1:72" x14ac:dyDescent="0.15">
      <c r="A343" t="s">
        <v>72</v>
      </c>
      <c r="B343" t="s">
        <v>6445</v>
      </c>
      <c r="C343" t="s">
        <v>74</v>
      </c>
      <c r="D343" t="s">
        <v>74</v>
      </c>
      <c r="E343" t="s">
        <v>74</v>
      </c>
      <c r="F343" t="s">
        <v>6446</v>
      </c>
      <c r="G343" t="s">
        <v>74</v>
      </c>
      <c r="H343" t="s">
        <v>74</v>
      </c>
      <c r="I343" t="s">
        <v>6447</v>
      </c>
      <c r="J343" t="s">
        <v>6448</v>
      </c>
      <c r="K343" t="s">
        <v>74</v>
      </c>
      <c r="L343" t="s">
        <v>74</v>
      </c>
      <c r="M343" t="s">
        <v>78</v>
      </c>
      <c r="N343" t="s">
        <v>79</v>
      </c>
      <c r="O343" t="s">
        <v>74</v>
      </c>
      <c r="P343" t="s">
        <v>74</v>
      </c>
      <c r="Q343" t="s">
        <v>74</v>
      </c>
      <c r="R343" t="s">
        <v>74</v>
      </c>
      <c r="S343" t="s">
        <v>74</v>
      </c>
      <c r="T343" t="s">
        <v>6449</v>
      </c>
      <c r="U343" t="s">
        <v>6450</v>
      </c>
      <c r="V343" t="s">
        <v>6451</v>
      </c>
      <c r="W343" t="s">
        <v>6452</v>
      </c>
      <c r="X343" t="s">
        <v>6453</v>
      </c>
      <c r="Y343" t="s">
        <v>6454</v>
      </c>
      <c r="Z343" t="s">
        <v>74</v>
      </c>
      <c r="AA343" t="s">
        <v>6455</v>
      </c>
      <c r="AB343" t="s">
        <v>6456</v>
      </c>
      <c r="AC343" t="s">
        <v>6457</v>
      </c>
      <c r="AD343" t="s">
        <v>6458</v>
      </c>
      <c r="AE343" t="s">
        <v>6459</v>
      </c>
      <c r="AF343" t="s">
        <v>74</v>
      </c>
      <c r="AG343">
        <v>14</v>
      </c>
      <c r="AH343">
        <v>3</v>
      </c>
      <c r="AI343">
        <v>4</v>
      </c>
      <c r="AJ343">
        <v>0</v>
      </c>
      <c r="AK343">
        <v>9</v>
      </c>
      <c r="AL343" t="s">
        <v>6460</v>
      </c>
      <c r="AM343" t="s">
        <v>6461</v>
      </c>
      <c r="AN343" t="s">
        <v>6462</v>
      </c>
      <c r="AO343" t="s">
        <v>6463</v>
      </c>
      <c r="AP343" t="s">
        <v>6464</v>
      </c>
      <c r="AQ343" t="s">
        <v>74</v>
      </c>
      <c r="AR343" t="s">
        <v>6465</v>
      </c>
      <c r="AS343" t="s">
        <v>6466</v>
      </c>
      <c r="AT343" t="s">
        <v>74</v>
      </c>
      <c r="AU343">
        <v>2011</v>
      </c>
      <c r="AV343">
        <v>63</v>
      </c>
      <c r="AW343">
        <v>3</v>
      </c>
      <c r="AX343" t="s">
        <v>74</v>
      </c>
      <c r="AY343" t="s">
        <v>74</v>
      </c>
      <c r="AZ343" t="s">
        <v>74</v>
      </c>
      <c r="BA343" t="s">
        <v>74</v>
      </c>
      <c r="BB343">
        <v>681</v>
      </c>
      <c r="BC343">
        <v>683</v>
      </c>
      <c r="BD343" t="s">
        <v>74</v>
      </c>
      <c r="BE343" t="s">
        <v>6467</v>
      </c>
      <c r="BF343" t="str">
        <f>HYPERLINK("http://dx.doi.org/10.2298/ABS1103681P","http://dx.doi.org/10.2298/ABS1103681P")</f>
        <v>http://dx.doi.org/10.2298/ABS1103681P</v>
      </c>
      <c r="BG343" t="s">
        <v>74</v>
      </c>
      <c r="BH343" t="s">
        <v>74</v>
      </c>
      <c r="BI343">
        <v>3</v>
      </c>
      <c r="BJ343" t="s">
        <v>6468</v>
      </c>
      <c r="BK343" t="s">
        <v>100</v>
      </c>
      <c r="BL343" t="s">
        <v>6469</v>
      </c>
      <c r="BM343" t="s">
        <v>6470</v>
      </c>
      <c r="BN343" t="s">
        <v>74</v>
      </c>
      <c r="BO343" t="s">
        <v>6471</v>
      </c>
      <c r="BP343" t="s">
        <v>74</v>
      </c>
      <c r="BQ343" t="s">
        <v>74</v>
      </c>
      <c r="BR343" t="s">
        <v>103</v>
      </c>
      <c r="BS343" t="s">
        <v>6472</v>
      </c>
      <c r="BT343" t="str">
        <f>HYPERLINK("https%3A%2F%2Fwww.webofscience.com%2Fwos%2Fwoscc%2Ffull-record%2FWOS:000294400500021","View Full Record in Web of Science")</f>
        <v>View Full Record in Web of Science</v>
      </c>
    </row>
    <row r="344" spans="1:72" x14ac:dyDescent="0.15">
      <c r="A344" t="s">
        <v>2363</v>
      </c>
      <c r="B344" t="s">
        <v>6473</v>
      </c>
      <c r="C344" t="s">
        <v>74</v>
      </c>
      <c r="D344" t="s">
        <v>6474</v>
      </c>
      <c r="E344" t="s">
        <v>74</v>
      </c>
      <c r="F344" t="s">
        <v>6475</v>
      </c>
      <c r="G344" t="s">
        <v>74</v>
      </c>
      <c r="H344" t="s">
        <v>74</v>
      </c>
      <c r="I344" t="s">
        <v>6476</v>
      </c>
      <c r="J344" t="s">
        <v>6477</v>
      </c>
      <c r="K344" t="s">
        <v>74</v>
      </c>
      <c r="L344" t="s">
        <v>74</v>
      </c>
      <c r="M344" t="s">
        <v>78</v>
      </c>
      <c r="N344" t="s">
        <v>2370</v>
      </c>
      <c r="O344" t="s">
        <v>74</v>
      </c>
      <c r="P344" t="s">
        <v>74</v>
      </c>
      <c r="Q344" t="s">
        <v>74</v>
      </c>
      <c r="R344" t="s">
        <v>74</v>
      </c>
      <c r="S344" t="s">
        <v>74</v>
      </c>
      <c r="T344" t="s">
        <v>74</v>
      </c>
      <c r="U344" t="s">
        <v>74</v>
      </c>
      <c r="V344" t="s">
        <v>74</v>
      </c>
      <c r="W344" t="s">
        <v>6478</v>
      </c>
      <c r="X344" t="s">
        <v>6479</v>
      </c>
      <c r="Y344" t="s">
        <v>6480</v>
      </c>
      <c r="Z344" t="s">
        <v>74</v>
      </c>
      <c r="AA344" t="s">
        <v>74</v>
      </c>
      <c r="AB344" t="s">
        <v>74</v>
      </c>
      <c r="AC344" t="s">
        <v>74</v>
      </c>
      <c r="AD344" t="s">
        <v>74</v>
      </c>
      <c r="AE344" t="s">
        <v>74</v>
      </c>
      <c r="AF344" t="s">
        <v>74</v>
      </c>
      <c r="AG344">
        <v>63</v>
      </c>
      <c r="AH344">
        <v>1</v>
      </c>
      <c r="AI344">
        <v>1</v>
      </c>
      <c r="AJ344">
        <v>0</v>
      </c>
      <c r="AK344">
        <v>0</v>
      </c>
      <c r="AL344" t="s">
        <v>6481</v>
      </c>
      <c r="AM344" t="s">
        <v>6482</v>
      </c>
      <c r="AN344" t="s">
        <v>6483</v>
      </c>
      <c r="AO344" t="s">
        <v>74</v>
      </c>
      <c r="AP344" t="s">
        <v>74</v>
      </c>
      <c r="AQ344" t="s">
        <v>6484</v>
      </c>
      <c r="AR344" t="s">
        <v>74</v>
      </c>
      <c r="AS344" t="s">
        <v>74</v>
      </c>
      <c r="AT344" t="s">
        <v>74</v>
      </c>
      <c r="AU344">
        <v>2011</v>
      </c>
      <c r="AV344" t="s">
        <v>74</v>
      </c>
      <c r="AW344" t="s">
        <v>74</v>
      </c>
      <c r="AX344" t="s">
        <v>74</v>
      </c>
      <c r="AY344" t="s">
        <v>74</v>
      </c>
      <c r="AZ344" t="s">
        <v>74</v>
      </c>
      <c r="BA344" t="s">
        <v>74</v>
      </c>
      <c r="BB344">
        <v>195</v>
      </c>
      <c r="BC344">
        <v>217</v>
      </c>
      <c r="BD344" t="s">
        <v>74</v>
      </c>
      <c r="BE344" t="s">
        <v>74</v>
      </c>
      <c r="BF344" t="s">
        <v>74</v>
      </c>
      <c r="BG344" t="s">
        <v>74</v>
      </c>
      <c r="BH344" t="s">
        <v>74</v>
      </c>
      <c r="BI344">
        <v>23</v>
      </c>
      <c r="BJ344" t="s">
        <v>6485</v>
      </c>
      <c r="BK344" t="s">
        <v>3058</v>
      </c>
      <c r="BL344" t="s">
        <v>6486</v>
      </c>
      <c r="BM344" t="s">
        <v>6487</v>
      </c>
      <c r="BN344" t="s">
        <v>74</v>
      </c>
      <c r="BO344" t="s">
        <v>74</v>
      </c>
      <c r="BP344" t="s">
        <v>74</v>
      </c>
      <c r="BQ344" t="s">
        <v>74</v>
      </c>
      <c r="BR344" t="s">
        <v>103</v>
      </c>
      <c r="BS344" t="s">
        <v>6488</v>
      </c>
      <c r="BT344" t="str">
        <f>HYPERLINK("https%3A%2F%2Fwww.webofscience.com%2Fwos%2Fwoscc%2Ffull-record%2FWOS:000353501600011","View Full Record in Web of Science")</f>
        <v>View Full Record in Web of Science</v>
      </c>
    </row>
    <row r="345" spans="1:72" x14ac:dyDescent="0.15">
      <c r="A345" t="s">
        <v>72</v>
      </c>
      <c r="B345" t="s">
        <v>6489</v>
      </c>
      <c r="C345" t="s">
        <v>74</v>
      </c>
      <c r="D345" t="s">
        <v>74</v>
      </c>
      <c r="E345" t="s">
        <v>74</v>
      </c>
      <c r="F345" t="s">
        <v>6490</v>
      </c>
      <c r="G345" t="s">
        <v>74</v>
      </c>
      <c r="H345" t="s">
        <v>74</v>
      </c>
      <c r="I345" t="s">
        <v>6491</v>
      </c>
      <c r="J345" t="s">
        <v>6492</v>
      </c>
      <c r="K345" t="s">
        <v>74</v>
      </c>
      <c r="L345" t="s">
        <v>74</v>
      </c>
      <c r="M345" t="s">
        <v>78</v>
      </c>
      <c r="N345" t="s">
        <v>79</v>
      </c>
      <c r="O345" t="s">
        <v>74</v>
      </c>
      <c r="P345" t="s">
        <v>74</v>
      </c>
      <c r="Q345" t="s">
        <v>74</v>
      </c>
      <c r="R345" t="s">
        <v>74</v>
      </c>
      <c r="S345" t="s">
        <v>74</v>
      </c>
      <c r="T345" t="s">
        <v>6493</v>
      </c>
      <c r="U345" t="s">
        <v>6494</v>
      </c>
      <c r="V345" t="s">
        <v>6495</v>
      </c>
      <c r="W345" t="s">
        <v>6496</v>
      </c>
      <c r="X345" t="s">
        <v>6497</v>
      </c>
      <c r="Y345" t="s">
        <v>6498</v>
      </c>
      <c r="Z345" t="s">
        <v>6499</v>
      </c>
      <c r="AA345" t="s">
        <v>6500</v>
      </c>
      <c r="AB345" t="s">
        <v>6501</v>
      </c>
      <c r="AC345" t="s">
        <v>6502</v>
      </c>
      <c r="AD345" t="s">
        <v>6503</v>
      </c>
      <c r="AE345" t="s">
        <v>6504</v>
      </c>
      <c r="AF345" t="s">
        <v>74</v>
      </c>
      <c r="AG345">
        <v>41</v>
      </c>
      <c r="AH345">
        <v>43</v>
      </c>
      <c r="AI345">
        <v>47</v>
      </c>
      <c r="AJ345">
        <v>1</v>
      </c>
      <c r="AK345">
        <v>60</v>
      </c>
      <c r="AL345" t="s">
        <v>6505</v>
      </c>
      <c r="AM345" t="s">
        <v>6506</v>
      </c>
      <c r="AN345" t="s">
        <v>6507</v>
      </c>
      <c r="AO345" t="s">
        <v>6508</v>
      </c>
      <c r="AP345" t="s">
        <v>6509</v>
      </c>
      <c r="AQ345" t="s">
        <v>74</v>
      </c>
      <c r="AR345" t="s">
        <v>6492</v>
      </c>
      <c r="AS345" t="s">
        <v>6510</v>
      </c>
      <c r="AT345" t="s">
        <v>4305</v>
      </c>
      <c r="AU345">
        <v>2011</v>
      </c>
      <c r="AV345">
        <v>11</v>
      </c>
      <c r="AW345">
        <v>1</v>
      </c>
      <c r="AX345" t="s">
        <v>74</v>
      </c>
      <c r="AY345" t="s">
        <v>74</v>
      </c>
      <c r="AZ345" t="s">
        <v>74</v>
      </c>
      <c r="BA345" t="s">
        <v>74</v>
      </c>
      <c r="BB345">
        <v>65</v>
      </c>
      <c r="BC345">
        <v>73</v>
      </c>
      <c r="BD345" t="s">
        <v>74</v>
      </c>
      <c r="BE345" t="s">
        <v>6511</v>
      </c>
      <c r="BF345" t="str">
        <f>HYPERLINK("http://dx.doi.org/10.1089/ast.2009.0430","http://dx.doi.org/10.1089/ast.2009.0430")</f>
        <v>http://dx.doi.org/10.1089/ast.2009.0430</v>
      </c>
      <c r="BG345" t="s">
        <v>74</v>
      </c>
      <c r="BH345" t="s">
        <v>74</v>
      </c>
      <c r="BI345">
        <v>9</v>
      </c>
      <c r="BJ345" t="s">
        <v>6512</v>
      </c>
      <c r="BK345" t="s">
        <v>100</v>
      </c>
      <c r="BL345" t="s">
        <v>6513</v>
      </c>
      <c r="BM345" t="s">
        <v>6514</v>
      </c>
      <c r="BN345">
        <v>21294638</v>
      </c>
      <c r="BO345" t="s">
        <v>74</v>
      </c>
      <c r="BP345" t="s">
        <v>74</v>
      </c>
      <c r="BQ345" t="s">
        <v>74</v>
      </c>
      <c r="BR345" t="s">
        <v>103</v>
      </c>
      <c r="BS345" t="s">
        <v>6515</v>
      </c>
      <c r="BT345" t="str">
        <f>HYPERLINK("https%3A%2F%2Fwww.webofscience.com%2Fwos%2Fwoscc%2Ffull-record%2FWOS:000287689200007","View Full Record in Web of Science")</f>
        <v>View Full Record in Web of Science</v>
      </c>
    </row>
    <row r="346" spans="1:72" x14ac:dyDescent="0.15">
      <c r="A346" t="s">
        <v>2268</v>
      </c>
      <c r="B346" t="s">
        <v>6516</v>
      </c>
      <c r="C346" t="s">
        <v>74</v>
      </c>
      <c r="D346" t="s">
        <v>6517</v>
      </c>
      <c r="E346" t="s">
        <v>74</v>
      </c>
      <c r="F346" t="s">
        <v>6518</v>
      </c>
      <c r="G346" t="s">
        <v>74</v>
      </c>
      <c r="H346" t="s">
        <v>74</v>
      </c>
      <c r="I346" t="s">
        <v>6519</v>
      </c>
      <c r="J346" t="s">
        <v>6520</v>
      </c>
      <c r="K346" t="s">
        <v>6521</v>
      </c>
      <c r="L346" t="s">
        <v>74</v>
      </c>
      <c r="M346" t="s">
        <v>78</v>
      </c>
      <c r="N346" t="s">
        <v>2275</v>
      </c>
      <c r="O346" t="s">
        <v>6522</v>
      </c>
      <c r="P346" t="s">
        <v>6523</v>
      </c>
      <c r="Q346" t="s">
        <v>6524</v>
      </c>
      <c r="R346" t="s">
        <v>74</v>
      </c>
      <c r="S346" t="s">
        <v>74</v>
      </c>
      <c r="T346" t="s">
        <v>6525</v>
      </c>
      <c r="U346" t="s">
        <v>6526</v>
      </c>
      <c r="V346" t="s">
        <v>6527</v>
      </c>
      <c r="W346" t="s">
        <v>6528</v>
      </c>
      <c r="X346" t="s">
        <v>6529</v>
      </c>
      <c r="Y346" t="s">
        <v>6530</v>
      </c>
      <c r="Z346" t="s">
        <v>6531</v>
      </c>
      <c r="AA346" t="s">
        <v>74</v>
      </c>
      <c r="AB346" t="s">
        <v>74</v>
      </c>
      <c r="AC346" t="s">
        <v>74</v>
      </c>
      <c r="AD346" t="s">
        <v>74</v>
      </c>
      <c r="AE346" t="s">
        <v>74</v>
      </c>
      <c r="AF346" t="s">
        <v>74</v>
      </c>
      <c r="AG346">
        <v>16</v>
      </c>
      <c r="AH346">
        <v>21</v>
      </c>
      <c r="AI346">
        <v>26</v>
      </c>
      <c r="AJ346">
        <v>0</v>
      </c>
      <c r="AK346">
        <v>0</v>
      </c>
      <c r="AL346" t="s">
        <v>6532</v>
      </c>
      <c r="AM346" t="s">
        <v>6533</v>
      </c>
      <c r="AN346" t="s">
        <v>6534</v>
      </c>
      <c r="AO346" t="s">
        <v>6535</v>
      </c>
      <c r="AP346" t="s">
        <v>74</v>
      </c>
      <c r="AQ346" t="s">
        <v>6536</v>
      </c>
      <c r="AR346" t="s">
        <v>6537</v>
      </c>
      <c r="AS346" t="s">
        <v>74</v>
      </c>
      <c r="AT346" t="s">
        <v>74</v>
      </c>
      <c r="AU346">
        <v>2011</v>
      </c>
      <c r="AV346">
        <v>41</v>
      </c>
      <c r="AW346" t="s">
        <v>74</v>
      </c>
      <c r="AX346" t="s">
        <v>74</v>
      </c>
      <c r="AY346" t="s">
        <v>74</v>
      </c>
      <c r="AZ346" t="s">
        <v>74</v>
      </c>
      <c r="BA346" t="s">
        <v>74</v>
      </c>
      <c r="BB346">
        <v>87</v>
      </c>
      <c r="BC346">
        <v>90</v>
      </c>
      <c r="BD346" t="s">
        <v>74</v>
      </c>
      <c r="BE346" t="s">
        <v>74</v>
      </c>
      <c r="BF346" t="s">
        <v>74</v>
      </c>
      <c r="BG346" t="s">
        <v>74</v>
      </c>
      <c r="BH346" t="s">
        <v>74</v>
      </c>
      <c r="BI346">
        <v>4</v>
      </c>
      <c r="BJ346" t="s">
        <v>373</v>
      </c>
      <c r="BK346" t="s">
        <v>2292</v>
      </c>
      <c r="BL346" t="s">
        <v>373</v>
      </c>
      <c r="BM346" t="s">
        <v>6538</v>
      </c>
      <c r="BN346" t="s">
        <v>74</v>
      </c>
      <c r="BO346" t="s">
        <v>74</v>
      </c>
      <c r="BP346" t="s">
        <v>74</v>
      </c>
      <c r="BQ346" t="s">
        <v>74</v>
      </c>
      <c r="BR346" t="s">
        <v>103</v>
      </c>
      <c r="BS346" t="s">
        <v>6539</v>
      </c>
      <c r="BT346" t="str">
        <f>HYPERLINK("https%3A%2F%2Fwww.webofscience.com%2Fwos%2Fwoscc%2Ffull-record%2FWOS:000304498000025","View Full Record in Web of Science")</f>
        <v>View Full Record in Web of Science</v>
      </c>
    </row>
    <row r="347" spans="1:72" x14ac:dyDescent="0.15">
      <c r="A347" t="s">
        <v>72</v>
      </c>
      <c r="B347" t="s">
        <v>6540</v>
      </c>
      <c r="C347" t="s">
        <v>74</v>
      </c>
      <c r="D347" t="s">
        <v>74</v>
      </c>
      <c r="E347" t="s">
        <v>74</v>
      </c>
      <c r="F347" t="s">
        <v>6541</v>
      </c>
      <c r="G347" t="s">
        <v>74</v>
      </c>
      <c r="H347" t="s">
        <v>74</v>
      </c>
      <c r="I347" t="s">
        <v>6542</v>
      </c>
      <c r="J347" t="s">
        <v>2944</v>
      </c>
      <c r="K347" t="s">
        <v>74</v>
      </c>
      <c r="L347" t="s">
        <v>74</v>
      </c>
      <c r="M347" t="s">
        <v>78</v>
      </c>
      <c r="N347" t="s">
        <v>79</v>
      </c>
      <c r="O347" t="s">
        <v>74</v>
      </c>
      <c r="P347" t="s">
        <v>74</v>
      </c>
      <c r="Q347" t="s">
        <v>74</v>
      </c>
      <c r="R347" t="s">
        <v>74</v>
      </c>
      <c r="S347" t="s">
        <v>74</v>
      </c>
      <c r="T347" t="s">
        <v>74</v>
      </c>
      <c r="U347" t="s">
        <v>6543</v>
      </c>
      <c r="V347" t="s">
        <v>6544</v>
      </c>
      <c r="W347" t="s">
        <v>6545</v>
      </c>
      <c r="X347" t="s">
        <v>6546</v>
      </c>
      <c r="Y347" t="s">
        <v>6547</v>
      </c>
      <c r="Z347" t="s">
        <v>6548</v>
      </c>
      <c r="AA347" t="s">
        <v>6549</v>
      </c>
      <c r="AB347" t="s">
        <v>6550</v>
      </c>
      <c r="AC347" t="s">
        <v>6551</v>
      </c>
      <c r="AD347" t="s">
        <v>6552</v>
      </c>
      <c r="AE347" t="s">
        <v>6553</v>
      </c>
      <c r="AF347" t="s">
        <v>74</v>
      </c>
      <c r="AG347">
        <v>103</v>
      </c>
      <c r="AH347">
        <v>11</v>
      </c>
      <c r="AI347">
        <v>12</v>
      </c>
      <c r="AJ347">
        <v>1</v>
      </c>
      <c r="AK347">
        <v>14</v>
      </c>
      <c r="AL347" t="s">
        <v>2955</v>
      </c>
      <c r="AM347" t="s">
        <v>2956</v>
      </c>
      <c r="AN347" t="s">
        <v>2957</v>
      </c>
      <c r="AO347" t="s">
        <v>2958</v>
      </c>
      <c r="AP347" t="s">
        <v>2959</v>
      </c>
      <c r="AQ347" t="s">
        <v>74</v>
      </c>
      <c r="AR347" t="s">
        <v>2960</v>
      </c>
      <c r="AS347" t="s">
        <v>2961</v>
      </c>
      <c r="AT347" t="s">
        <v>74</v>
      </c>
      <c r="AU347">
        <v>2011</v>
      </c>
      <c r="AV347">
        <v>11</v>
      </c>
      <c r="AW347">
        <v>2</v>
      </c>
      <c r="AX347" t="s">
        <v>74</v>
      </c>
      <c r="AY347" t="s">
        <v>74</v>
      </c>
      <c r="AZ347" t="s">
        <v>74</v>
      </c>
      <c r="BA347" t="s">
        <v>74</v>
      </c>
      <c r="BB347">
        <v>689</v>
      </c>
      <c r="BC347">
        <v>703</v>
      </c>
      <c r="BD347" t="s">
        <v>74</v>
      </c>
      <c r="BE347" t="s">
        <v>6554</v>
      </c>
      <c r="BF347" t="str">
        <f>HYPERLINK("http://dx.doi.org/10.5194/acp-11-689-2011","http://dx.doi.org/10.5194/acp-11-689-2011")</f>
        <v>http://dx.doi.org/10.5194/acp-11-689-2011</v>
      </c>
      <c r="BG347" t="s">
        <v>74</v>
      </c>
      <c r="BH347" t="s">
        <v>74</v>
      </c>
      <c r="BI347">
        <v>15</v>
      </c>
      <c r="BJ347" t="s">
        <v>2963</v>
      </c>
      <c r="BK347" t="s">
        <v>100</v>
      </c>
      <c r="BL347" t="s">
        <v>2964</v>
      </c>
      <c r="BM347" t="s">
        <v>6555</v>
      </c>
      <c r="BN347" t="s">
        <v>74</v>
      </c>
      <c r="BO347" t="s">
        <v>2456</v>
      </c>
      <c r="BP347" t="s">
        <v>74</v>
      </c>
      <c r="BQ347" t="s">
        <v>74</v>
      </c>
      <c r="BR347" t="s">
        <v>103</v>
      </c>
      <c r="BS347" t="s">
        <v>6556</v>
      </c>
      <c r="BT347" t="str">
        <f>HYPERLINK("https%3A%2F%2Fwww.webofscience.com%2Fwos%2Fwoscc%2Ffull-record%2FWOS:000286722300020","View Full Record in Web of Science")</f>
        <v>View Full Record in Web of Science</v>
      </c>
    </row>
    <row r="348" spans="1:72" x14ac:dyDescent="0.15">
      <c r="A348" t="s">
        <v>72</v>
      </c>
      <c r="B348" t="s">
        <v>6557</v>
      </c>
      <c r="C348" t="s">
        <v>74</v>
      </c>
      <c r="D348" t="s">
        <v>74</v>
      </c>
      <c r="E348" t="s">
        <v>74</v>
      </c>
      <c r="F348" t="s">
        <v>6558</v>
      </c>
      <c r="G348" t="s">
        <v>74</v>
      </c>
      <c r="H348" t="s">
        <v>74</v>
      </c>
      <c r="I348" t="s">
        <v>6559</v>
      </c>
      <c r="J348" t="s">
        <v>2944</v>
      </c>
      <c r="K348" t="s">
        <v>74</v>
      </c>
      <c r="L348" t="s">
        <v>74</v>
      </c>
      <c r="M348" t="s">
        <v>78</v>
      </c>
      <c r="N348" t="s">
        <v>79</v>
      </c>
      <c r="O348" t="s">
        <v>74</v>
      </c>
      <c r="P348" t="s">
        <v>74</v>
      </c>
      <c r="Q348" t="s">
        <v>74</v>
      </c>
      <c r="R348" t="s">
        <v>74</v>
      </c>
      <c r="S348" t="s">
        <v>74</v>
      </c>
      <c r="T348" t="s">
        <v>74</v>
      </c>
      <c r="U348" t="s">
        <v>6560</v>
      </c>
      <c r="V348" t="s">
        <v>6561</v>
      </c>
      <c r="W348" t="s">
        <v>6562</v>
      </c>
      <c r="X348" t="s">
        <v>6563</v>
      </c>
      <c r="Y348" t="s">
        <v>6564</v>
      </c>
      <c r="Z348" t="s">
        <v>6565</v>
      </c>
      <c r="AA348" t="s">
        <v>6566</v>
      </c>
      <c r="AB348" t="s">
        <v>6567</v>
      </c>
      <c r="AC348" t="s">
        <v>6568</v>
      </c>
      <c r="AD348" t="s">
        <v>6569</v>
      </c>
      <c r="AE348" t="s">
        <v>6570</v>
      </c>
      <c r="AF348" t="s">
        <v>74</v>
      </c>
      <c r="AG348">
        <v>35</v>
      </c>
      <c r="AH348">
        <v>14</v>
      </c>
      <c r="AI348">
        <v>14</v>
      </c>
      <c r="AJ348">
        <v>0</v>
      </c>
      <c r="AK348">
        <v>7</v>
      </c>
      <c r="AL348" t="s">
        <v>2955</v>
      </c>
      <c r="AM348" t="s">
        <v>2956</v>
      </c>
      <c r="AN348" t="s">
        <v>2957</v>
      </c>
      <c r="AO348" t="s">
        <v>2958</v>
      </c>
      <c r="AP348" t="s">
        <v>2959</v>
      </c>
      <c r="AQ348" t="s">
        <v>74</v>
      </c>
      <c r="AR348" t="s">
        <v>2960</v>
      </c>
      <c r="AS348" t="s">
        <v>2961</v>
      </c>
      <c r="AT348" t="s">
        <v>74</v>
      </c>
      <c r="AU348">
        <v>2011</v>
      </c>
      <c r="AV348">
        <v>11</v>
      </c>
      <c r="AW348">
        <v>3</v>
      </c>
      <c r="AX348" t="s">
        <v>74</v>
      </c>
      <c r="AY348" t="s">
        <v>74</v>
      </c>
      <c r="AZ348" t="s">
        <v>74</v>
      </c>
      <c r="BA348" t="s">
        <v>74</v>
      </c>
      <c r="BB348">
        <v>1227</v>
      </c>
      <c r="BC348">
        <v>1242</v>
      </c>
      <c r="BD348" t="s">
        <v>74</v>
      </c>
      <c r="BE348" t="s">
        <v>6571</v>
      </c>
      <c r="BF348" t="str">
        <f>HYPERLINK("http://dx.doi.org/10.5194/acp-11-1227-2011","http://dx.doi.org/10.5194/acp-11-1227-2011")</f>
        <v>http://dx.doi.org/10.5194/acp-11-1227-2011</v>
      </c>
      <c r="BG348" t="s">
        <v>74</v>
      </c>
      <c r="BH348" t="s">
        <v>74</v>
      </c>
      <c r="BI348">
        <v>16</v>
      </c>
      <c r="BJ348" t="s">
        <v>2963</v>
      </c>
      <c r="BK348" t="s">
        <v>100</v>
      </c>
      <c r="BL348" t="s">
        <v>2964</v>
      </c>
      <c r="BM348" t="s">
        <v>6572</v>
      </c>
      <c r="BN348" t="s">
        <v>74</v>
      </c>
      <c r="BO348" t="s">
        <v>2456</v>
      </c>
      <c r="BP348" t="s">
        <v>74</v>
      </c>
      <c r="BQ348" t="s">
        <v>74</v>
      </c>
      <c r="BR348" t="s">
        <v>103</v>
      </c>
      <c r="BS348" t="s">
        <v>6573</v>
      </c>
      <c r="BT348" t="str">
        <f>HYPERLINK("https%3A%2F%2Fwww.webofscience.com%2Fwos%2Fwoscc%2Ffull-record%2FWOS:000287354100024","View Full Record in Web of Science")</f>
        <v>View Full Record in Web of Science</v>
      </c>
    </row>
    <row r="349" spans="1:72" x14ac:dyDescent="0.15">
      <c r="A349" t="s">
        <v>72</v>
      </c>
      <c r="B349" t="s">
        <v>6574</v>
      </c>
      <c r="C349" t="s">
        <v>74</v>
      </c>
      <c r="D349" t="s">
        <v>74</v>
      </c>
      <c r="E349" t="s">
        <v>74</v>
      </c>
      <c r="F349" t="s">
        <v>6575</v>
      </c>
      <c r="G349" t="s">
        <v>74</v>
      </c>
      <c r="H349" t="s">
        <v>74</v>
      </c>
      <c r="I349" t="s">
        <v>6576</v>
      </c>
      <c r="J349" t="s">
        <v>2944</v>
      </c>
      <c r="K349" t="s">
        <v>74</v>
      </c>
      <c r="L349" t="s">
        <v>74</v>
      </c>
      <c r="M349" t="s">
        <v>78</v>
      </c>
      <c r="N349" t="s">
        <v>79</v>
      </c>
      <c r="O349" t="s">
        <v>74</v>
      </c>
      <c r="P349" t="s">
        <v>74</v>
      </c>
      <c r="Q349" t="s">
        <v>74</v>
      </c>
      <c r="R349" t="s">
        <v>74</v>
      </c>
      <c r="S349" t="s">
        <v>74</v>
      </c>
      <c r="T349" t="s">
        <v>74</v>
      </c>
      <c r="U349" t="s">
        <v>6577</v>
      </c>
      <c r="V349" t="s">
        <v>6578</v>
      </c>
      <c r="W349" t="s">
        <v>6579</v>
      </c>
      <c r="X349" t="s">
        <v>6580</v>
      </c>
      <c r="Y349" t="s">
        <v>6581</v>
      </c>
      <c r="Z349" t="s">
        <v>6582</v>
      </c>
      <c r="AA349" t="s">
        <v>6583</v>
      </c>
      <c r="AB349" t="s">
        <v>6584</v>
      </c>
      <c r="AC349" t="s">
        <v>6585</v>
      </c>
      <c r="AD349" t="s">
        <v>6586</v>
      </c>
      <c r="AE349" t="s">
        <v>6587</v>
      </c>
      <c r="AF349" t="s">
        <v>74</v>
      </c>
      <c r="AG349">
        <v>74</v>
      </c>
      <c r="AH349">
        <v>26</v>
      </c>
      <c r="AI349">
        <v>29</v>
      </c>
      <c r="AJ349">
        <v>1</v>
      </c>
      <c r="AK349">
        <v>14</v>
      </c>
      <c r="AL349" t="s">
        <v>2955</v>
      </c>
      <c r="AM349" t="s">
        <v>2956</v>
      </c>
      <c r="AN349" t="s">
        <v>2957</v>
      </c>
      <c r="AO349" t="s">
        <v>2958</v>
      </c>
      <c r="AP349" t="s">
        <v>2959</v>
      </c>
      <c r="AQ349" t="s">
        <v>74</v>
      </c>
      <c r="AR349" t="s">
        <v>2960</v>
      </c>
      <c r="AS349" t="s">
        <v>2961</v>
      </c>
      <c r="AT349" t="s">
        <v>74</v>
      </c>
      <c r="AU349">
        <v>2011</v>
      </c>
      <c r="AV349">
        <v>11</v>
      </c>
      <c r="AW349">
        <v>5</v>
      </c>
      <c r="AX349" t="s">
        <v>74</v>
      </c>
      <c r="AY349" t="s">
        <v>74</v>
      </c>
      <c r="AZ349" t="s">
        <v>74</v>
      </c>
      <c r="BA349" t="s">
        <v>74</v>
      </c>
      <c r="BB349">
        <v>1961</v>
      </c>
      <c r="BC349">
        <v>1977</v>
      </c>
      <c r="BD349" t="s">
        <v>74</v>
      </c>
      <c r="BE349" t="s">
        <v>6588</v>
      </c>
      <c r="BF349" t="str">
        <f>HYPERLINK("http://dx.doi.org/10.5194/acp-11-1961-2011","http://dx.doi.org/10.5194/acp-11-1961-2011")</f>
        <v>http://dx.doi.org/10.5194/acp-11-1961-2011</v>
      </c>
      <c r="BG349" t="s">
        <v>74</v>
      </c>
      <c r="BH349" t="s">
        <v>74</v>
      </c>
      <c r="BI349">
        <v>17</v>
      </c>
      <c r="BJ349" t="s">
        <v>2963</v>
      </c>
      <c r="BK349" t="s">
        <v>100</v>
      </c>
      <c r="BL349" t="s">
        <v>2964</v>
      </c>
      <c r="BM349" t="s">
        <v>4531</v>
      </c>
      <c r="BN349" t="s">
        <v>74</v>
      </c>
      <c r="BO349" t="s">
        <v>6471</v>
      </c>
      <c r="BP349" t="s">
        <v>74</v>
      </c>
      <c r="BQ349" t="s">
        <v>74</v>
      </c>
      <c r="BR349" t="s">
        <v>103</v>
      </c>
      <c r="BS349" t="s">
        <v>6589</v>
      </c>
      <c r="BT349" t="str">
        <f>HYPERLINK("https%3A%2F%2Fwww.webofscience.com%2Fwos%2Fwoscc%2Ffull-record%2FWOS:000288368900008","View Full Record in Web of Science")</f>
        <v>View Full Record in Web of Science</v>
      </c>
    </row>
    <row r="350" spans="1:72" x14ac:dyDescent="0.15">
      <c r="A350" t="s">
        <v>72</v>
      </c>
      <c r="B350" t="s">
        <v>6590</v>
      </c>
      <c r="C350" t="s">
        <v>74</v>
      </c>
      <c r="D350" t="s">
        <v>74</v>
      </c>
      <c r="E350" t="s">
        <v>74</v>
      </c>
      <c r="F350" t="s">
        <v>6591</v>
      </c>
      <c r="G350" t="s">
        <v>74</v>
      </c>
      <c r="H350" t="s">
        <v>74</v>
      </c>
      <c r="I350" t="s">
        <v>6592</v>
      </c>
      <c r="J350" t="s">
        <v>2944</v>
      </c>
      <c r="K350" t="s">
        <v>74</v>
      </c>
      <c r="L350" t="s">
        <v>74</v>
      </c>
      <c r="M350" t="s">
        <v>78</v>
      </c>
      <c r="N350" t="s">
        <v>79</v>
      </c>
      <c r="O350" t="s">
        <v>74</v>
      </c>
      <c r="P350" t="s">
        <v>74</v>
      </c>
      <c r="Q350" t="s">
        <v>74</v>
      </c>
      <c r="R350" t="s">
        <v>74</v>
      </c>
      <c r="S350" t="s">
        <v>74</v>
      </c>
      <c r="T350" t="s">
        <v>74</v>
      </c>
      <c r="U350" t="s">
        <v>6593</v>
      </c>
      <c r="V350" t="s">
        <v>6594</v>
      </c>
      <c r="W350" t="s">
        <v>6595</v>
      </c>
      <c r="X350" t="s">
        <v>6596</v>
      </c>
      <c r="Y350" t="s">
        <v>6597</v>
      </c>
      <c r="Z350" t="s">
        <v>6598</v>
      </c>
      <c r="AA350" t="s">
        <v>6599</v>
      </c>
      <c r="AB350" t="s">
        <v>6600</v>
      </c>
      <c r="AC350" t="s">
        <v>6601</v>
      </c>
      <c r="AD350" t="s">
        <v>6602</v>
      </c>
      <c r="AE350" t="s">
        <v>6603</v>
      </c>
      <c r="AF350" t="s">
        <v>74</v>
      </c>
      <c r="AG350">
        <v>92</v>
      </c>
      <c r="AH350">
        <v>54</v>
      </c>
      <c r="AI350">
        <v>62</v>
      </c>
      <c r="AJ350">
        <v>1</v>
      </c>
      <c r="AK350">
        <v>45</v>
      </c>
      <c r="AL350" t="s">
        <v>2955</v>
      </c>
      <c r="AM350" t="s">
        <v>2956</v>
      </c>
      <c r="AN350" t="s">
        <v>2957</v>
      </c>
      <c r="AO350" t="s">
        <v>2958</v>
      </c>
      <c r="AP350" t="s">
        <v>2959</v>
      </c>
      <c r="AQ350" t="s">
        <v>74</v>
      </c>
      <c r="AR350" t="s">
        <v>2960</v>
      </c>
      <c r="AS350" t="s">
        <v>2961</v>
      </c>
      <c r="AT350" t="s">
        <v>74</v>
      </c>
      <c r="AU350">
        <v>2011</v>
      </c>
      <c r="AV350">
        <v>11</v>
      </c>
      <c r="AW350">
        <v>7</v>
      </c>
      <c r="AX350" t="s">
        <v>74</v>
      </c>
      <c r="AY350" t="s">
        <v>74</v>
      </c>
      <c r="AZ350" t="s">
        <v>74</v>
      </c>
      <c r="BA350" t="s">
        <v>74</v>
      </c>
      <c r="BB350">
        <v>3565</v>
      </c>
      <c r="BC350">
        <v>3578</v>
      </c>
      <c r="BD350" t="s">
        <v>74</v>
      </c>
      <c r="BE350" t="s">
        <v>6604</v>
      </c>
      <c r="BF350" t="str">
        <f>HYPERLINK("http://dx.doi.org/10.5194/acp-11-3565-2011","http://dx.doi.org/10.5194/acp-11-3565-2011")</f>
        <v>http://dx.doi.org/10.5194/acp-11-3565-2011</v>
      </c>
      <c r="BG350" t="s">
        <v>74</v>
      </c>
      <c r="BH350" t="s">
        <v>74</v>
      </c>
      <c r="BI350">
        <v>14</v>
      </c>
      <c r="BJ350" t="s">
        <v>2963</v>
      </c>
      <c r="BK350" t="s">
        <v>100</v>
      </c>
      <c r="BL350" t="s">
        <v>2964</v>
      </c>
      <c r="BM350" t="s">
        <v>6605</v>
      </c>
      <c r="BN350" t="s">
        <v>74</v>
      </c>
      <c r="BO350" t="s">
        <v>2456</v>
      </c>
      <c r="BP350" t="s">
        <v>74</v>
      </c>
      <c r="BQ350" t="s">
        <v>74</v>
      </c>
      <c r="BR350" t="s">
        <v>103</v>
      </c>
      <c r="BS350" t="s">
        <v>6606</v>
      </c>
      <c r="BT350" t="str">
        <f>HYPERLINK("https%3A%2F%2Fwww.webofscience.com%2Fwos%2Fwoscc%2Ffull-record%2FWOS:000289548200035","View Full Record in Web of Science")</f>
        <v>View Full Record in Web of Science</v>
      </c>
    </row>
    <row r="351" spans="1:72" x14ac:dyDescent="0.15">
      <c r="A351" t="s">
        <v>72</v>
      </c>
      <c r="B351" t="s">
        <v>6607</v>
      </c>
      <c r="C351" t="s">
        <v>74</v>
      </c>
      <c r="D351" t="s">
        <v>74</v>
      </c>
      <c r="E351" t="s">
        <v>74</v>
      </c>
      <c r="F351" t="s">
        <v>6608</v>
      </c>
      <c r="G351" t="s">
        <v>74</v>
      </c>
      <c r="H351" t="s">
        <v>74</v>
      </c>
      <c r="I351" t="s">
        <v>6609</v>
      </c>
      <c r="J351" t="s">
        <v>2944</v>
      </c>
      <c r="K351" t="s">
        <v>74</v>
      </c>
      <c r="L351" t="s">
        <v>74</v>
      </c>
      <c r="M351" t="s">
        <v>78</v>
      </c>
      <c r="N351" t="s">
        <v>79</v>
      </c>
      <c r="O351" t="s">
        <v>74</v>
      </c>
      <c r="P351" t="s">
        <v>74</v>
      </c>
      <c r="Q351" t="s">
        <v>74</v>
      </c>
      <c r="R351" t="s">
        <v>74</v>
      </c>
      <c r="S351" t="s">
        <v>74</v>
      </c>
      <c r="T351" t="s">
        <v>74</v>
      </c>
      <c r="U351" t="s">
        <v>6610</v>
      </c>
      <c r="V351" t="s">
        <v>6611</v>
      </c>
      <c r="W351" t="s">
        <v>6612</v>
      </c>
      <c r="X351" t="s">
        <v>6613</v>
      </c>
      <c r="Y351" t="s">
        <v>6614</v>
      </c>
      <c r="Z351" t="s">
        <v>6615</v>
      </c>
      <c r="AA351" t="s">
        <v>74</v>
      </c>
      <c r="AB351" t="s">
        <v>6616</v>
      </c>
      <c r="AC351" t="s">
        <v>6617</v>
      </c>
      <c r="AD351" t="s">
        <v>1687</v>
      </c>
      <c r="AE351" t="s">
        <v>74</v>
      </c>
      <c r="AF351" t="s">
        <v>74</v>
      </c>
      <c r="AG351">
        <v>42</v>
      </c>
      <c r="AH351">
        <v>44</v>
      </c>
      <c r="AI351">
        <v>48</v>
      </c>
      <c r="AJ351">
        <v>0</v>
      </c>
      <c r="AK351">
        <v>11</v>
      </c>
      <c r="AL351" t="s">
        <v>2955</v>
      </c>
      <c r="AM351" t="s">
        <v>2956</v>
      </c>
      <c r="AN351" t="s">
        <v>2957</v>
      </c>
      <c r="AO351" t="s">
        <v>2958</v>
      </c>
      <c r="AP351" t="s">
        <v>2959</v>
      </c>
      <c r="AQ351" t="s">
        <v>74</v>
      </c>
      <c r="AR351" t="s">
        <v>2960</v>
      </c>
      <c r="AS351" t="s">
        <v>2961</v>
      </c>
      <c r="AT351" t="s">
        <v>74</v>
      </c>
      <c r="AU351">
        <v>2011</v>
      </c>
      <c r="AV351">
        <v>11</v>
      </c>
      <c r="AW351">
        <v>9</v>
      </c>
      <c r="AX351" t="s">
        <v>74</v>
      </c>
      <c r="AY351" t="s">
        <v>74</v>
      </c>
      <c r="AZ351" t="s">
        <v>74</v>
      </c>
      <c r="BA351" t="s">
        <v>74</v>
      </c>
      <c r="BB351">
        <v>4149</v>
      </c>
      <c r="BC351">
        <v>4161</v>
      </c>
      <c r="BD351" t="s">
        <v>74</v>
      </c>
      <c r="BE351" t="s">
        <v>6618</v>
      </c>
      <c r="BF351" t="str">
        <f>HYPERLINK("http://dx.doi.org/10.5194/acp-11-4149-2011","http://dx.doi.org/10.5194/acp-11-4149-2011")</f>
        <v>http://dx.doi.org/10.5194/acp-11-4149-2011</v>
      </c>
      <c r="BG351" t="s">
        <v>74</v>
      </c>
      <c r="BH351" t="s">
        <v>74</v>
      </c>
      <c r="BI351">
        <v>13</v>
      </c>
      <c r="BJ351" t="s">
        <v>2963</v>
      </c>
      <c r="BK351" t="s">
        <v>100</v>
      </c>
      <c r="BL351" t="s">
        <v>2964</v>
      </c>
      <c r="BM351" t="s">
        <v>6619</v>
      </c>
      <c r="BN351" t="s">
        <v>74</v>
      </c>
      <c r="BO351" t="s">
        <v>5804</v>
      </c>
      <c r="BP351" t="s">
        <v>74</v>
      </c>
      <c r="BQ351" t="s">
        <v>74</v>
      </c>
      <c r="BR351" t="s">
        <v>103</v>
      </c>
      <c r="BS351" t="s">
        <v>6620</v>
      </c>
      <c r="BT351" t="str">
        <f>HYPERLINK("https%3A%2F%2Fwww.webofscience.com%2Fwos%2Fwoscc%2Ffull-record%2FWOS:000290618600010","View Full Record in Web of Science")</f>
        <v>View Full Record in Web of Science</v>
      </c>
    </row>
    <row r="352" spans="1:72" x14ac:dyDescent="0.15">
      <c r="A352" t="s">
        <v>72</v>
      </c>
      <c r="B352" t="s">
        <v>6621</v>
      </c>
      <c r="C352" t="s">
        <v>74</v>
      </c>
      <c r="D352" t="s">
        <v>74</v>
      </c>
      <c r="E352" t="s">
        <v>74</v>
      </c>
      <c r="F352" t="s">
        <v>6622</v>
      </c>
      <c r="G352" t="s">
        <v>74</v>
      </c>
      <c r="H352" t="s">
        <v>74</v>
      </c>
      <c r="I352" t="s">
        <v>6623</v>
      </c>
      <c r="J352" t="s">
        <v>2944</v>
      </c>
      <c r="K352" t="s">
        <v>74</v>
      </c>
      <c r="L352" t="s">
        <v>74</v>
      </c>
      <c r="M352" t="s">
        <v>78</v>
      </c>
      <c r="N352" t="s">
        <v>79</v>
      </c>
      <c r="O352" t="s">
        <v>74</v>
      </c>
      <c r="P352" t="s">
        <v>74</v>
      </c>
      <c r="Q352" t="s">
        <v>74</v>
      </c>
      <c r="R352" t="s">
        <v>74</v>
      </c>
      <c r="S352" t="s">
        <v>74</v>
      </c>
      <c r="T352" t="s">
        <v>74</v>
      </c>
      <c r="U352" t="s">
        <v>6624</v>
      </c>
      <c r="V352" t="s">
        <v>6625</v>
      </c>
      <c r="W352" t="s">
        <v>6626</v>
      </c>
      <c r="X352" t="s">
        <v>6627</v>
      </c>
      <c r="Y352" t="s">
        <v>6628</v>
      </c>
      <c r="Z352" t="s">
        <v>6629</v>
      </c>
      <c r="AA352" t="s">
        <v>6630</v>
      </c>
      <c r="AB352" t="s">
        <v>6631</v>
      </c>
      <c r="AC352" t="s">
        <v>6632</v>
      </c>
      <c r="AD352" t="s">
        <v>6633</v>
      </c>
      <c r="AE352" t="s">
        <v>6634</v>
      </c>
      <c r="AF352" t="s">
        <v>74</v>
      </c>
      <c r="AG352">
        <v>37</v>
      </c>
      <c r="AH352">
        <v>107</v>
      </c>
      <c r="AI352">
        <v>109</v>
      </c>
      <c r="AJ352">
        <v>0</v>
      </c>
      <c r="AK352">
        <v>18</v>
      </c>
      <c r="AL352" t="s">
        <v>2955</v>
      </c>
      <c r="AM352" t="s">
        <v>2956</v>
      </c>
      <c r="AN352" t="s">
        <v>2957</v>
      </c>
      <c r="AO352" t="s">
        <v>2958</v>
      </c>
      <c r="AP352" t="s">
        <v>2959</v>
      </c>
      <c r="AQ352" t="s">
        <v>74</v>
      </c>
      <c r="AR352" t="s">
        <v>2960</v>
      </c>
      <c r="AS352" t="s">
        <v>2961</v>
      </c>
      <c r="AT352" t="s">
        <v>74</v>
      </c>
      <c r="AU352">
        <v>2011</v>
      </c>
      <c r="AV352">
        <v>11</v>
      </c>
      <c r="AW352">
        <v>9</v>
      </c>
      <c r="AX352" t="s">
        <v>74</v>
      </c>
      <c r="AY352" t="s">
        <v>74</v>
      </c>
      <c r="AZ352" t="s">
        <v>74</v>
      </c>
      <c r="BA352" t="s">
        <v>74</v>
      </c>
      <c r="BB352">
        <v>4521</v>
      </c>
      <c r="BC352">
        <v>4531</v>
      </c>
      <c r="BD352" t="s">
        <v>74</v>
      </c>
      <c r="BE352" t="s">
        <v>6635</v>
      </c>
      <c r="BF352" t="str">
        <f>HYPERLINK("http://dx.doi.org/10.5194/acp-11-4521-2011","http://dx.doi.org/10.5194/acp-11-4521-2011")</f>
        <v>http://dx.doi.org/10.5194/acp-11-4521-2011</v>
      </c>
      <c r="BG352" t="s">
        <v>74</v>
      </c>
      <c r="BH352" t="s">
        <v>74</v>
      </c>
      <c r="BI352">
        <v>11</v>
      </c>
      <c r="BJ352" t="s">
        <v>2963</v>
      </c>
      <c r="BK352" t="s">
        <v>100</v>
      </c>
      <c r="BL352" t="s">
        <v>2964</v>
      </c>
      <c r="BM352" t="s">
        <v>6619</v>
      </c>
      <c r="BN352" t="s">
        <v>74</v>
      </c>
      <c r="BO352" t="s">
        <v>5804</v>
      </c>
      <c r="BP352" t="s">
        <v>74</v>
      </c>
      <c r="BQ352" t="s">
        <v>74</v>
      </c>
      <c r="BR352" t="s">
        <v>103</v>
      </c>
      <c r="BS352" t="s">
        <v>6636</v>
      </c>
      <c r="BT352" t="str">
        <f>HYPERLINK("https%3A%2F%2Fwww.webofscience.com%2Fwos%2Fwoscc%2Ffull-record%2FWOS:000290618600032","View Full Record in Web of Science")</f>
        <v>View Full Record in Web of Science</v>
      </c>
    </row>
    <row r="353" spans="1:72" x14ac:dyDescent="0.15">
      <c r="A353" t="s">
        <v>72</v>
      </c>
      <c r="B353" t="s">
        <v>6637</v>
      </c>
      <c r="C353" t="s">
        <v>74</v>
      </c>
      <c r="D353" t="s">
        <v>74</v>
      </c>
      <c r="E353" t="s">
        <v>74</v>
      </c>
      <c r="F353" t="s">
        <v>6638</v>
      </c>
      <c r="G353" t="s">
        <v>74</v>
      </c>
      <c r="H353" t="s">
        <v>74</v>
      </c>
      <c r="I353" t="s">
        <v>6639</v>
      </c>
      <c r="J353" t="s">
        <v>2944</v>
      </c>
      <c r="K353" t="s">
        <v>74</v>
      </c>
      <c r="L353" t="s">
        <v>74</v>
      </c>
      <c r="M353" t="s">
        <v>78</v>
      </c>
      <c r="N353" t="s">
        <v>79</v>
      </c>
      <c r="O353" t="s">
        <v>74</v>
      </c>
      <c r="P353" t="s">
        <v>74</v>
      </c>
      <c r="Q353" t="s">
        <v>74</v>
      </c>
      <c r="R353" t="s">
        <v>74</v>
      </c>
      <c r="S353" t="s">
        <v>74</v>
      </c>
      <c r="T353" t="s">
        <v>74</v>
      </c>
      <c r="U353" t="s">
        <v>6640</v>
      </c>
      <c r="V353" t="s">
        <v>6641</v>
      </c>
      <c r="W353" t="s">
        <v>6642</v>
      </c>
      <c r="X353" t="s">
        <v>6643</v>
      </c>
      <c r="Y353" t="s">
        <v>6644</v>
      </c>
      <c r="Z353" t="s">
        <v>6645</v>
      </c>
      <c r="AA353" t="s">
        <v>6646</v>
      </c>
      <c r="AB353" t="s">
        <v>6647</v>
      </c>
      <c r="AC353" t="s">
        <v>6648</v>
      </c>
      <c r="AD353" t="s">
        <v>6649</v>
      </c>
      <c r="AE353" t="s">
        <v>6650</v>
      </c>
      <c r="AF353" t="s">
        <v>74</v>
      </c>
      <c r="AG353">
        <v>30</v>
      </c>
      <c r="AH353">
        <v>32</v>
      </c>
      <c r="AI353">
        <v>35</v>
      </c>
      <c r="AJ353">
        <v>0</v>
      </c>
      <c r="AK353">
        <v>10</v>
      </c>
      <c r="AL353" t="s">
        <v>2955</v>
      </c>
      <c r="AM353" t="s">
        <v>2956</v>
      </c>
      <c r="AN353" t="s">
        <v>2957</v>
      </c>
      <c r="AO353" t="s">
        <v>2958</v>
      </c>
      <c r="AP353" t="s">
        <v>2959</v>
      </c>
      <c r="AQ353" t="s">
        <v>74</v>
      </c>
      <c r="AR353" t="s">
        <v>2960</v>
      </c>
      <c r="AS353" t="s">
        <v>2961</v>
      </c>
      <c r="AT353" t="s">
        <v>74</v>
      </c>
      <c r="AU353">
        <v>2011</v>
      </c>
      <c r="AV353">
        <v>11</v>
      </c>
      <c r="AW353">
        <v>10</v>
      </c>
      <c r="AX353" t="s">
        <v>74</v>
      </c>
      <c r="AY353" t="s">
        <v>74</v>
      </c>
      <c r="AZ353" t="s">
        <v>74</v>
      </c>
      <c r="BA353" t="s">
        <v>74</v>
      </c>
      <c r="BB353">
        <v>4645</v>
      </c>
      <c r="BC353">
        <v>4655</v>
      </c>
      <c r="BD353" t="s">
        <v>74</v>
      </c>
      <c r="BE353" t="s">
        <v>6651</v>
      </c>
      <c r="BF353" t="str">
        <f>HYPERLINK("http://dx.doi.org/10.5194/acp-11-4645-2011","http://dx.doi.org/10.5194/acp-11-4645-2011")</f>
        <v>http://dx.doi.org/10.5194/acp-11-4645-2011</v>
      </c>
      <c r="BG353" t="s">
        <v>74</v>
      </c>
      <c r="BH353" t="s">
        <v>74</v>
      </c>
      <c r="BI353">
        <v>11</v>
      </c>
      <c r="BJ353" t="s">
        <v>2963</v>
      </c>
      <c r="BK353" t="s">
        <v>100</v>
      </c>
      <c r="BL353" t="s">
        <v>2964</v>
      </c>
      <c r="BM353" t="s">
        <v>6652</v>
      </c>
      <c r="BN353" t="s">
        <v>74</v>
      </c>
      <c r="BO353" t="s">
        <v>4532</v>
      </c>
      <c r="BP353" t="s">
        <v>74</v>
      </c>
      <c r="BQ353" t="s">
        <v>74</v>
      </c>
      <c r="BR353" t="s">
        <v>103</v>
      </c>
      <c r="BS353" t="s">
        <v>6653</v>
      </c>
      <c r="BT353" t="str">
        <f>HYPERLINK("https%3A%2F%2Fwww.webofscience.com%2Fwos%2Fwoscc%2Ffull-record%2FWOS:000291094500003","View Full Record in Web of Science")</f>
        <v>View Full Record in Web of Science</v>
      </c>
    </row>
    <row r="354" spans="1:72" x14ac:dyDescent="0.15">
      <c r="A354" t="s">
        <v>72</v>
      </c>
      <c r="B354" t="s">
        <v>6621</v>
      </c>
      <c r="C354" t="s">
        <v>74</v>
      </c>
      <c r="D354" t="s">
        <v>74</v>
      </c>
      <c r="E354" t="s">
        <v>74</v>
      </c>
      <c r="F354" t="s">
        <v>6654</v>
      </c>
      <c r="G354" t="s">
        <v>74</v>
      </c>
      <c r="H354" t="s">
        <v>74</v>
      </c>
      <c r="I354" t="s">
        <v>6655</v>
      </c>
      <c r="J354" t="s">
        <v>2944</v>
      </c>
      <c r="K354" t="s">
        <v>74</v>
      </c>
      <c r="L354" t="s">
        <v>74</v>
      </c>
      <c r="M354" t="s">
        <v>78</v>
      </c>
      <c r="N354" t="s">
        <v>6656</v>
      </c>
      <c r="O354" t="s">
        <v>74</v>
      </c>
      <c r="P354" t="s">
        <v>74</v>
      </c>
      <c r="Q354" t="s">
        <v>74</v>
      </c>
      <c r="R354" t="s">
        <v>74</v>
      </c>
      <c r="S354" t="s">
        <v>74</v>
      </c>
      <c r="T354" t="s">
        <v>74</v>
      </c>
      <c r="U354" t="s">
        <v>74</v>
      </c>
      <c r="V354" t="s">
        <v>74</v>
      </c>
      <c r="W354" t="s">
        <v>6657</v>
      </c>
      <c r="X354" t="s">
        <v>6658</v>
      </c>
      <c r="Y354" t="s">
        <v>6628</v>
      </c>
      <c r="Z354" t="s">
        <v>6629</v>
      </c>
      <c r="AA354" t="s">
        <v>6659</v>
      </c>
      <c r="AB354" t="s">
        <v>6660</v>
      </c>
      <c r="AC354" t="s">
        <v>74</v>
      </c>
      <c r="AD354" t="s">
        <v>74</v>
      </c>
      <c r="AE354" t="s">
        <v>74</v>
      </c>
      <c r="AF354" t="s">
        <v>74</v>
      </c>
      <c r="AG354">
        <v>1</v>
      </c>
      <c r="AH354">
        <v>1</v>
      </c>
      <c r="AI354">
        <v>1</v>
      </c>
      <c r="AJ354">
        <v>0</v>
      </c>
      <c r="AK354">
        <v>11</v>
      </c>
      <c r="AL354" t="s">
        <v>2955</v>
      </c>
      <c r="AM354" t="s">
        <v>2956</v>
      </c>
      <c r="AN354" t="s">
        <v>2957</v>
      </c>
      <c r="AO354" t="s">
        <v>2958</v>
      </c>
      <c r="AP354" t="s">
        <v>74</v>
      </c>
      <c r="AQ354" t="s">
        <v>74</v>
      </c>
      <c r="AR354" t="s">
        <v>2960</v>
      </c>
      <c r="AS354" t="s">
        <v>2961</v>
      </c>
      <c r="AT354" t="s">
        <v>74</v>
      </c>
      <c r="AU354">
        <v>2011</v>
      </c>
      <c r="AV354">
        <v>11</v>
      </c>
      <c r="AW354">
        <v>10</v>
      </c>
      <c r="AX354" t="s">
        <v>74</v>
      </c>
      <c r="AY354" t="s">
        <v>74</v>
      </c>
      <c r="AZ354" t="s">
        <v>74</v>
      </c>
      <c r="BA354" t="s">
        <v>74</v>
      </c>
      <c r="BB354">
        <v>4687</v>
      </c>
      <c r="BC354">
        <v>4687</v>
      </c>
      <c r="BD354" t="s">
        <v>74</v>
      </c>
      <c r="BE354" t="s">
        <v>6661</v>
      </c>
      <c r="BF354" t="str">
        <f>HYPERLINK("http://dx.doi.org/10.5194/acp-11-4687-2011","http://dx.doi.org/10.5194/acp-11-4687-2011")</f>
        <v>http://dx.doi.org/10.5194/acp-11-4687-2011</v>
      </c>
      <c r="BG354" t="s">
        <v>74</v>
      </c>
      <c r="BH354" t="s">
        <v>74</v>
      </c>
      <c r="BI354">
        <v>1</v>
      </c>
      <c r="BJ354" t="s">
        <v>2963</v>
      </c>
      <c r="BK354" t="s">
        <v>100</v>
      </c>
      <c r="BL354" t="s">
        <v>2964</v>
      </c>
      <c r="BM354" t="s">
        <v>6652</v>
      </c>
      <c r="BN354" t="s">
        <v>74</v>
      </c>
      <c r="BO354" t="s">
        <v>2317</v>
      </c>
      <c r="BP354" t="s">
        <v>74</v>
      </c>
      <c r="BQ354" t="s">
        <v>74</v>
      </c>
      <c r="BR354" t="s">
        <v>103</v>
      </c>
      <c r="BS354" t="s">
        <v>6662</v>
      </c>
      <c r="BT354" t="str">
        <f>HYPERLINK("https%3A%2F%2Fwww.webofscience.com%2Fwos%2Fwoscc%2Ffull-record%2FWOS:000291094500007","View Full Record in Web of Science")</f>
        <v>View Full Record in Web of Science</v>
      </c>
    </row>
    <row r="355" spans="1:72" x14ac:dyDescent="0.15">
      <c r="A355" t="s">
        <v>72</v>
      </c>
      <c r="B355" t="s">
        <v>6663</v>
      </c>
      <c r="C355" t="s">
        <v>74</v>
      </c>
      <c r="D355" t="s">
        <v>74</v>
      </c>
      <c r="E355" t="s">
        <v>74</v>
      </c>
      <c r="F355" t="s">
        <v>6664</v>
      </c>
      <c r="G355" t="s">
        <v>74</v>
      </c>
      <c r="H355" t="s">
        <v>74</v>
      </c>
      <c r="I355" t="s">
        <v>6665</v>
      </c>
      <c r="J355" t="s">
        <v>2944</v>
      </c>
      <c r="K355" t="s">
        <v>74</v>
      </c>
      <c r="L355" t="s">
        <v>74</v>
      </c>
      <c r="M355" t="s">
        <v>78</v>
      </c>
      <c r="N355" t="s">
        <v>79</v>
      </c>
      <c r="O355" t="s">
        <v>74</v>
      </c>
      <c r="P355" t="s">
        <v>74</v>
      </c>
      <c r="Q355" t="s">
        <v>74</v>
      </c>
      <c r="R355" t="s">
        <v>74</v>
      </c>
      <c r="S355" t="s">
        <v>74</v>
      </c>
      <c r="T355" t="s">
        <v>74</v>
      </c>
      <c r="U355" t="s">
        <v>6666</v>
      </c>
      <c r="V355" t="s">
        <v>6667</v>
      </c>
      <c r="W355" t="s">
        <v>6668</v>
      </c>
      <c r="X355" t="s">
        <v>6669</v>
      </c>
      <c r="Y355" t="s">
        <v>6670</v>
      </c>
      <c r="Z355" t="s">
        <v>6671</v>
      </c>
      <c r="AA355" t="s">
        <v>6672</v>
      </c>
      <c r="AB355" t="s">
        <v>6673</v>
      </c>
      <c r="AC355" t="s">
        <v>6674</v>
      </c>
      <c r="AD355" t="s">
        <v>6675</v>
      </c>
      <c r="AE355" t="s">
        <v>6676</v>
      </c>
      <c r="AF355" t="s">
        <v>74</v>
      </c>
      <c r="AG355">
        <v>37</v>
      </c>
      <c r="AH355">
        <v>7</v>
      </c>
      <c r="AI355">
        <v>7</v>
      </c>
      <c r="AJ355">
        <v>0</v>
      </c>
      <c r="AK355">
        <v>6</v>
      </c>
      <c r="AL355" t="s">
        <v>2955</v>
      </c>
      <c r="AM355" t="s">
        <v>2956</v>
      </c>
      <c r="AN355" t="s">
        <v>2957</v>
      </c>
      <c r="AO355" t="s">
        <v>2958</v>
      </c>
      <c r="AP355" t="s">
        <v>2959</v>
      </c>
      <c r="AQ355" t="s">
        <v>74</v>
      </c>
      <c r="AR355" t="s">
        <v>2960</v>
      </c>
      <c r="AS355" t="s">
        <v>2961</v>
      </c>
      <c r="AT355" t="s">
        <v>74</v>
      </c>
      <c r="AU355">
        <v>2011</v>
      </c>
      <c r="AV355">
        <v>11</v>
      </c>
      <c r="AW355">
        <v>11</v>
      </c>
      <c r="AX355" t="s">
        <v>74</v>
      </c>
      <c r="AY355" t="s">
        <v>74</v>
      </c>
      <c r="AZ355" t="s">
        <v>74</v>
      </c>
      <c r="BA355" t="s">
        <v>74</v>
      </c>
      <c r="BB355">
        <v>5183</v>
      </c>
      <c r="BC355">
        <v>5193</v>
      </c>
      <c r="BD355" t="s">
        <v>74</v>
      </c>
      <c r="BE355" t="s">
        <v>6677</v>
      </c>
      <c r="BF355" t="str">
        <f>HYPERLINK("http://dx.doi.org/10.5194/acp-11-5183-2011","http://dx.doi.org/10.5194/acp-11-5183-2011")</f>
        <v>http://dx.doi.org/10.5194/acp-11-5183-2011</v>
      </c>
      <c r="BG355" t="s">
        <v>74</v>
      </c>
      <c r="BH355" t="s">
        <v>74</v>
      </c>
      <c r="BI355">
        <v>11</v>
      </c>
      <c r="BJ355" t="s">
        <v>2963</v>
      </c>
      <c r="BK355" t="s">
        <v>100</v>
      </c>
      <c r="BL355" t="s">
        <v>2964</v>
      </c>
      <c r="BM355" t="s">
        <v>6678</v>
      </c>
      <c r="BN355" t="s">
        <v>74</v>
      </c>
      <c r="BO355" t="s">
        <v>2456</v>
      </c>
      <c r="BP355" t="s">
        <v>74</v>
      </c>
      <c r="BQ355" t="s">
        <v>74</v>
      </c>
      <c r="BR355" t="s">
        <v>103</v>
      </c>
      <c r="BS355" t="s">
        <v>6679</v>
      </c>
      <c r="BT355" t="str">
        <f>HYPERLINK("https%3A%2F%2Fwww.webofscience.com%2Fwos%2Fwoscc%2Ffull-record%2FWOS:000291636400005","View Full Record in Web of Science")</f>
        <v>View Full Record in Web of Science</v>
      </c>
    </row>
    <row r="356" spans="1:72" x14ac:dyDescent="0.15">
      <c r="A356" t="s">
        <v>72</v>
      </c>
      <c r="B356" t="s">
        <v>6680</v>
      </c>
      <c r="C356" t="s">
        <v>74</v>
      </c>
      <c r="D356" t="s">
        <v>74</v>
      </c>
      <c r="E356" t="s">
        <v>74</v>
      </c>
      <c r="F356" t="s">
        <v>6681</v>
      </c>
      <c r="G356" t="s">
        <v>74</v>
      </c>
      <c r="H356" t="s">
        <v>74</v>
      </c>
      <c r="I356" t="s">
        <v>6682</v>
      </c>
      <c r="J356" t="s">
        <v>2944</v>
      </c>
      <c r="K356" t="s">
        <v>74</v>
      </c>
      <c r="L356" t="s">
        <v>74</v>
      </c>
      <c r="M356" t="s">
        <v>78</v>
      </c>
      <c r="N356" t="s">
        <v>79</v>
      </c>
      <c r="O356" t="s">
        <v>74</v>
      </c>
      <c r="P356" t="s">
        <v>74</v>
      </c>
      <c r="Q356" t="s">
        <v>74</v>
      </c>
      <c r="R356" t="s">
        <v>74</v>
      </c>
      <c r="S356" t="s">
        <v>74</v>
      </c>
      <c r="T356" t="s">
        <v>74</v>
      </c>
      <c r="U356" t="s">
        <v>6683</v>
      </c>
      <c r="V356" t="s">
        <v>6684</v>
      </c>
      <c r="W356" t="s">
        <v>6685</v>
      </c>
      <c r="X356" t="s">
        <v>6686</v>
      </c>
      <c r="Y356" t="s">
        <v>3251</v>
      </c>
      <c r="Z356" t="s">
        <v>3252</v>
      </c>
      <c r="AA356" t="s">
        <v>3253</v>
      </c>
      <c r="AB356" t="s">
        <v>3254</v>
      </c>
      <c r="AC356" t="s">
        <v>6687</v>
      </c>
      <c r="AD356" t="s">
        <v>3556</v>
      </c>
      <c r="AE356" t="s">
        <v>74</v>
      </c>
      <c r="AF356" t="s">
        <v>74</v>
      </c>
      <c r="AG356">
        <v>62</v>
      </c>
      <c r="AH356">
        <v>28</v>
      </c>
      <c r="AI356">
        <v>29</v>
      </c>
      <c r="AJ356">
        <v>0</v>
      </c>
      <c r="AK356">
        <v>19</v>
      </c>
      <c r="AL356" t="s">
        <v>2955</v>
      </c>
      <c r="AM356" t="s">
        <v>2956</v>
      </c>
      <c r="AN356" t="s">
        <v>2957</v>
      </c>
      <c r="AO356" t="s">
        <v>2958</v>
      </c>
      <c r="AP356" t="s">
        <v>2959</v>
      </c>
      <c r="AQ356" t="s">
        <v>74</v>
      </c>
      <c r="AR356" t="s">
        <v>2960</v>
      </c>
      <c r="AS356" t="s">
        <v>2961</v>
      </c>
      <c r="AT356" t="s">
        <v>74</v>
      </c>
      <c r="AU356">
        <v>2011</v>
      </c>
      <c r="AV356">
        <v>11</v>
      </c>
      <c r="AW356">
        <v>11</v>
      </c>
      <c r="AX356" t="s">
        <v>74</v>
      </c>
      <c r="AY356" t="s">
        <v>74</v>
      </c>
      <c r="AZ356" t="s">
        <v>74</v>
      </c>
      <c r="BA356" t="s">
        <v>74</v>
      </c>
      <c r="BB356">
        <v>5471</v>
      </c>
      <c r="BC356">
        <v>5484</v>
      </c>
      <c r="BD356" t="s">
        <v>74</v>
      </c>
      <c r="BE356" t="s">
        <v>6688</v>
      </c>
      <c r="BF356" t="str">
        <f>HYPERLINK("http://dx.doi.org/10.5194/acp-11-5471-2011","http://dx.doi.org/10.5194/acp-11-5471-2011")</f>
        <v>http://dx.doi.org/10.5194/acp-11-5471-2011</v>
      </c>
      <c r="BG356" t="s">
        <v>74</v>
      </c>
      <c r="BH356" t="s">
        <v>74</v>
      </c>
      <c r="BI356">
        <v>14</v>
      </c>
      <c r="BJ356" t="s">
        <v>2963</v>
      </c>
      <c r="BK356" t="s">
        <v>100</v>
      </c>
      <c r="BL356" t="s">
        <v>2964</v>
      </c>
      <c r="BM356" t="s">
        <v>6678</v>
      </c>
      <c r="BN356" t="s">
        <v>74</v>
      </c>
      <c r="BO356" t="s">
        <v>2456</v>
      </c>
      <c r="BP356" t="s">
        <v>74</v>
      </c>
      <c r="BQ356" t="s">
        <v>74</v>
      </c>
      <c r="BR356" t="s">
        <v>103</v>
      </c>
      <c r="BS356" t="s">
        <v>6689</v>
      </c>
      <c r="BT356" t="str">
        <f>HYPERLINK("https%3A%2F%2Fwww.webofscience.com%2Fwos%2Fwoscc%2Ffull-record%2FWOS:000291636400022","View Full Record in Web of Science")</f>
        <v>View Full Record in Web of Science</v>
      </c>
    </row>
    <row r="357" spans="1:72" x14ac:dyDescent="0.15">
      <c r="A357" t="s">
        <v>72</v>
      </c>
      <c r="B357" t="s">
        <v>6690</v>
      </c>
      <c r="C357" t="s">
        <v>74</v>
      </c>
      <c r="D357" t="s">
        <v>74</v>
      </c>
      <c r="E357" t="s">
        <v>74</v>
      </c>
      <c r="F357" t="s">
        <v>6691</v>
      </c>
      <c r="G357" t="s">
        <v>74</v>
      </c>
      <c r="H357" t="s">
        <v>74</v>
      </c>
      <c r="I357" t="s">
        <v>6692</v>
      </c>
      <c r="J357" t="s">
        <v>2944</v>
      </c>
      <c r="K357" t="s">
        <v>74</v>
      </c>
      <c r="L357" t="s">
        <v>74</v>
      </c>
      <c r="M357" t="s">
        <v>78</v>
      </c>
      <c r="N357" t="s">
        <v>79</v>
      </c>
      <c r="O357" t="s">
        <v>74</v>
      </c>
      <c r="P357" t="s">
        <v>74</v>
      </c>
      <c r="Q357" t="s">
        <v>74</v>
      </c>
      <c r="R357" t="s">
        <v>74</v>
      </c>
      <c r="S357" t="s">
        <v>74</v>
      </c>
      <c r="T357" t="s">
        <v>74</v>
      </c>
      <c r="U357" t="s">
        <v>6693</v>
      </c>
      <c r="V357" t="s">
        <v>6694</v>
      </c>
      <c r="W357" t="s">
        <v>6695</v>
      </c>
      <c r="X357" t="s">
        <v>6696</v>
      </c>
      <c r="Y357" t="s">
        <v>6697</v>
      </c>
      <c r="Z357" t="s">
        <v>6698</v>
      </c>
      <c r="AA357" t="s">
        <v>6699</v>
      </c>
      <c r="AB357" t="s">
        <v>6700</v>
      </c>
      <c r="AC357" t="s">
        <v>6701</v>
      </c>
      <c r="AD357" t="s">
        <v>6702</v>
      </c>
      <c r="AE357" t="s">
        <v>6703</v>
      </c>
      <c r="AF357" t="s">
        <v>74</v>
      </c>
      <c r="AG357">
        <v>84</v>
      </c>
      <c r="AH357">
        <v>35</v>
      </c>
      <c r="AI357">
        <v>40</v>
      </c>
      <c r="AJ357">
        <v>1</v>
      </c>
      <c r="AK357">
        <v>25</v>
      </c>
      <c r="AL357" t="s">
        <v>2955</v>
      </c>
      <c r="AM357" t="s">
        <v>2956</v>
      </c>
      <c r="AN357" t="s">
        <v>2957</v>
      </c>
      <c r="AO357" t="s">
        <v>2958</v>
      </c>
      <c r="AP357" t="s">
        <v>2959</v>
      </c>
      <c r="AQ357" t="s">
        <v>74</v>
      </c>
      <c r="AR357" t="s">
        <v>2960</v>
      </c>
      <c r="AS357" t="s">
        <v>2961</v>
      </c>
      <c r="AT357" t="s">
        <v>74</v>
      </c>
      <c r="AU357">
        <v>2011</v>
      </c>
      <c r="AV357">
        <v>11</v>
      </c>
      <c r="AW357">
        <v>17</v>
      </c>
      <c r="AX357" t="s">
        <v>74</v>
      </c>
      <c r="AY357" t="s">
        <v>74</v>
      </c>
      <c r="AZ357" t="s">
        <v>74</v>
      </c>
      <c r="BA357" t="s">
        <v>74</v>
      </c>
      <c r="BB357">
        <v>9271</v>
      </c>
      <c r="BC357">
        <v>9285</v>
      </c>
      <c r="BD357" t="s">
        <v>74</v>
      </c>
      <c r="BE357" t="s">
        <v>6704</v>
      </c>
      <c r="BF357" t="str">
        <f>HYPERLINK("http://dx.doi.org/10.5194/acp-11-9271-2011","http://dx.doi.org/10.5194/acp-11-9271-2011")</f>
        <v>http://dx.doi.org/10.5194/acp-11-9271-2011</v>
      </c>
      <c r="BG357" t="s">
        <v>74</v>
      </c>
      <c r="BH357" t="s">
        <v>74</v>
      </c>
      <c r="BI357">
        <v>15</v>
      </c>
      <c r="BJ357" t="s">
        <v>2963</v>
      </c>
      <c r="BK357" t="s">
        <v>100</v>
      </c>
      <c r="BL357" t="s">
        <v>2964</v>
      </c>
      <c r="BM357" t="s">
        <v>6705</v>
      </c>
      <c r="BN357" t="s">
        <v>74</v>
      </c>
      <c r="BO357" t="s">
        <v>5848</v>
      </c>
      <c r="BP357" t="s">
        <v>74</v>
      </c>
      <c r="BQ357" t="s">
        <v>74</v>
      </c>
      <c r="BR357" t="s">
        <v>103</v>
      </c>
      <c r="BS357" t="s">
        <v>6706</v>
      </c>
      <c r="BT357" t="str">
        <f>HYPERLINK("https%3A%2F%2Fwww.webofscience.com%2Fwos%2Fwoscc%2Ffull-record%2FWOS:000294809200023","View Full Record in Web of Science")</f>
        <v>View Full Record in Web of Science</v>
      </c>
    </row>
    <row r="358" spans="1:72" x14ac:dyDescent="0.15">
      <c r="A358" t="s">
        <v>72</v>
      </c>
      <c r="B358" t="s">
        <v>6707</v>
      </c>
      <c r="C358" t="s">
        <v>74</v>
      </c>
      <c r="D358" t="s">
        <v>74</v>
      </c>
      <c r="E358" t="s">
        <v>74</v>
      </c>
      <c r="F358" t="s">
        <v>6708</v>
      </c>
      <c r="G358" t="s">
        <v>74</v>
      </c>
      <c r="H358" t="s">
        <v>74</v>
      </c>
      <c r="I358" t="s">
        <v>6709</v>
      </c>
      <c r="J358" t="s">
        <v>2944</v>
      </c>
      <c r="K358" t="s">
        <v>74</v>
      </c>
      <c r="L358" t="s">
        <v>74</v>
      </c>
      <c r="M358" t="s">
        <v>78</v>
      </c>
      <c r="N358" t="s">
        <v>79</v>
      </c>
      <c r="O358" t="s">
        <v>74</v>
      </c>
      <c r="P358" t="s">
        <v>74</v>
      </c>
      <c r="Q358" t="s">
        <v>74</v>
      </c>
      <c r="R358" t="s">
        <v>74</v>
      </c>
      <c r="S358" t="s">
        <v>74</v>
      </c>
      <c r="T358" t="s">
        <v>74</v>
      </c>
      <c r="U358" t="s">
        <v>6710</v>
      </c>
      <c r="V358" t="s">
        <v>6711</v>
      </c>
      <c r="W358" t="s">
        <v>6712</v>
      </c>
      <c r="X358" t="s">
        <v>6713</v>
      </c>
      <c r="Y358" t="s">
        <v>6714</v>
      </c>
      <c r="Z358" t="s">
        <v>6715</v>
      </c>
      <c r="AA358" t="s">
        <v>6716</v>
      </c>
      <c r="AB358" t="s">
        <v>6717</v>
      </c>
      <c r="AC358" t="s">
        <v>6718</v>
      </c>
      <c r="AD358" t="s">
        <v>6719</v>
      </c>
      <c r="AE358" t="s">
        <v>6720</v>
      </c>
      <c r="AF358" t="s">
        <v>74</v>
      </c>
      <c r="AG358">
        <v>48</v>
      </c>
      <c r="AH358">
        <v>35</v>
      </c>
      <c r="AI358">
        <v>36</v>
      </c>
      <c r="AJ358">
        <v>0</v>
      </c>
      <c r="AK358">
        <v>11</v>
      </c>
      <c r="AL358" t="s">
        <v>2955</v>
      </c>
      <c r="AM358" t="s">
        <v>2956</v>
      </c>
      <c r="AN358" t="s">
        <v>2957</v>
      </c>
      <c r="AO358" t="s">
        <v>2958</v>
      </c>
      <c r="AP358" t="s">
        <v>2959</v>
      </c>
      <c r="AQ358" t="s">
        <v>74</v>
      </c>
      <c r="AR358" t="s">
        <v>2960</v>
      </c>
      <c r="AS358" t="s">
        <v>2961</v>
      </c>
      <c r="AT358" t="s">
        <v>74</v>
      </c>
      <c r="AU358">
        <v>2011</v>
      </c>
      <c r="AV358">
        <v>11</v>
      </c>
      <c r="AW358">
        <v>18</v>
      </c>
      <c r="AX358" t="s">
        <v>74</v>
      </c>
      <c r="AY358" t="s">
        <v>74</v>
      </c>
      <c r="AZ358" t="s">
        <v>74</v>
      </c>
      <c r="BA358" t="s">
        <v>74</v>
      </c>
      <c r="BB358">
        <v>9659</v>
      </c>
      <c r="BC358">
        <v>9669</v>
      </c>
      <c r="BD358" t="s">
        <v>74</v>
      </c>
      <c r="BE358" t="s">
        <v>6721</v>
      </c>
      <c r="BF358" t="str">
        <f>HYPERLINK("http://dx.doi.org/10.5194/acp-11-9659-2011","http://dx.doi.org/10.5194/acp-11-9659-2011")</f>
        <v>http://dx.doi.org/10.5194/acp-11-9659-2011</v>
      </c>
      <c r="BG358" t="s">
        <v>74</v>
      </c>
      <c r="BH358" t="s">
        <v>74</v>
      </c>
      <c r="BI358">
        <v>11</v>
      </c>
      <c r="BJ358" t="s">
        <v>2963</v>
      </c>
      <c r="BK358" t="s">
        <v>100</v>
      </c>
      <c r="BL358" t="s">
        <v>2964</v>
      </c>
      <c r="BM358" t="s">
        <v>3259</v>
      </c>
      <c r="BN358" t="s">
        <v>74</v>
      </c>
      <c r="BO358" t="s">
        <v>2456</v>
      </c>
      <c r="BP358" t="s">
        <v>74</v>
      </c>
      <c r="BQ358" t="s">
        <v>74</v>
      </c>
      <c r="BR358" t="s">
        <v>103</v>
      </c>
      <c r="BS358" t="s">
        <v>6722</v>
      </c>
      <c r="BT358" t="str">
        <f>HYPERLINK("https%3A%2F%2Fwww.webofscience.com%2Fwos%2Fwoscc%2Ffull-record%2FWOS:000295368700015","View Full Record in Web of Science")</f>
        <v>View Full Record in Web of Science</v>
      </c>
    </row>
    <row r="359" spans="1:72" x14ac:dyDescent="0.15">
      <c r="A359" t="s">
        <v>72</v>
      </c>
      <c r="B359" t="s">
        <v>6723</v>
      </c>
      <c r="C359" t="s">
        <v>74</v>
      </c>
      <c r="D359" t="s">
        <v>74</v>
      </c>
      <c r="E359" t="s">
        <v>74</v>
      </c>
      <c r="F359" t="s">
        <v>6724</v>
      </c>
      <c r="G359" t="s">
        <v>74</v>
      </c>
      <c r="H359" t="s">
        <v>74</v>
      </c>
      <c r="I359" t="s">
        <v>6725</v>
      </c>
      <c r="J359" t="s">
        <v>2944</v>
      </c>
      <c r="K359" t="s">
        <v>74</v>
      </c>
      <c r="L359" t="s">
        <v>74</v>
      </c>
      <c r="M359" t="s">
        <v>78</v>
      </c>
      <c r="N359" t="s">
        <v>79</v>
      </c>
      <c r="O359" t="s">
        <v>74</v>
      </c>
      <c r="P359" t="s">
        <v>74</v>
      </c>
      <c r="Q359" t="s">
        <v>74</v>
      </c>
      <c r="R359" t="s">
        <v>74</v>
      </c>
      <c r="S359" t="s">
        <v>74</v>
      </c>
      <c r="T359" t="s">
        <v>74</v>
      </c>
      <c r="U359" t="s">
        <v>6726</v>
      </c>
      <c r="V359" t="s">
        <v>6727</v>
      </c>
      <c r="W359" t="s">
        <v>6728</v>
      </c>
      <c r="X359" t="s">
        <v>6729</v>
      </c>
      <c r="Y359" t="s">
        <v>6730</v>
      </c>
      <c r="Z359" t="s">
        <v>6731</v>
      </c>
      <c r="AA359" t="s">
        <v>6732</v>
      </c>
      <c r="AB359" t="s">
        <v>6733</v>
      </c>
      <c r="AC359" t="s">
        <v>6734</v>
      </c>
      <c r="AD359" t="s">
        <v>6735</v>
      </c>
      <c r="AE359" t="s">
        <v>6736</v>
      </c>
      <c r="AF359" t="s">
        <v>74</v>
      </c>
      <c r="AG359">
        <v>66</v>
      </c>
      <c r="AH359">
        <v>71</v>
      </c>
      <c r="AI359">
        <v>74</v>
      </c>
      <c r="AJ359">
        <v>0</v>
      </c>
      <c r="AK359">
        <v>28</v>
      </c>
      <c r="AL359" t="s">
        <v>2955</v>
      </c>
      <c r="AM359" t="s">
        <v>2956</v>
      </c>
      <c r="AN359" t="s">
        <v>2957</v>
      </c>
      <c r="AO359" t="s">
        <v>2958</v>
      </c>
      <c r="AP359" t="s">
        <v>2959</v>
      </c>
      <c r="AQ359" t="s">
        <v>74</v>
      </c>
      <c r="AR359" t="s">
        <v>2960</v>
      </c>
      <c r="AS359" t="s">
        <v>2961</v>
      </c>
      <c r="AT359" t="s">
        <v>74</v>
      </c>
      <c r="AU359">
        <v>2011</v>
      </c>
      <c r="AV359">
        <v>11</v>
      </c>
      <c r="AW359">
        <v>18</v>
      </c>
      <c r="AX359" t="s">
        <v>74</v>
      </c>
      <c r="AY359" t="s">
        <v>74</v>
      </c>
      <c r="AZ359" t="s">
        <v>74</v>
      </c>
      <c r="BA359" t="s">
        <v>74</v>
      </c>
      <c r="BB359">
        <v>9787</v>
      </c>
      <c r="BC359">
        <v>9801</v>
      </c>
      <c r="BD359" t="s">
        <v>74</v>
      </c>
      <c r="BE359" t="s">
        <v>6737</v>
      </c>
      <c r="BF359" t="str">
        <f>HYPERLINK("http://dx.doi.org/10.5194/acp-11-9787-2011","http://dx.doi.org/10.5194/acp-11-9787-2011")</f>
        <v>http://dx.doi.org/10.5194/acp-11-9787-2011</v>
      </c>
      <c r="BG359" t="s">
        <v>74</v>
      </c>
      <c r="BH359" t="s">
        <v>74</v>
      </c>
      <c r="BI359">
        <v>15</v>
      </c>
      <c r="BJ359" t="s">
        <v>2963</v>
      </c>
      <c r="BK359" t="s">
        <v>100</v>
      </c>
      <c r="BL359" t="s">
        <v>2964</v>
      </c>
      <c r="BM359" t="s">
        <v>3259</v>
      </c>
      <c r="BN359" t="s">
        <v>74</v>
      </c>
      <c r="BO359" t="s">
        <v>5804</v>
      </c>
      <c r="BP359" t="s">
        <v>74</v>
      </c>
      <c r="BQ359" t="s">
        <v>74</v>
      </c>
      <c r="BR359" t="s">
        <v>103</v>
      </c>
      <c r="BS359" t="s">
        <v>6738</v>
      </c>
      <c r="BT359" t="str">
        <f>HYPERLINK("https%3A%2F%2Fwww.webofscience.com%2Fwos%2Fwoscc%2Ffull-record%2FWOS:000295368700024","View Full Record in Web of Science")</f>
        <v>View Full Record in Web of Science</v>
      </c>
    </row>
    <row r="360" spans="1:72" x14ac:dyDescent="0.15">
      <c r="A360" t="s">
        <v>72</v>
      </c>
      <c r="B360" t="s">
        <v>6739</v>
      </c>
      <c r="C360" t="s">
        <v>74</v>
      </c>
      <c r="D360" t="s">
        <v>74</v>
      </c>
      <c r="E360" t="s">
        <v>74</v>
      </c>
      <c r="F360" t="s">
        <v>6740</v>
      </c>
      <c r="G360" t="s">
        <v>74</v>
      </c>
      <c r="H360" t="s">
        <v>74</v>
      </c>
      <c r="I360" t="s">
        <v>6741</v>
      </c>
      <c r="J360" t="s">
        <v>2944</v>
      </c>
      <c r="K360" t="s">
        <v>74</v>
      </c>
      <c r="L360" t="s">
        <v>74</v>
      </c>
      <c r="M360" t="s">
        <v>78</v>
      </c>
      <c r="N360" t="s">
        <v>79</v>
      </c>
      <c r="O360" t="s">
        <v>74</v>
      </c>
      <c r="P360" t="s">
        <v>74</v>
      </c>
      <c r="Q360" t="s">
        <v>74</v>
      </c>
      <c r="R360" t="s">
        <v>74</v>
      </c>
      <c r="S360" t="s">
        <v>74</v>
      </c>
      <c r="T360" t="s">
        <v>74</v>
      </c>
      <c r="U360" t="s">
        <v>6742</v>
      </c>
      <c r="V360" t="s">
        <v>6743</v>
      </c>
      <c r="W360" t="s">
        <v>6744</v>
      </c>
      <c r="X360" t="s">
        <v>6745</v>
      </c>
      <c r="Y360" t="s">
        <v>6746</v>
      </c>
      <c r="Z360" t="s">
        <v>6747</v>
      </c>
      <c r="AA360" t="s">
        <v>6748</v>
      </c>
      <c r="AB360" t="s">
        <v>6749</v>
      </c>
      <c r="AC360" t="s">
        <v>6750</v>
      </c>
      <c r="AD360" t="s">
        <v>6751</v>
      </c>
      <c r="AE360" t="s">
        <v>6752</v>
      </c>
      <c r="AF360" t="s">
        <v>74</v>
      </c>
      <c r="AG360">
        <v>53</v>
      </c>
      <c r="AH360">
        <v>31</v>
      </c>
      <c r="AI360">
        <v>39</v>
      </c>
      <c r="AJ360">
        <v>1</v>
      </c>
      <c r="AK360">
        <v>18</v>
      </c>
      <c r="AL360" t="s">
        <v>2955</v>
      </c>
      <c r="AM360" t="s">
        <v>2956</v>
      </c>
      <c r="AN360" t="s">
        <v>2957</v>
      </c>
      <c r="AO360" t="s">
        <v>2958</v>
      </c>
      <c r="AP360" t="s">
        <v>2959</v>
      </c>
      <c r="AQ360" t="s">
        <v>74</v>
      </c>
      <c r="AR360" t="s">
        <v>2960</v>
      </c>
      <c r="AS360" t="s">
        <v>2961</v>
      </c>
      <c r="AT360" t="s">
        <v>74</v>
      </c>
      <c r="AU360">
        <v>2011</v>
      </c>
      <c r="AV360">
        <v>11</v>
      </c>
      <c r="AW360">
        <v>21</v>
      </c>
      <c r="AX360" t="s">
        <v>74</v>
      </c>
      <c r="AY360" t="s">
        <v>74</v>
      </c>
      <c r="AZ360" t="s">
        <v>74</v>
      </c>
      <c r="BA360" t="s">
        <v>74</v>
      </c>
      <c r="BB360">
        <v>11007</v>
      </c>
      <c r="BC360">
        <v>11021</v>
      </c>
      <c r="BD360" t="s">
        <v>74</v>
      </c>
      <c r="BE360" t="s">
        <v>6753</v>
      </c>
      <c r="BF360" t="str">
        <f>HYPERLINK("http://dx.doi.org/10.5194/acp-11-11007-2011","http://dx.doi.org/10.5194/acp-11-11007-2011")</f>
        <v>http://dx.doi.org/10.5194/acp-11-11007-2011</v>
      </c>
      <c r="BG360" t="s">
        <v>74</v>
      </c>
      <c r="BH360" t="s">
        <v>74</v>
      </c>
      <c r="BI360">
        <v>15</v>
      </c>
      <c r="BJ360" t="s">
        <v>2963</v>
      </c>
      <c r="BK360" t="s">
        <v>100</v>
      </c>
      <c r="BL360" t="s">
        <v>2964</v>
      </c>
      <c r="BM360" t="s">
        <v>6754</v>
      </c>
      <c r="BN360" t="s">
        <v>74</v>
      </c>
      <c r="BO360" t="s">
        <v>2456</v>
      </c>
      <c r="BP360" t="s">
        <v>74</v>
      </c>
      <c r="BQ360" t="s">
        <v>74</v>
      </c>
      <c r="BR360" t="s">
        <v>103</v>
      </c>
      <c r="BS360" t="s">
        <v>6755</v>
      </c>
      <c r="BT360" t="str">
        <f>HYPERLINK("https%3A%2F%2Fwww.webofscience.com%2Fwos%2Fwoscc%2Ffull-record%2FWOS:000296967900016","View Full Record in Web of Science")</f>
        <v>View Full Record in Web of Science</v>
      </c>
    </row>
    <row r="361" spans="1:72" x14ac:dyDescent="0.15">
      <c r="A361" t="s">
        <v>72</v>
      </c>
      <c r="B361" t="s">
        <v>6756</v>
      </c>
      <c r="C361" t="s">
        <v>74</v>
      </c>
      <c r="D361" t="s">
        <v>74</v>
      </c>
      <c r="E361" t="s">
        <v>74</v>
      </c>
      <c r="F361" t="s">
        <v>6757</v>
      </c>
      <c r="G361" t="s">
        <v>74</v>
      </c>
      <c r="H361" t="s">
        <v>74</v>
      </c>
      <c r="I361" t="s">
        <v>6758</v>
      </c>
      <c r="J361" t="s">
        <v>2944</v>
      </c>
      <c r="K361" t="s">
        <v>74</v>
      </c>
      <c r="L361" t="s">
        <v>74</v>
      </c>
      <c r="M361" t="s">
        <v>78</v>
      </c>
      <c r="N361" t="s">
        <v>79</v>
      </c>
      <c r="O361" t="s">
        <v>74</v>
      </c>
      <c r="P361" t="s">
        <v>74</v>
      </c>
      <c r="Q361" t="s">
        <v>74</v>
      </c>
      <c r="R361" t="s">
        <v>74</v>
      </c>
      <c r="S361" t="s">
        <v>74</v>
      </c>
      <c r="T361" t="s">
        <v>74</v>
      </c>
      <c r="U361" t="s">
        <v>6759</v>
      </c>
      <c r="V361" t="s">
        <v>6760</v>
      </c>
      <c r="W361" t="s">
        <v>6761</v>
      </c>
      <c r="X361" t="s">
        <v>6762</v>
      </c>
      <c r="Y361" t="s">
        <v>6763</v>
      </c>
      <c r="Z361" t="s">
        <v>6764</v>
      </c>
      <c r="AA361" t="s">
        <v>6765</v>
      </c>
      <c r="AB361" t="s">
        <v>6766</v>
      </c>
      <c r="AC361" t="s">
        <v>6767</v>
      </c>
      <c r="AD361" t="s">
        <v>6768</v>
      </c>
      <c r="AE361" t="s">
        <v>6769</v>
      </c>
      <c r="AF361" t="s">
        <v>74</v>
      </c>
      <c r="AG361">
        <v>94</v>
      </c>
      <c r="AH361">
        <v>113</v>
      </c>
      <c r="AI361">
        <v>123</v>
      </c>
      <c r="AJ361">
        <v>1</v>
      </c>
      <c r="AK361">
        <v>39</v>
      </c>
      <c r="AL361" t="s">
        <v>2955</v>
      </c>
      <c r="AM361" t="s">
        <v>2956</v>
      </c>
      <c r="AN361" t="s">
        <v>2957</v>
      </c>
      <c r="AO361" t="s">
        <v>2958</v>
      </c>
      <c r="AP361" t="s">
        <v>2959</v>
      </c>
      <c r="AQ361" t="s">
        <v>74</v>
      </c>
      <c r="AR361" t="s">
        <v>2960</v>
      </c>
      <c r="AS361" t="s">
        <v>2961</v>
      </c>
      <c r="AT361" t="s">
        <v>74</v>
      </c>
      <c r="AU361">
        <v>2011</v>
      </c>
      <c r="AV361">
        <v>11</v>
      </c>
      <c r="AW361">
        <v>21</v>
      </c>
      <c r="AX361" t="s">
        <v>74</v>
      </c>
      <c r="AY361" t="s">
        <v>74</v>
      </c>
      <c r="AZ361" t="s">
        <v>74</v>
      </c>
      <c r="BA361" t="s">
        <v>74</v>
      </c>
      <c r="BB361">
        <v>11221</v>
      </c>
      <c r="BC361">
        <v>11235</v>
      </c>
      <c r="BD361" t="s">
        <v>74</v>
      </c>
      <c r="BE361" t="s">
        <v>6770</v>
      </c>
      <c r="BF361" t="str">
        <f>HYPERLINK("http://dx.doi.org/10.5194/acp-11-11221-2011","http://dx.doi.org/10.5194/acp-11-11221-2011")</f>
        <v>http://dx.doi.org/10.5194/acp-11-11221-2011</v>
      </c>
      <c r="BG361" t="s">
        <v>74</v>
      </c>
      <c r="BH361" t="s">
        <v>74</v>
      </c>
      <c r="BI361">
        <v>15</v>
      </c>
      <c r="BJ361" t="s">
        <v>2963</v>
      </c>
      <c r="BK361" t="s">
        <v>100</v>
      </c>
      <c r="BL361" t="s">
        <v>2964</v>
      </c>
      <c r="BM361" t="s">
        <v>6754</v>
      </c>
      <c r="BN361" t="s">
        <v>74</v>
      </c>
      <c r="BO361" t="s">
        <v>6771</v>
      </c>
      <c r="BP361" t="s">
        <v>74</v>
      </c>
      <c r="BQ361" t="s">
        <v>74</v>
      </c>
      <c r="BR361" t="s">
        <v>103</v>
      </c>
      <c r="BS361" t="s">
        <v>6772</v>
      </c>
      <c r="BT361" t="str">
        <f>HYPERLINK("https%3A%2F%2Fwww.webofscience.com%2Fwos%2Fwoscc%2Ffull-record%2FWOS:000296967900028","View Full Record in Web of Science")</f>
        <v>View Full Record in Web of Science</v>
      </c>
    </row>
    <row r="362" spans="1:72" x14ac:dyDescent="0.15">
      <c r="A362" t="s">
        <v>72</v>
      </c>
      <c r="B362" t="s">
        <v>6773</v>
      </c>
      <c r="C362" t="s">
        <v>74</v>
      </c>
      <c r="D362" t="s">
        <v>74</v>
      </c>
      <c r="E362" t="s">
        <v>74</v>
      </c>
      <c r="F362" t="s">
        <v>6774</v>
      </c>
      <c r="G362" t="s">
        <v>74</v>
      </c>
      <c r="H362" t="s">
        <v>74</v>
      </c>
      <c r="I362" t="s">
        <v>6775</v>
      </c>
      <c r="J362" t="s">
        <v>2944</v>
      </c>
      <c r="K362" t="s">
        <v>74</v>
      </c>
      <c r="L362" t="s">
        <v>74</v>
      </c>
      <c r="M362" t="s">
        <v>78</v>
      </c>
      <c r="N362" t="s">
        <v>79</v>
      </c>
      <c r="O362" t="s">
        <v>74</v>
      </c>
      <c r="P362" t="s">
        <v>74</v>
      </c>
      <c r="Q362" t="s">
        <v>74</v>
      </c>
      <c r="R362" t="s">
        <v>74</v>
      </c>
      <c r="S362" t="s">
        <v>74</v>
      </c>
      <c r="T362" t="s">
        <v>74</v>
      </c>
      <c r="U362" t="s">
        <v>6776</v>
      </c>
      <c r="V362" t="s">
        <v>6777</v>
      </c>
      <c r="W362" t="s">
        <v>6778</v>
      </c>
      <c r="X362" t="s">
        <v>6779</v>
      </c>
      <c r="Y362" t="s">
        <v>6780</v>
      </c>
      <c r="Z362" t="s">
        <v>5796</v>
      </c>
      <c r="AA362" t="s">
        <v>6781</v>
      </c>
      <c r="AB362" t="s">
        <v>6782</v>
      </c>
      <c r="AC362" t="s">
        <v>6783</v>
      </c>
      <c r="AD362" t="s">
        <v>6784</v>
      </c>
      <c r="AE362" t="s">
        <v>6785</v>
      </c>
      <c r="AF362" t="s">
        <v>74</v>
      </c>
      <c r="AG362">
        <v>39</v>
      </c>
      <c r="AH362">
        <v>28</v>
      </c>
      <c r="AI362">
        <v>29</v>
      </c>
      <c r="AJ362">
        <v>0</v>
      </c>
      <c r="AK362">
        <v>6</v>
      </c>
      <c r="AL362" t="s">
        <v>2955</v>
      </c>
      <c r="AM362" t="s">
        <v>2956</v>
      </c>
      <c r="AN362" t="s">
        <v>2957</v>
      </c>
      <c r="AO362" t="s">
        <v>2958</v>
      </c>
      <c r="AP362" t="s">
        <v>2959</v>
      </c>
      <c r="AQ362" t="s">
        <v>74</v>
      </c>
      <c r="AR362" t="s">
        <v>2960</v>
      </c>
      <c r="AS362" t="s">
        <v>2961</v>
      </c>
      <c r="AT362" t="s">
        <v>74</v>
      </c>
      <c r="AU362">
        <v>2011</v>
      </c>
      <c r="AV362">
        <v>11</v>
      </c>
      <c r="AW362">
        <v>23</v>
      </c>
      <c r="AX362" t="s">
        <v>74</v>
      </c>
      <c r="AY362" t="s">
        <v>74</v>
      </c>
      <c r="AZ362" t="s">
        <v>74</v>
      </c>
      <c r="BA362" t="s">
        <v>74</v>
      </c>
      <c r="BB362">
        <v>12137</v>
      </c>
      <c r="BC362">
        <v>12147</v>
      </c>
      <c r="BD362" t="s">
        <v>74</v>
      </c>
      <c r="BE362" t="s">
        <v>6786</v>
      </c>
      <c r="BF362" t="str">
        <f>HYPERLINK("http://dx.doi.org/10.5194/acp-11-12137-2011","http://dx.doi.org/10.5194/acp-11-12137-2011")</f>
        <v>http://dx.doi.org/10.5194/acp-11-12137-2011</v>
      </c>
      <c r="BG362" t="s">
        <v>74</v>
      </c>
      <c r="BH362" t="s">
        <v>74</v>
      </c>
      <c r="BI362">
        <v>11</v>
      </c>
      <c r="BJ362" t="s">
        <v>2963</v>
      </c>
      <c r="BK362" t="s">
        <v>100</v>
      </c>
      <c r="BL362" t="s">
        <v>2964</v>
      </c>
      <c r="BM362" t="s">
        <v>6787</v>
      </c>
      <c r="BN362" t="s">
        <v>74</v>
      </c>
      <c r="BO362" t="s">
        <v>3703</v>
      </c>
      <c r="BP362" t="s">
        <v>74</v>
      </c>
      <c r="BQ362" t="s">
        <v>74</v>
      </c>
      <c r="BR362" t="s">
        <v>103</v>
      </c>
      <c r="BS362" t="s">
        <v>6788</v>
      </c>
      <c r="BT362" t="str">
        <f>HYPERLINK("https%3A%2F%2Fwww.webofscience.com%2Fwos%2Fwoscc%2Ffull-record%2FWOS:000298134300014","View Full Record in Web of Science")</f>
        <v>View Full Record in Web of Science</v>
      </c>
    </row>
    <row r="363" spans="1:72" x14ac:dyDescent="0.15">
      <c r="A363" t="s">
        <v>72</v>
      </c>
      <c r="B363" t="s">
        <v>6789</v>
      </c>
      <c r="C363" t="s">
        <v>74</v>
      </c>
      <c r="D363" t="s">
        <v>74</v>
      </c>
      <c r="E363" t="s">
        <v>74</v>
      </c>
      <c r="F363" t="s">
        <v>6790</v>
      </c>
      <c r="G363" t="s">
        <v>74</v>
      </c>
      <c r="H363" t="s">
        <v>74</v>
      </c>
      <c r="I363" t="s">
        <v>6791</v>
      </c>
      <c r="J363" t="s">
        <v>2944</v>
      </c>
      <c r="K363" t="s">
        <v>74</v>
      </c>
      <c r="L363" t="s">
        <v>74</v>
      </c>
      <c r="M363" t="s">
        <v>78</v>
      </c>
      <c r="N363" t="s">
        <v>79</v>
      </c>
      <c r="O363" t="s">
        <v>74</v>
      </c>
      <c r="P363" t="s">
        <v>74</v>
      </c>
      <c r="Q363" t="s">
        <v>74</v>
      </c>
      <c r="R363" t="s">
        <v>74</v>
      </c>
      <c r="S363" t="s">
        <v>74</v>
      </c>
      <c r="T363" t="s">
        <v>74</v>
      </c>
      <c r="U363" t="s">
        <v>6792</v>
      </c>
      <c r="V363" t="s">
        <v>6793</v>
      </c>
      <c r="W363" t="s">
        <v>6794</v>
      </c>
      <c r="X363" t="s">
        <v>6795</v>
      </c>
      <c r="Y363" t="s">
        <v>6796</v>
      </c>
      <c r="Z363" t="s">
        <v>6797</v>
      </c>
      <c r="AA363" t="s">
        <v>6798</v>
      </c>
      <c r="AB363" t="s">
        <v>6799</v>
      </c>
      <c r="AC363" t="s">
        <v>6800</v>
      </c>
      <c r="AD363" t="s">
        <v>6801</v>
      </c>
      <c r="AE363" t="s">
        <v>6802</v>
      </c>
      <c r="AF363" t="s">
        <v>74</v>
      </c>
      <c r="AG363">
        <v>37</v>
      </c>
      <c r="AH363">
        <v>31</v>
      </c>
      <c r="AI363">
        <v>32</v>
      </c>
      <c r="AJ363">
        <v>1</v>
      </c>
      <c r="AK363">
        <v>19</v>
      </c>
      <c r="AL363" t="s">
        <v>2955</v>
      </c>
      <c r="AM363" t="s">
        <v>2956</v>
      </c>
      <c r="AN363" t="s">
        <v>2957</v>
      </c>
      <c r="AO363" t="s">
        <v>2958</v>
      </c>
      <c r="AP363" t="s">
        <v>2959</v>
      </c>
      <c r="AQ363" t="s">
        <v>74</v>
      </c>
      <c r="AR363" t="s">
        <v>2960</v>
      </c>
      <c r="AS363" t="s">
        <v>2961</v>
      </c>
      <c r="AT363" t="s">
        <v>74</v>
      </c>
      <c r="AU363">
        <v>2011</v>
      </c>
      <c r="AV363">
        <v>11</v>
      </c>
      <c r="AW363">
        <v>23</v>
      </c>
      <c r="AX363" t="s">
        <v>74</v>
      </c>
      <c r="AY363" t="s">
        <v>74</v>
      </c>
      <c r="AZ363" t="s">
        <v>74</v>
      </c>
      <c r="BA363" t="s">
        <v>74</v>
      </c>
      <c r="BB363">
        <v>12217</v>
      </c>
      <c r="BC363">
        <v>12226</v>
      </c>
      <c r="BD363" t="s">
        <v>74</v>
      </c>
      <c r="BE363" t="s">
        <v>6803</v>
      </c>
      <c r="BF363" t="str">
        <f>HYPERLINK("http://dx.doi.org/10.5194/acp-11-12217-2011","http://dx.doi.org/10.5194/acp-11-12217-2011")</f>
        <v>http://dx.doi.org/10.5194/acp-11-12217-2011</v>
      </c>
      <c r="BG363" t="s">
        <v>74</v>
      </c>
      <c r="BH363" t="s">
        <v>74</v>
      </c>
      <c r="BI363">
        <v>10</v>
      </c>
      <c r="BJ363" t="s">
        <v>2963</v>
      </c>
      <c r="BK363" t="s">
        <v>100</v>
      </c>
      <c r="BL363" t="s">
        <v>2964</v>
      </c>
      <c r="BM363" t="s">
        <v>6787</v>
      </c>
      <c r="BN363" t="s">
        <v>74</v>
      </c>
      <c r="BO363" t="s">
        <v>1672</v>
      </c>
      <c r="BP363" t="s">
        <v>74</v>
      </c>
      <c r="BQ363" t="s">
        <v>74</v>
      </c>
      <c r="BR363" t="s">
        <v>103</v>
      </c>
      <c r="BS363" t="s">
        <v>6804</v>
      </c>
      <c r="BT363" t="str">
        <f>HYPERLINK("https%3A%2F%2Fwww.webofscience.com%2Fwos%2Fwoscc%2Ffull-record%2FWOS:000298134300019","View Full Record in Web of Science")</f>
        <v>View Full Record in Web of Science</v>
      </c>
    </row>
    <row r="364" spans="1:72" x14ac:dyDescent="0.15">
      <c r="A364" t="s">
        <v>72</v>
      </c>
      <c r="B364" t="s">
        <v>6805</v>
      </c>
      <c r="C364" t="s">
        <v>74</v>
      </c>
      <c r="D364" t="s">
        <v>74</v>
      </c>
      <c r="E364" t="s">
        <v>74</v>
      </c>
      <c r="F364" t="s">
        <v>6806</v>
      </c>
      <c r="G364" t="s">
        <v>74</v>
      </c>
      <c r="H364" t="s">
        <v>74</v>
      </c>
      <c r="I364" t="s">
        <v>6807</v>
      </c>
      <c r="J364" t="s">
        <v>2944</v>
      </c>
      <c r="K364" t="s">
        <v>74</v>
      </c>
      <c r="L364" t="s">
        <v>74</v>
      </c>
      <c r="M364" t="s">
        <v>78</v>
      </c>
      <c r="N364" t="s">
        <v>79</v>
      </c>
      <c r="O364" t="s">
        <v>74</v>
      </c>
      <c r="P364" t="s">
        <v>74</v>
      </c>
      <c r="Q364" t="s">
        <v>74</v>
      </c>
      <c r="R364" t="s">
        <v>74</v>
      </c>
      <c r="S364" t="s">
        <v>74</v>
      </c>
      <c r="T364" t="s">
        <v>74</v>
      </c>
      <c r="U364" t="s">
        <v>6808</v>
      </c>
      <c r="V364" t="s">
        <v>6809</v>
      </c>
      <c r="W364" t="s">
        <v>6810</v>
      </c>
      <c r="X364" t="s">
        <v>6811</v>
      </c>
      <c r="Y364" t="s">
        <v>6812</v>
      </c>
      <c r="Z364" t="s">
        <v>6813</v>
      </c>
      <c r="AA364" t="s">
        <v>6814</v>
      </c>
      <c r="AB364" t="s">
        <v>6815</v>
      </c>
      <c r="AC364" t="s">
        <v>6816</v>
      </c>
      <c r="AD364" t="s">
        <v>6817</v>
      </c>
      <c r="AE364" t="s">
        <v>6818</v>
      </c>
      <c r="AF364" t="s">
        <v>74</v>
      </c>
      <c r="AG364">
        <v>110</v>
      </c>
      <c r="AH364">
        <v>372</v>
      </c>
      <c r="AI364">
        <v>411</v>
      </c>
      <c r="AJ364">
        <v>7</v>
      </c>
      <c r="AK364">
        <v>172</v>
      </c>
      <c r="AL364" t="s">
        <v>2955</v>
      </c>
      <c r="AM364" t="s">
        <v>2956</v>
      </c>
      <c r="AN364" t="s">
        <v>2957</v>
      </c>
      <c r="AO364" t="s">
        <v>2958</v>
      </c>
      <c r="AP364" t="s">
        <v>2959</v>
      </c>
      <c r="AQ364" t="s">
        <v>74</v>
      </c>
      <c r="AR364" t="s">
        <v>2960</v>
      </c>
      <c r="AS364" t="s">
        <v>2961</v>
      </c>
      <c r="AT364" t="s">
        <v>74</v>
      </c>
      <c r="AU364">
        <v>2011</v>
      </c>
      <c r="AV364">
        <v>11</v>
      </c>
      <c r="AW364">
        <v>24</v>
      </c>
      <c r="AX364" t="s">
        <v>74</v>
      </c>
      <c r="AY364" t="s">
        <v>74</v>
      </c>
      <c r="AZ364" t="s">
        <v>74</v>
      </c>
      <c r="BA364" t="s">
        <v>74</v>
      </c>
      <c r="BB364">
        <v>13421</v>
      </c>
      <c r="BC364">
        <v>13449</v>
      </c>
      <c r="BD364" t="s">
        <v>74</v>
      </c>
      <c r="BE364" t="s">
        <v>6819</v>
      </c>
      <c r="BF364" t="str">
        <f>HYPERLINK("http://dx.doi.org/10.5194/acp-11-13421-2011","http://dx.doi.org/10.5194/acp-11-13421-2011")</f>
        <v>http://dx.doi.org/10.5194/acp-11-13421-2011</v>
      </c>
      <c r="BG364" t="s">
        <v>74</v>
      </c>
      <c r="BH364" t="s">
        <v>74</v>
      </c>
      <c r="BI364">
        <v>29</v>
      </c>
      <c r="BJ364" t="s">
        <v>2963</v>
      </c>
      <c r="BK364" t="s">
        <v>100</v>
      </c>
      <c r="BL364" t="s">
        <v>2964</v>
      </c>
      <c r="BM364" t="s">
        <v>2965</v>
      </c>
      <c r="BN364" t="s">
        <v>74</v>
      </c>
      <c r="BO364" t="s">
        <v>2456</v>
      </c>
      <c r="BP364" t="s">
        <v>74</v>
      </c>
      <c r="BQ364" t="s">
        <v>74</v>
      </c>
      <c r="BR364" t="s">
        <v>103</v>
      </c>
      <c r="BS364" t="s">
        <v>6820</v>
      </c>
      <c r="BT364" t="str">
        <f>HYPERLINK("https%3A%2F%2Fwww.webofscience.com%2Fwos%2Fwoscc%2Ffull-record%2FWOS:000298667600048","View Full Record in Web of Science")</f>
        <v>View Full Record in Web of Science</v>
      </c>
    </row>
    <row r="365" spans="1:72" x14ac:dyDescent="0.15">
      <c r="A365" t="s">
        <v>72</v>
      </c>
      <c r="B365" t="s">
        <v>6821</v>
      </c>
      <c r="C365" t="s">
        <v>74</v>
      </c>
      <c r="D365" t="s">
        <v>74</v>
      </c>
      <c r="E365" t="s">
        <v>74</v>
      </c>
      <c r="F365" t="s">
        <v>6822</v>
      </c>
      <c r="G365" t="s">
        <v>74</v>
      </c>
      <c r="H365" t="s">
        <v>74</v>
      </c>
      <c r="I365" t="s">
        <v>6823</v>
      </c>
      <c r="J365" t="s">
        <v>3264</v>
      </c>
      <c r="K365" t="s">
        <v>74</v>
      </c>
      <c r="L365" t="s">
        <v>74</v>
      </c>
      <c r="M365" t="s">
        <v>78</v>
      </c>
      <c r="N365" t="s">
        <v>79</v>
      </c>
      <c r="O365" t="s">
        <v>74</v>
      </c>
      <c r="P365" t="s">
        <v>74</v>
      </c>
      <c r="Q365" t="s">
        <v>74</v>
      </c>
      <c r="R365" t="s">
        <v>74</v>
      </c>
      <c r="S365" t="s">
        <v>74</v>
      </c>
      <c r="T365" t="s">
        <v>74</v>
      </c>
      <c r="U365" t="s">
        <v>6824</v>
      </c>
      <c r="V365" t="s">
        <v>6825</v>
      </c>
      <c r="W365" t="s">
        <v>6826</v>
      </c>
      <c r="X365" t="s">
        <v>6827</v>
      </c>
      <c r="Y365" t="s">
        <v>6828</v>
      </c>
      <c r="Z365" t="s">
        <v>6829</v>
      </c>
      <c r="AA365" t="s">
        <v>6830</v>
      </c>
      <c r="AB365" t="s">
        <v>6831</v>
      </c>
      <c r="AC365" t="s">
        <v>6832</v>
      </c>
      <c r="AD365" t="s">
        <v>6833</v>
      </c>
      <c r="AE365" t="s">
        <v>6834</v>
      </c>
      <c r="AF365" t="s">
        <v>74</v>
      </c>
      <c r="AG365">
        <v>41</v>
      </c>
      <c r="AH365">
        <v>119</v>
      </c>
      <c r="AI365">
        <v>126</v>
      </c>
      <c r="AJ365">
        <v>0</v>
      </c>
      <c r="AK365">
        <v>29</v>
      </c>
      <c r="AL365" t="s">
        <v>2955</v>
      </c>
      <c r="AM365" t="s">
        <v>2956</v>
      </c>
      <c r="AN365" t="s">
        <v>2957</v>
      </c>
      <c r="AO365" t="s">
        <v>3276</v>
      </c>
      <c r="AP365" t="s">
        <v>3277</v>
      </c>
      <c r="AQ365" t="s">
        <v>74</v>
      </c>
      <c r="AR365" t="s">
        <v>3278</v>
      </c>
      <c r="AS365" t="s">
        <v>3279</v>
      </c>
      <c r="AT365" t="s">
        <v>74</v>
      </c>
      <c r="AU365">
        <v>2011</v>
      </c>
      <c r="AV365">
        <v>4</v>
      </c>
      <c r="AW365">
        <v>3</v>
      </c>
      <c r="AX365" t="s">
        <v>74</v>
      </c>
      <c r="AY365" t="s">
        <v>74</v>
      </c>
      <c r="AZ365" t="s">
        <v>74</v>
      </c>
      <c r="BA365" t="s">
        <v>74</v>
      </c>
      <c r="BB365">
        <v>583</v>
      </c>
      <c r="BC365">
        <v>597</v>
      </c>
      <c r="BD365" t="s">
        <v>74</v>
      </c>
      <c r="BE365" t="s">
        <v>6835</v>
      </c>
      <c r="BF365" t="str">
        <f>HYPERLINK("http://dx.doi.org/10.5194/amt-4-583-2011","http://dx.doi.org/10.5194/amt-4-583-2011")</f>
        <v>http://dx.doi.org/10.5194/amt-4-583-2011</v>
      </c>
      <c r="BG365" t="s">
        <v>74</v>
      </c>
      <c r="BH365" t="s">
        <v>74</v>
      </c>
      <c r="BI365">
        <v>15</v>
      </c>
      <c r="BJ365" t="s">
        <v>603</v>
      </c>
      <c r="BK365" t="s">
        <v>100</v>
      </c>
      <c r="BL365" t="s">
        <v>603</v>
      </c>
      <c r="BM365" t="s">
        <v>6836</v>
      </c>
      <c r="BN365" t="s">
        <v>74</v>
      </c>
      <c r="BO365" t="s">
        <v>6837</v>
      </c>
      <c r="BP365" t="s">
        <v>74</v>
      </c>
      <c r="BQ365" t="s">
        <v>74</v>
      </c>
      <c r="BR365" t="s">
        <v>103</v>
      </c>
      <c r="BS365" t="s">
        <v>6838</v>
      </c>
      <c r="BT365" t="str">
        <f>HYPERLINK("https%3A%2F%2Fwww.webofscience.com%2Fwos%2Fwoscc%2Ffull-record%2FWOS:000288911000015","View Full Record in Web of Science")</f>
        <v>View Full Record in Web of Science</v>
      </c>
    </row>
    <row r="366" spans="1:72" x14ac:dyDescent="0.15">
      <c r="A366" t="s">
        <v>72</v>
      </c>
      <c r="B366" t="s">
        <v>6839</v>
      </c>
      <c r="C366" t="s">
        <v>74</v>
      </c>
      <c r="D366" t="s">
        <v>74</v>
      </c>
      <c r="E366" t="s">
        <v>74</v>
      </c>
      <c r="F366" t="s">
        <v>6840</v>
      </c>
      <c r="G366" t="s">
        <v>74</v>
      </c>
      <c r="H366" t="s">
        <v>74</v>
      </c>
      <c r="I366" t="s">
        <v>6841</v>
      </c>
      <c r="J366" t="s">
        <v>3264</v>
      </c>
      <c r="K366" t="s">
        <v>74</v>
      </c>
      <c r="L366" t="s">
        <v>74</v>
      </c>
      <c r="M366" t="s">
        <v>78</v>
      </c>
      <c r="N366" t="s">
        <v>79</v>
      </c>
      <c r="O366" t="s">
        <v>74</v>
      </c>
      <c r="P366" t="s">
        <v>74</v>
      </c>
      <c r="Q366" t="s">
        <v>74</v>
      </c>
      <c r="R366" t="s">
        <v>74</v>
      </c>
      <c r="S366" t="s">
        <v>74</v>
      </c>
      <c r="T366" t="s">
        <v>74</v>
      </c>
      <c r="U366" t="s">
        <v>6842</v>
      </c>
      <c r="V366" t="s">
        <v>6843</v>
      </c>
      <c r="W366" t="s">
        <v>6844</v>
      </c>
      <c r="X366" t="s">
        <v>1386</v>
      </c>
      <c r="Y366" t="s">
        <v>6845</v>
      </c>
      <c r="Z366" t="s">
        <v>6698</v>
      </c>
      <c r="AA366" t="s">
        <v>6846</v>
      </c>
      <c r="AB366" t="s">
        <v>6847</v>
      </c>
      <c r="AC366" t="s">
        <v>6848</v>
      </c>
      <c r="AD366" t="s">
        <v>6849</v>
      </c>
      <c r="AE366" t="s">
        <v>6850</v>
      </c>
      <c r="AF366" t="s">
        <v>74</v>
      </c>
      <c r="AG366">
        <v>20</v>
      </c>
      <c r="AH366">
        <v>9</v>
      </c>
      <c r="AI366">
        <v>10</v>
      </c>
      <c r="AJ366">
        <v>2</v>
      </c>
      <c r="AK366">
        <v>8</v>
      </c>
      <c r="AL366" t="s">
        <v>2955</v>
      </c>
      <c r="AM366" t="s">
        <v>2956</v>
      </c>
      <c r="AN366" t="s">
        <v>2957</v>
      </c>
      <c r="AO366" t="s">
        <v>3276</v>
      </c>
      <c r="AP366" t="s">
        <v>3277</v>
      </c>
      <c r="AQ366" t="s">
        <v>74</v>
      </c>
      <c r="AR366" t="s">
        <v>3278</v>
      </c>
      <c r="AS366" t="s">
        <v>3279</v>
      </c>
      <c r="AT366" t="s">
        <v>74</v>
      </c>
      <c r="AU366">
        <v>2011</v>
      </c>
      <c r="AV366">
        <v>4</v>
      </c>
      <c r="AW366">
        <v>4</v>
      </c>
      <c r="AX366" t="s">
        <v>74</v>
      </c>
      <c r="AY366" t="s">
        <v>74</v>
      </c>
      <c r="AZ366" t="s">
        <v>74</v>
      </c>
      <c r="BA366" t="s">
        <v>74</v>
      </c>
      <c r="BB366">
        <v>645</v>
      </c>
      <c r="BC366">
        <v>658</v>
      </c>
      <c r="BD366" t="s">
        <v>74</v>
      </c>
      <c r="BE366" t="s">
        <v>6851</v>
      </c>
      <c r="BF366" t="str">
        <f>HYPERLINK("http://dx.doi.org/10.5194/amt-4-645-2011","http://dx.doi.org/10.5194/amt-4-645-2011")</f>
        <v>http://dx.doi.org/10.5194/amt-4-645-2011</v>
      </c>
      <c r="BG366" t="s">
        <v>74</v>
      </c>
      <c r="BH366" t="s">
        <v>74</v>
      </c>
      <c r="BI366">
        <v>14</v>
      </c>
      <c r="BJ366" t="s">
        <v>603</v>
      </c>
      <c r="BK366" t="s">
        <v>100</v>
      </c>
      <c r="BL366" t="s">
        <v>603</v>
      </c>
      <c r="BM366" t="s">
        <v>6852</v>
      </c>
      <c r="BN366" t="s">
        <v>74</v>
      </c>
      <c r="BO366" t="s">
        <v>2456</v>
      </c>
      <c r="BP366" t="s">
        <v>74</v>
      </c>
      <c r="BQ366" t="s">
        <v>74</v>
      </c>
      <c r="BR366" t="s">
        <v>103</v>
      </c>
      <c r="BS366" t="s">
        <v>6853</v>
      </c>
      <c r="BT366" t="str">
        <f>HYPERLINK("https%3A%2F%2Fwww.webofscience.com%2Fwos%2Fwoscc%2Ffull-record%2FWOS:000290017400001","View Full Record in Web of Science")</f>
        <v>View Full Record in Web of Science</v>
      </c>
    </row>
    <row r="367" spans="1:72" x14ac:dyDescent="0.15">
      <c r="A367" t="s">
        <v>72</v>
      </c>
      <c r="B367" t="s">
        <v>6854</v>
      </c>
      <c r="C367" t="s">
        <v>74</v>
      </c>
      <c r="D367" t="s">
        <v>74</v>
      </c>
      <c r="E367" t="s">
        <v>74</v>
      </c>
      <c r="F367" t="s">
        <v>6855</v>
      </c>
      <c r="G367" t="s">
        <v>74</v>
      </c>
      <c r="H367" t="s">
        <v>74</v>
      </c>
      <c r="I367" t="s">
        <v>6856</v>
      </c>
      <c r="J367" t="s">
        <v>3264</v>
      </c>
      <c r="K367" t="s">
        <v>74</v>
      </c>
      <c r="L367" t="s">
        <v>74</v>
      </c>
      <c r="M367" t="s">
        <v>78</v>
      </c>
      <c r="N367" t="s">
        <v>79</v>
      </c>
      <c r="O367" t="s">
        <v>74</v>
      </c>
      <c r="P367" t="s">
        <v>74</v>
      </c>
      <c r="Q367" t="s">
        <v>74</v>
      </c>
      <c r="R367" t="s">
        <v>74</v>
      </c>
      <c r="S367" t="s">
        <v>74</v>
      </c>
      <c r="T367" t="s">
        <v>74</v>
      </c>
      <c r="U367" t="s">
        <v>6857</v>
      </c>
      <c r="V367" t="s">
        <v>6858</v>
      </c>
      <c r="W367" t="s">
        <v>6859</v>
      </c>
      <c r="X367" t="s">
        <v>6860</v>
      </c>
      <c r="Y367" t="s">
        <v>6861</v>
      </c>
      <c r="Z367" t="s">
        <v>6862</v>
      </c>
      <c r="AA367" t="s">
        <v>6863</v>
      </c>
      <c r="AB367" t="s">
        <v>6864</v>
      </c>
      <c r="AC367" t="s">
        <v>6865</v>
      </c>
      <c r="AD367" t="s">
        <v>6866</v>
      </c>
      <c r="AE367" t="s">
        <v>6867</v>
      </c>
      <c r="AF367" t="s">
        <v>74</v>
      </c>
      <c r="AG367">
        <v>59</v>
      </c>
      <c r="AH367">
        <v>20</v>
      </c>
      <c r="AI367">
        <v>22</v>
      </c>
      <c r="AJ367">
        <v>0</v>
      </c>
      <c r="AK367">
        <v>4</v>
      </c>
      <c r="AL367" t="s">
        <v>2955</v>
      </c>
      <c r="AM367" t="s">
        <v>2956</v>
      </c>
      <c r="AN367" t="s">
        <v>2957</v>
      </c>
      <c r="AO367" t="s">
        <v>3276</v>
      </c>
      <c r="AP367" t="s">
        <v>74</v>
      </c>
      <c r="AQ367" t="s">
        <v>74</v>
      </c>
      <c r="AR367" t="s">
        <v>3278</v>
      </c>
      <c r="AS367" t="s">
        <v>3279</v>
      </c>
      <c r="AT367" t="s">
        <v>74</v>
      </c>
      <c r="AU367">
        <v>2011</v>
      </c>
      <c r="AV367">
        <v>4</v>
      </c>
      <c r="AW367">
        <v>7</v>
      </c>
      <c r="AX367" t="s">
        <v>74</v>
      </c>
      <c r="AY367" t="s">
        <v>74</v>
      </c>
      <c r="AZ367" t="s">
        <v>74</v>
      </c>
      <c r="BA367" t="s">
        <v>74</v>
      </c>
      <c r="BB367">
        <v>1445</v>
      </c>
      <c r="BC367">
        <v>1461</v>
      </c>
      <c r="BD367" t="s">
        <v>74</v>
      </c>
      <c r="BE367" t="s">
        <v>6868</v>
      </c>
      <c r="BF367" t="str">
        <f>HYPERLINK("http://dx.doi.org/10.5194/amt-4-1445-2011","http://dx.doi.org/10.5194/amt-4-1445-2011")</f>
        <v>http://dx.doi.org/10.5194/amt-4-1445-2011</v>
      </c>
      <c r="BG367" t="s">
        <v>74</v>
      </c>
      <c r="BH367" t="s">
        <v>74</v>
      </c>
      <c r="BI367">
        <v>17</v>
      </c>
      <c r="BJ367" t="s">
        <v>603</v>
      </c>
      <c r="BK367" t="s">
        <v>100</v>
      </c>
      <c r="BL367" t="s">
        <v>603</v>
      </c>
      <c r="BM367" t="s">
        <v>6869</v>
      </c>
      <c r="BN367" t="s">
        <v>74</v>
      </c>
      <c r="BO367" t="s">
        <v>1672</v>
      </c>
      <c r="BP367" t="s">
        <v>74</v>
      </c>
      <c r="BQ367" t="s">
        <v>74</v>
      </c>
      <c r="BR367" t="s">
        <v>103</v>
      </c>
      <c r="BS367" t="s">
        <v>6870</v>
      </c>
      <c r="BT367" t="str">
        <f>HYPERLINK("https%3A%2F%2Fwww.webofscience.com%2Fwos%2Fwoscc%2Ffull-record%2FWOS:000294457000007","View Full Record in Web of Science")</f>
        <v>View Full Record in Web of Science</v>
      </c>
    </row>
    <row r="368" spans="1:72" x14ac:dyDescent="0.15">
      <c r="A368" t="s">
        <v>72</v>
      </c>
      <c r="B368" t="s">
        <v>6871</v>
      </c>
      <c r="C368" t="s">
        <v>74</v>
      </c>
      <c r="D368" t="s">
        <v>74</v>
      </c>
      <c r="E368" t="s">
        <v>74</v>
      </c>
      <c r="F368" t="s">
        <v>6872</v>
      </c>
      <c r="G368" t="s">
        <v>74</v>
      </c>
      <c r="H368" t="s">
        <v>74</v>
      </c>
      <c r="I368" t="s">
        <v>6873</v>
      </c>
      <c r="J368" t="s">
        <v>6874</v>
      </c>
      <c r="K368" t="s">
        <v>74</v>
      </c>
      <c r="L368" t="s">
        <v>74</v>
      </c>
      <c r="M368" t="s">
        <v>78</v>
      </c>
      <c r="N368" t="s">
        <v>79</v>
      </c>
      <c r="O368" t="s">
        <v>74</v>
      </c>
      <c r="P368" t="s">
        <v>74</v>
      </c>
      <c r="Q368" t="s">
        <v>74</v>
      </c>
      <c r="R368" t="s">
        <v>74</v>
      </c>
      <c r="S368" t="s">
        <v>74</v>
      </c>
      <c r="T368" t="s">
        <v>74</v>
      </c>
      <c r="U368" t="s">
        <v>74</v>
      </c>
      <c r="V368" t="s">
        <v>6875</v>
      </c>
      <c r="W368" t="s">
        <v>6876</v>
      </c>
      <c r="X368" t="s">
        <v>6877</v>
      </c>
      <c r="Y368" t="s">
        <v>6878</v>
      </c>
      <c r="Z368" t="s">
        <v>6879</v>
      </c>
      <c r="AA368" t="s">
        <v>74</v>
      </c>
      <c r="AB368" t="s">
        <v>74</v>
      </c>
      <c r="AC368" t="s">
        <v>6880</v>
      </c>
      <c r="AD368" t="s">
        <v>6881</v>
      </c>
      <c r="AE368" t="s">
        <v>6882</v>
      </c>
      <c r="AF368" t="s">
        <v>74</v>
      </c>
      <c r="AG368">
        <v>23</v>
      </c>
      <c r="AH368">
        <v>2</v>
      </c>
      <c r="AI368">
        <v>2</v>
      </c>
      <c r="AJ368">
        <v>0</v>
      </c>
      <c r="AK368">
        <v>0</v>
      </c>
      <c r="AL368" t="s">
        <v>6883</v>
      </c>
      <c r="AM368" t="s">
        <v>6884</v>
      </c>
      <c r="AN368" t="s">
        <v>6885</v>
      </c>
      <c r="AO368" t="s">
        <v>6886</v>
      </c>
      <c r="AP368" t="s">
        <v>6887</v>
      </c>
      <c r="AQ368" t="s">
        <v>74</v>
      </c>
      <c r="AR368" t="s">
        <v>6888</v>
      </c>
      <c r="AS368" t="s">
        <v>6889</v>
      </c>
      <c r="AT368" t="s">
        <v>74</v>
      </c>
      <c r="AU368">
        <v>2011</v>
      </c>
      <c r="AV368">
        <v>89</v>
      </c>
      <c r="AW368">
        <v>1</v>
      </c>
      <c r="AX368" t="s">
        <v>74</v>
      </c>
      <c r="AY368" t="s">
        <v>74</v>
      </c>
      <c r="AZ368" t="s">
        <v>74</v>
      </c>
      <c r="BA368" t="s">
        <v>74</v>
      </c>
      <c r="BB368" t="s">
        <v>74</v>
      </c>
      <c r="BC368" t="s">
        <v>74</v>
      </c>
      <c r="BD368" t="s">
        <v>6890</v>
      </c>
      <c r="BE368" t="s">
        <v>6891</v>
      </c>
      <c r="BF368" t="str">
        <f>HYPERLINK("http://dx.doi.org/10.1478/C1A8901003","http://dx.doi.org/10.1478/C1A8901003")</f>
        <v>http://dx.doi.org/10.1478/C1A8901003</v>
      </c>
      <c r="BG368" t="s">
        <v>74</v>
      </c>
      <c r="BH368" t="s">
        <v>74</v>
      </c>
      <c r="BI368">
        <v>9</v>
      </c>
      <c r="BJ368" t="s">
        <v>1669</v>
      </c>
      <c r="BK368" t="s">
        <v>6441</v>
      </c>
      <c r="BL368" t="s">
        <v>1670</v>
      </c>
      <c r="BM368" t="s">
        <v>6892</v>
      </c>
      <c r="BN368" t="s">
        <v>74</v>
      </c>
      <c r="BO368" t="s">
        <v>74</v>
      </c>
      <c r="BP368" t="s">
        <v>74</v>
      </c>
      <c r="BQ368" t="s">
        <v>74</v>
      </c>
      <c r="BR368" t="s">
        <v>103</v>
      </c>
      <c r="BS368" t="s">
        <v>6893</v>
      </c>
      <c r="BT368" t="str">
        <f>HYPERLINK("https%3A%2F%2Fwww.webofscience.com%2Fwos%2Fwoscc%2Ffull-record%2FWOS:000216373000003","View Full Record in Web of Science")</f>
        <v>View Full Record in Web of Science</v>
      </c>
    </row>
    <row r="369" spans="1:72" x14ac:dyDescent="0.15">
      <c r="A369" t="s">
        <v>72</v>
      </c>
      <c r="B369" t="s">
        <v>6894</v>
      </c>
      <c r="C369" t="s">
        <v>74</v>
      </c>
      <c r="D369" t="s">
        <v>74</v>
      </c>
      <c r="E369" t="s">
        <v>74</v>
      </c>
      <c r="F369" t="s">
        <v>6895</v>
      </c>
      <c r="G369" t="s">
        <v>74</v>
      </c>
      <c r="H369" t="s">
        <v>74</v>
      </c>
      <c r="I369" t="s">
        <v>6896</v>
      </c>
      <c r="J369" t="s">
        <v>6897</v>
      </c>
      <c r="K369" t="s">
        <v>74</v>
      </c>
      <c r="L369" t="s">
        <v>74</v>
      </c>
      <c r="M369" t="s">
        <v>78</v>
      </c>
      <c r="N369" t="s">
        <v>79</v>
      </c>
      <c r="O369" t="s">
        <v>74</v>
      </c>
      <c r="P369" t="s">
        <v>74</v>
      </c>
      <c r="Q369" t="s">
        <v>74</v>
      </c>
      <c r="R369" t="s">
        <v>74</v>
      </c>
      <c r="S369" t="s">
        <v>74</v>
      </c>
      <c r="T369" t="s">
        <v>74</v>
      </c>
      <c r="U369" t="s">
        <v>6898</v>
      </c>
      <c r="V369" t="s">
        <v>6899</v>
      </c>
      <c r="W369" t="s">
        <v>6900</v>
      </c>
      <c r="X369" t="s">
        <v>6901</v>
      </c>
      <c r="Y369" t="s">
        <v>6902</v>
      </c>
      <c r="Z369" t="s">
        <v>6903</v>
      </c>
      <c r="AA369" t="s">
        <v>6904</v>
      </c>
      <c r="AB369" t="s">
        <v>6905</v>
      </c>
      <c r="AC369" t="s">
        <v>6906</v>
      </c>
      <c r="AD369" t="s">
        <v>6907</v>
      </c>
      <c r="AE369" t="s">
        <v>6908</v>
      </c>
      <c r="AF369" t="s">
        <v>74</v>
      </c>
      <c r="AG369">
        <v>45</v>
      </c>
      <c r="AH369">
        <v>6</v>
      </c>
      <c r="AI369">
        <v>7</v>
      </c>
      <c r="AJ369">
        <v>0</v>
      </c>
      <c r="AK369">
        <v>17</v>
      </c>
      <c r="AL369" t="s">
        <v>3995</v>
      </c>
      <c r="AM369" t="s">
        <v>4046</v>
      </c>
      <c r="AN369" t="s">
        <v>4047</v>
      </c>
      <c r="AO369" t="s">
        <v>6909</v>
      </c>
      <c r="AP369" t="s">
        <v>6910</v>
      </c>
      <c r="AQ369" t="s">
        <v>74</v>
      </c>
      <c r="AR369" t="s">
        <v>6911</v>
      </c>
      <c r="AS369" t="s">
        <v>6912</v>
      </c>
      <c r="AT369" t="s">
        <v>74</v>
      </c>
      <c r="AU369">
        <v>2011</v>
      </c>
      <c r="AV369">
        <v>64</v>
      </c>
      <c r="AW369">
        <v>6</v>
      </c>
      <c r="AX369" t="s">
        <v>74</v>
      </c>
      <c r="AY369" t="s">
        <v>74</v>
      </c>
      <c r="AZ369" t="s">
        <v>74</v>
      </c>
      <c r="BA369" t="s">
        <v>74</v>
      </c>
      <c r="BB369">
        <v>723</v>
      </c>
      <c r="BC369">
        <v>731</v>
      </c>
      <c r="BD369" t="s">
        <v>74</v>
      </c>
      <c r="BE369" t="s">
        <v>6913</v>
      </c>
      <c r="BF369" t="str">
        <f>HYPERLINK("http://dx.doi.org/10.1071/CH10464","http://dx.doi.org/10.1071/CH10464")</f>
        <v>http://dx.doi.org/10.1071/CH10464</v>
      </c>
      <c r="BG369" t="s">
        <v>74</v>
      </c>
      <c r="BH369" t="s">
        <v>74</v>
      </c>
      <c r="BI369">
        <v>9</v>
      </c>
      <c r="BJ369" t="s">
        <v>6914</v>
      </c>
      <c r="BK369" t="s">
        <v>6915</v>
      </c>
      <c r="BL369" t="s">
        <v>5752</v>
      </c>
      <c r="BM369" t="s">
        <v>6916</v>
      </c>
      <c r="BN369" t="s">
        <v>74</v>
      </c>
      <c r="BO369" t="s">
        <v>74</v>
      </c>
      <c r="BP369" t="s">
        <v>74</v>
      </c>
      <c r="BQ369" t="s">
        <v>74</v>
      </c>
      <c r="BR369" t="s">
        <v>103</v>
      </c>
      <c r="BS369" t="s">
        <v>6917</v>
      </c>
      <c r="BT369" t="str">
        <f>HYPERLINK("https%3A%2F%2Fwww.webofscience.com%2Fwos%2Fwoscc%2Ffull-record%2FWOS:000292206100011","View Full Record in Web of Science")</f>
        <v>View Full Record in Web of Science</v>
      </c>
    </row>
    <row r="370" spans="1:72" x14ac:dyDescent="0.15">
      <c r="A370" t="s">
        <v>72</v>
      </c>
      <c r="B370" t="s">
        <v>6918</v>
      </c>
      <c r="C370" t="s">
        <v>74</v>
      </c>
      <c r="D370" t="s">
        <v>74</v>
      </c>
      <c r="E370" t="s">
        <v>74</v>
      </c>
      <c r="F370" t="s">
        <v>6919</v>
      </c>
      <c r="G370" t="s">
        <v>74</v>
      </c>
      <c r="H370" t="s">
        <v>74</v>
      </c>
      <c r="I370" t="s">
        <v>6920</v>
      </c>
      <c r="J370" t="s">
        <v>6921</v>
      </c>
      <c r="K370" t="s">
        <v>74</v>
      </c>
      <c r="L370" t="s">
        <v>74</v>
      </c>
      <c r="M370" t="s">
        <v>78</v>
      </c>
      <c r="N370" t="s">
        <v>79</v>
      </c>
      <c r="O370" t="s">
        <v>74</v>
      </c>
      <c r="P370" t="s">
        <v>74</v>
      </c>
      <c r="Q370" t="s">
        <v>74</v>
      </c>
      <c r="R370" t="s">
        <v>74</v>
      </c>
      <c r="S370" t="s">
        <v>74</v>
      </c>
      <c r="T370" t="s">
        <v>6922</v>
      </c>
      <c r="U370" t="s">
        <v>74</v>
      </c>
      <c r="V370" t="s">
        <v>6923</v>
      </c>
      <c r="W370" t="s">
        <v>6924</v>
      </c>
      <c r="X370" t="s">
        <v>6925</v>
      </c>
      <c r="Y370" t="s">
        <v>6926</v>
      </c>
      <c r="Z370" t="s">
        <v>6927</v>
      </c>
      <c r="AA370" t="s">
        <v>6928</v>
      </c>
      <c r="AB370" t="s">
        <v>6929</v>
      </c>
      <c r="AC370" t="s">
        <v>74</v>
      </c>
      <c r="AD370" t="s">
        <v>74</v>
      </c>
      <c r="AE370" t="s">
        <v>74</v>
      </c>
      <c r="AF370" t="s">
        <v>74</v>
      </c>
      <c r="AG370">
        <v>0</v>
      </c>
      <c r="AH370">
        <v>2</v>
      </c>
      <c r="AI370">
        <v>2</v>
      </c>
      <c r="AJ370">
        <v>0</v>
      </c>
      <c r="AK370">
        <v>0</v>
      </c>
      <c r="AL370" t="s">
        <v>6930</v>
      </c>
      <c r="AM370" t="s">
        <v>6931</v>
      </c>
      <c r="AN370" t="s">
        <v>6932</v>
      </c>
      <c r="AO370" t="s">
        <v>6933</v>
      </c>
      <c r="AP370" t="s">
        <v>6934</v>
      </c>
      <c r="AQ370" t="s">
        <v>74</v>
      </c>
      <c r="AR370" t="s">
        <v>6935</v>
      </c>
      <c r="AS370" t="s">
        <v>6936</v>
      </c>
      <c r="AT370" t="s">
        <v>74</v>
      </c>
      <c r="AU370">
        <v>2011</v>
      </c>
      <c r="AV370" t="s">
        <v>74</v>
      </c>
      <c r="AW370">
        <v>1</v>
      </c>
      <c r="AX370" t="s">
        <v>74</v>
      </c>
      <c r="AY370" t="s">
        <v>74</v>
      </c>
      <c r="AZ370" t="s">
        <v>74</v>
      </c>
      <c r="BA370" t="s">
        <v>74</v>
      </c>
      <c r="BB370">
        <v>5</v>
      </c>
      <c r="BC370">
        <v>11</v>
      </c>
      <c r="BD370" t="s">
        <v>74</v>
      </c>
      <c r="BE370" t="s">
        <v>6937</v>
      </c>
      <c r="BF370" t="str">
        <f>HYPERLINK("http://dx.doi.org/10.5922/2079-8555-2011-1-1","http://dx.doi.org/10.5922/2079-8555-2011-1-1")</f>
        <v>http://dx.doi.org/10.5922/2079-8555-2011-1-1</v>
      </c>
      <c r="BG370" t="s">
        <v>74</v>
      </c>
      <c r="BH370" t="s">
        <v>74</v>
      </c>
      <c r="BI370">
        <v>7</v>
      </c>
      <c r="BJ370" t="s">
        <v>6938</v>
      </c>
      <c r="BK370" t="s">
        <v>6441</v>
      </c>
      <c r="BL370" t="s">
        <v>6938</v>
      </c>
      <c r="BM370" t="s">
        <v>6939</v>
      </c>
      <c r="BN370" t="s">
        <v>74</v>
      </c>
      <c r="BO370" t="s">
        <v>2317</v>
      </c>
      <c r="BP370" t="s">
        <v>74</v>
      </c>
      <c r="BQ370" t="s">
        <v>74</v>
      </c>
      <c r="BR370" t="s">
        <v>103</v>
      </c>
      <c r="BS370" t="s">
        <v>6940</v>
      </c>
      <c r="BT370" t="str">
        <f>HYPERLINK("https%3A%2F%2Fwww.webofscience.com%2Fwos%2Fwoscc%2Ffull-record%2FWOS:000215363900002","View Full Record in Web of Science")</f>
        <v>View Full Record in Web of Science</v>
      </c>
    </row>
    <row r="371" spans="1:72" x14ac:dyDescent="0.15">
      <c r="A371" t="s">
        <v>72</v>
      </c>
      <c r="B371" t="s">
        <v>6941</v>
      </c>
      <c r="C371" t="s">
        <v>74</v>
      </c>
      <c r="D371" t="s">
        <v>74</v>
      </c>
      <c r="E371" t="s">
        <v>74</v>
      </c>
      <c r="F371" t="s">
        <v>6942</v>
      </c>
      <c r="G371" t="s">
        <v>74</v>
      </c>
      <c r="H371" t="s">
        <v>74</v>
      </c>
      <c r="I371" t="s">
        <v>6943</v>
      </c>
      <c r="J371" t="s">
        <v>6944</v>
      </c>
      <c r="K371" t="s">
        <v>74</v>
      </c>
      <c r="L371" t="s">
        <v>74</v>
      </c>
      <c r="M371" t="s">
        <v>78</v>
      </c>
      <c r="N371" t="s">
        <v>79</v>
      </c>
      <c r="O371" t="s">
        <v>74</v>
      </c>
      <c r="P371" t="s">
        <v>74</v>
      </c>
      <c r="Q371" t="s">
        <v>74</v>
      </c>
      <c r="R371" t="s">
        <v>74</v>
      </c>
      <c r="S371" t="s">
        <v>74</v>
      </c>
      <c r="T371" t="s">
        <v>6945</v>
      </c>
      <c r="U371" t="s">
        <v>6946</v>
      </c>
      <c r="V371" t="s">
        <v>6947</v>
      </c>
      <c r="W371" t="s">
        <v>6948</v>
      </c>
      <c r="X371" t="s">
        <v>6949</v>
      </c>
      <c r="Y371" t="s">
        <v>6950</v>
      </c>
      <c r="Z371" t="s">
        <v>6951</v>
      </c>
      <c r="AA371" t="s">
        <v>6952</v>
      </c>
      <c r="AB371" t="s">
        <v>6953</v>
      </c>
      <c r="AC371" t="s">
        <v>6954</v>
      </c>
      <c r="AD371" t="s">
        <v>6955</v>
      </c>
      <c r="AE371" t="s">
        <v>6956</v>
      </c>
      <c r="AF371" t="s">
        <v>74</v>
      </c>
      <c r="AG371">
        <v>48</v>
      </c>
      <c r="AH371">
        <v>30</v>
      </c>
      <c r="AI371">
        <v>33</v>
      </c>
      <c r="AJ371">
        <v>1</v>
      </c>
      <c r="AK371">
        <v>73</v>
      </c>
      <c r="AL371" t="s">
        <v>666</v>
      </c>
      <c r="AM371" t="s">
        <v>667</v>
      </c>
      <c r="AN371" t="s">
        <v>668</v>
      </c>
      <c r="AO371" t="s">
        <v>6957</v>
      </c>
      <c r="AP371" t="s">
        <v>6958</v>
      </c>
      <c r="AQ371" t="s">
        <v>74</v>
      </c>
      <c r="AR371" t="s">
        <v>6959</v>
      </c>
      <c r="AS371" t="s">
        <v>6960</v>
      </c>
      <c r="AT371" t="s">
        <v>4305</v>
      </c>
      <c r="AU371">
        <v>2011</v>
      </c>
      <c r="AV371">
        <v>22</v>
      </c>
      <c r="AW371">
        <v>1</v>
      </c>
      <c r="AX371" t="s">
        <v>74</v>
      </c>
      <c r="AY371" t="s">
        <v>74</v>
      </c>
      <c r="AZ371" t="s">
        <v>74</v>
      </c>
      <c r="BA371" t="s">
        <v>74</v>
      </c>
      <c r="BB371">
        <v>156</v>
      </c>
      <c r="BC371">
        <v>161</v>
      </c>
      <c r="BD371" t="s">
        <v>74</v>
      </c>
      <c r="BE371" t="s">
        <v>6961</v>
      </c>
      <c r="BF371" t="str">
        <f>HYPERLINK("http://dx.doi.org/10.1093/beheco/arq178","http://dx.doi.org/10.1093/beheco/arq178")</f>
        <v>http://dx.doi.org/10.1093/beheco/arq178</v>
      </c>
      <c r="BG371" t="s">
        <v>74</v>
      </c>
      <c r="BH371" t="s">
        <v>74</v>
      </c>
      <c r="BI371">
        <v>6</v>
      </c>
      <c r="BJ371" t="s">
        <v>6962</v>
      </c>
      <c r="BK371" t="s">
        <v>100</v>
      </c>
      <c r="BL371" t="s">
        <v>6963</v>
      </c>
      <c r="BM371" t="s">
        <v>6964</v>
      </c>
      <c r="BN371" t="s">
        <v>74</v>
      </c>
      <c r="BO371" t="s">
        <v>252</v>
      </c>
      <c r="BP371" t="s">
        <v>74</v>
      </c>
      <c r="BQ371" t="s">
        <v>74</v>
      </c>
      <c r="BR371" t="s">
        <v>103</v>
      </c>
      <c r="BS371" t="s">
        <v>6965</v>
      </c>
      <c r="BT371" t="str">
        <f>HYPERLINK("https%3A%2F%2Fwww.webofscience.com%2Fwos%2Fwoscc%2Ffull-record%2FWOS:000288276100026","View Full Record in Web of Science")</f>
        <v>View Full Record in Web of Science</v>
      </c>
    </row>
    <row r="372" spans="1:72" x14ac:dyDescent="0.15">
      <c r="A372" t="s">
        <v>72</v>
      </c>
      <c r="B372" t="s">
        <v>6966</v>
      </c>
      <c r="C372" t="s">
        <v>74</v>
      </c>
      <c r="D372" t="s">
        <v>74</v>
      </c>
      <c r="E372" t="s">
        <v>74</v>
      </c>
      <c r="F372" t="s">
        <v>6967</v>
      </c>
      <c r="G372" t="s">
        <v>74</v>
      </c>
      <c r="H372" t="s">
        <v>74</v>
      </c>
      <c r="I372" t="s">
        <v>6968</v>
      </c>
      <c r="J372" t="s">
        <v>6969</v>
      </c>
      <c r="K372" t="s">
        <v>74</v>
      </c>
      <c r="L372" t="s">
        <v>74</v>
      </c>
      <c r="M372" t="s">
        <v>78</v>
      </c>
      <c r="N372" t="s">
        <v>79</v>
      </c>
      <c r="O372" t="s">
        <v>74</v>
      </c>
      <c r="P372" t="s">
        <v>74</v>
      </c>
      <c r="Q372" t="s">
        <v>74</v>
      </c>
      <c r="R372" t="s">
        <v>74</v>
      </c>
      <c r="S372" t="s">
        <v>74</v>
      </c>
      <c r="T372" t="s">
        <v>6970</v>
      </c>
      <c r="U372" t="s">
        <v>6971</v>
      </c>
      <c r="V372" t="s">
        <v>6972</v>
      </c>
      <c r="W372" t="s">
        <v>6973</v>
      </c>
      <c r="X372" t="s">
        <v>6974</v>
      </c>
      <c r="Y372" t="s">
        <v>6975</v>
      </c>
      <c r="Z372" t="s">
        <v>6976</v>
      </c>
      <c r="AA372" t="s">
        <v>6977</v>
      </c>
      <c r="AB372" t="s">
        <v>6978</v>
      </c>
      <c r="AC372" t="s">
        <v>6979</v>
      </c>
      <c r="AD372" t="s">
        <v>6980</v>
      </c>
      <c r="AE372" t="s">
        <v>6981</v>
      </c>
      <c r="AF372" t="s">
        <v>74</v>
      </c>
      <c r="AG372">
        <v>71</v>
      </c>
      <c r="AH372">
        <v>23</v>
      </c>
      <c r="AI372">
        <v>24</v>
      </c>
      <c r="AJ372">
        <v>0</v>
      </c>
      <c r="AK372">
        <v>31</v>
      </c>
      <c r="AL372" t="s">
        <v>474</v>
      </c>
      <c r="AM372" t="s">
        <v>475</v>
      </c>
      <c r="AN372" t="s">
        <v>476</v>
      </c>
      <c r="AO372" t="s">
        <v>6982</v>
      </c>
      <c r="AP372" t="s">
        <v>6983</v>
      </c>
      <c r="AQ372" t="s">
        <v>74</v>
      </c>
      <c r="AR372" t="s">
        <v>6969</v>
      </c>
      <c r="AS372" t="s">
        <v>6984</v>
      </c>
      <c r="AT372" t="s">
        <v>74</v>
      </c>
      <c r="AU372">
        <v>2011</v>
      </c>
      <c r="AV372">
        <v>27</v>
      </c>
      <c r="AW372">
        <v>1</v>
      </c>
      <c r="AX372" t="s">
        <v>74</v>
      </c>
      <c r="AY372" t="s">
        <v>74</v>
      </c>
      <c r="AZ372" t="s">
        <v>74</v>
      </c>
      <c r="BA372" t="s">
        <v>74</v>
      </c>
      <c r="BB372">
        <v>99</v>
      </c>
      <c r="BC372">
        <v>109</v>
      </c>
      <c r="BD372" t="s">
        <v>74</v>
      </c>
      <c r="BE372" t="s">
        <v>6985</v>
      </c>
      <c r="BF372" t="str">
        <f>HYPERLINK("http://dx.doi.org/10.1080/08927014.2010.542587","http://dx.doi.org/10.1080/08927014.2010.542587")</f>
        <v>http://dx.doi.org/10.1080/08927014.2010.542587</v>
      </c>
      <c r="BG372" t="s">
        <v>74</v>
      </c>
      <c r="BH372" t="s">
        <v>74</v>
      </c>
      <c r="BI372">
        <v>11</v>
      </c>
      <c r="BJ372" t="s">
        <v>6986</v>
      </c>
      <c r="BK372" t="s">
        <v>100</v>
      </c>
      <c r="BL372" t="s">
        <v>6986</v>
      </c>
      <c r="BM372" t="s">
        <v>6987</v>
      </c>
      <c r="BN372">
        <v>21181570</v>
      </c>
      <c r="BO372" t="s">
        <v>138</v>
      </c>
      <c r="BP372" t="s">
        <v>74</v>
      </c>
      <c r="BQ372" t="s">
        <v>74</v>
      </c>
      <c r="BR372" t="s">
        <v>103</v>
      </c>
      <c r="BS372" t="s">
        <v>6988</v>
      </c>
      <c r="BT372" t="str">
        <f>HYPERLINK("https%3A%2F%2Fwww.webofscience.com%2Fwos%2Fwoscc%2Ffull-record%2FWOS:000208616500001","View Full Record in Web of Science")</f>
        <v>View Full Record in Web of Science</v>
      </c>
    </row>
    <row r="373" spans="1:72" x14ac:dyDescent="0.15">
      <c r="A373" t="s">
        <v>72</v>
      </c>
      <c r="B373" t="s">
        <v>6989</v>
      </c>
      <c r="C373" t="s">
        <v>74</v>
      </c>
      <c r="D373" t="s">
        <v>74</v>
      </c>
      <c r="E373" t="s">
        <v>74</v>
      </c>
      <c r="F373" t="s">
        <v>6990</v>
      </c>
      <c r="G373" t="s">
        <v>74</v>
      </c>
      <c r="H373" t="s">
        <v>74</v>
      </c>
      <c r="I373" t="s">
        <v>6991</v>
      </c>
      <c r="J373" t="s">
        <v>4982</v>
      </c>
      <c r="K373" t="s">
        <v>74</v>
      </c>
      <c r="L373" t="s">
        <v>74</v>
      </c>
      <c r="M373" t="s">
        <v>78</v>
      </c>
      <c r="N373" t="s">
        <v>79</v>
      </c>
      <c r="O373" t="s">
        <v>74</v>
      </c>
      <c r="P373" t="s">
        <v>74</v>
      </c>
      <c r="Q373" t="s">
        <v>74</v>
      </c>
      <c r="R373" t="s">
        <v>74</v>
      </c>
      <c r="S373" t="s">
        <v>74</v>
      </c>
      <c r="T373" t="s">
        <v>74</v>
      </c>
      <c r="U373" t="s">
        <v>6992</v>
      </c>
      <c r="V373" t="s">
        <v>6993</v>
      </c>
      <c r="W373" t="s">
        <v>6994</v>
      </c>
      <c r="X373" t="s">
        <v>6995</v>
      </c>
      <c r="Y373" t="s">
        <v>6996</v>
      </c>
      <c r="Z373" t="s">
        <v>6997</v>
      </c>
      <c r="AA373" t="s">
        <v>6998</v>
      </c>
      <c r="AB373" t="s">
        <v>6999</v>
      </c>
      <c r="AC373" t="s">
        <v>7000</v>
      </c>
      <c r="AD373" t="s">
        <v>7001</v>
      </c>
      <c r="AE373" t="s">
        <v>7002</v>
      </c>
      <c r="AF373" t="s">
        <v>74</v>
      </c>
      <c r="AG373">
        <v>78</v>
      </c>
      <c r="AH373">
        <v>68</v>
      </c>
      <c r="AI373">
        <v>83</v>
      </c>
      <c r="AJ373">
        <v>1</v>
      </c>
      <c r="AK373">
        <v>36</v>
      </c>
      <c r="AL373" t="s">
        <v>2955</v>
      </c>
      <c r="AM373" t="s">
        <v>2956</v>
      </c>
      <c r="AN373" t="s">
        <v>2957</v>
      </c>
      <c r="AO373" t="s">
        <v>4993</v>
      </c>
      <c r="AP373" t="s">
        <v>4994</v>
      </c>
      <c r="AQ373" t="s">
        <v>74</v>
      </c>
      <c r="AR373" t="s">
        <v>4982</v>
      </c>
      <c r="AS373" t="s">
        <v>4995</v>
      </c>
      <c r="AT373" t="s">
        <v>74</v>
      </c>
      <c r="AU373">
        <v>2011</v>
      </c>
      <c r="AV373">
        <v>8</v>
      </c>
      <c r="AW373">
        <v>2</v>
      </c>
      <c r="AX373" t="s">
        <v>74</v>
      </c>
      <c r="AY373" t="s">
        <v>74</v>
      </c>
      <c r="AZ373" t="s">
        <v>74</v>
      </c>
      <c r="BA373" t="s">
        <v>74</v>
      </c>
      <c r="BB373">
        <v>227</v>
      </c>
      <c r="BC373">
        <v>237</v>
      </c>
      <c r="BD373" t="s">
        <v>74</v>
      </c>
      <c r="BE373" t="s">
        <v>7003</v>
      </c>
      <c r="BF373" t="str">
        <f>HYPERLINK("http://dx.doi.org/10.5194/bg-8-227-2011","http://dx.doi.org/10.5194/bg-8-227-2011")</f>
        <v>http://dx.doi.org/10.5194/bg-8-227-2011</v>
      </c>
      <c r="BG373" t="s">
        <v>74</v>
      </c>
      <c r="BH373" t="s">
        <v>74</v>
      </c>
      <c r="BI373">
        <v>11</v>
      </c>
      <c r="BJ373" t="s">
        <v>4387</v>
      </c>
      <c r="BK373" t="s">
        <v>100</v>
      </c>
      <c r="BL373" t="s">
        <v>4388</v>
      </c>
      <c r="BM373" t="s">
        <v>7004</v>
      </c>
      <c r="BN373" t="s">
        <v>74</v>
      </c>
      <c r="BO373" t="s">
        <v>5848</v>
      </c>
      <c r="BP373" t="s">
        <v>74</v>
      </c>
      <c r="BQ373" t="s">
        <v>74</v>
      </c>
      <c r="BR373" t="s">
        <v>103</v>
      </c>
      <c r="BS373" t="s">
        <v>7005</v>
      </c>
      <c r="BT373" t="str">
        <f>HYPERLINK("https%3A%2F%2Fwww.webofscience.com%2Fwos%2Fwoscc%2Ffull-record%2FWOS:000287796800001","View Full Record in Web of Science")</f>
        <v>View Full Record in Web of Science</v>
      </c>
    </row>
    <row r="374" spans="1:72" x14ac:dyDescent="0.15">
      <c r="A374" t="s">
        <v>72</v>
      </c>
      <c r="B374" t="s">
        <v>7006</v>
      </c>
      <c r="C374" t="s">
        <v>74</v>
      </c>
      <c r="D374" t="s">
        <v>74</v>
      </c>
      <c r="E374" t="s">
        <v>74</v>
      </c>
      <c r="F374" t="s">
        <v>7007</v>
      </c>
      <c r="G374" t="s">
        <v>74</v>
      </c>
      <c r="H374" t="s">
        <v>74</v>
      </c>
      <c r="I374" t="s">
        <v>7008</v>
      </c>
      <c r="J374" t="s">
        <v>4982</v>
      </c>
      <c r="K374" t="s">
        <v>74</v>
      </c>
      <c r="L374" t="s">
        <v>74</v>
      </c>
      <c r="M374" t="s">
        <v>78</v>
      </c>
      <c r="N374" t="s">
        <v>79</v>
      </c>
      <c r="O374" t="s">
        <v>74</v>
      </c>
      <c r="P374" t="s">
        <v>74</v>
      </c>
      <c r="Q374" t="s">
        <v>74</v>
      </c>
      <c r="R374" t="s">
        <v>74</v>
      </c>
      <c r="S374" t="s">
        <v>74</v>
      </c>
      <c r="T374" t="s">
        <v>74</v>
      </c>
      <c r="U374" t="s">
        <v>7009</v>
      </c>
      <c r="V374" t="s">
        <v>7010</v>
      </c>
      <c r="W374" t="s">
        <v>7011</v>
      </c>
      <c r="X374" t="s">
        <v>7012</v>
      </c>
      <c r="Y374" t="s">
        <v>7013</v>
      </c>
      <c r="Z374" t="s">
        <v>7014</v>
      </c>
      <c r="AA374" t="s">
        <v>7015</v>
      </c>
      <c r="AB374" t="s">
        <v>7016</v>
      </c>
      <c r="AC374" t="s">
        <v>7017</v>
      </c>
      <c r="AD374" t="s">
        <v>7018</v>
      </c>
      <c r="AE374" t="s">
        <v>7019</v>
      </c>
      <c r="AF374" t="s">
        <v>74</v>
      </c>
      <c r="AG374">
        <v>38</v>
      </c>
      <c r="AH374">
        <v>161</v>
      </c>
      <c r="AI374">
        <v>180</v>
      </c>
      <c r="AJ374">
        <v>5</v>
      </c>
      <c r="AK374">
        <v>86</v>
      </c>
      <c r="AL374" t="s">
        <v>2955</v>
      </c>
      <c r="AM374" t="s">
        <v>2956</v>
      </c>
      <c r="AN374" t="s">
        <v>2957</v>
      </c>
      <c r="AO374" t="s">
        <v>4993</v>
      </c>
      <c r="AP374" t="s">
        <v>74</v>
      </c>
      <c r="AQ374" t="s">
        <v>74</v>
      </c>
      <c r="AR374" t="s">
        <v>4982</v>
      </c>
      <c r="AS374" t="s">
        <v>4995</v>
      </c>
      <c r="AT374" t="s">
        <v>74</v>
      </c>
      <c r="AU374">
        <v>2011</v>
      </c>
      <c r="AV374">
        <v>8</v>
      </c>
      <c r="AW374">
        <v>2</v>
      </c>
      <c r="AX374" t="s">
        <v>74</v>
      </c>
      <c r="AY374" t="s">
        <v>74</v>
      </c>
      <c r="AZ374" t="s">
        <v>74</v>
      </c>
      <c r="BA374" t="s">
        <v>74</v>
      </c>
      <c r="BB374">
        <v>489</v>
      </c>
      <c r="BC374">
        <v>503</v>
      </c>
      <c r="BD374" t="s">
        <v>74</v>
      </c>
      <c r="BE374" t="s">
        <v>7020</v>
      </c>
      <c r="BF374" t="str">
        <f>HYPERLINK("http://dx.doi.org/10.5194/bg-8-489-2011","http://dx.doi.org/10.5194/bg-8-489-2011")</f>
        <v>http://dx.doi.org/10.5194/bg-8-489-2011</v>
      </c>
      <c r="BG374" t="s">
        <v>74</v>
      </c>
      <c r="BH374" t="s">
        <v>74</v>
      </c>
      <c r="BI374">
        <v>15</v>
      </c>
      <c r="BJ374" t="s">
        <v>4387</v>
      </c>
      <c r="BK374" t="s">
        <v>100</v>
      </c>
      <c r="BL374" t="s">
        <v>4388</v>
      </c>
      <c r="BM374" t="s">
        <v>7004</v>
      </c>
      <c r="BN374" t="s">
        <v>74</v>
      </c>
      <c r="BO374" t="s">
        <v>1672</v>
      </c>
      <c r="BP374" t="s">
        <v>74</v>
      </c>
      <c r="BQ374" t="s">
        <v>74</v>
      </c>
      <c r="BR374" t="s">
        <v>103</v>
      </c>
      <c r="BS374" t="s">
        <v>7021</v>
      </c>
      <c r="BT374" t="str">
        <f>HYPERLINK("https%3A%2F%2Fwww.webofscience.com%2Fwos%2Fwoscc%2Ffull-record%2FWOS:000287796800018","View Full Record in Web of Science")</f>
        <v>View Full Record in Web of Science</v>
      </c>
    </row>
    <row r="375" spans="1:72" x14ac:dyDescent="0.15">
      <c r="A375" t="s">
        <v>72</v>
      </c>
      <c r="B375" t="s">
        <v>7022</v>
      </c>
      <c r="C375" t="s">
        <v>74</v>
      </c>
      <c r="D375" t="s">
        <v>74</v>
      </c>
      <c r="E375" t="s">
        <v>74</v>
      </c>
      <c r="F375" t="s">
        <v>7023</v>
      </c>
      <c r="G375" t="s">
        <v>74</v>
      </c>
      <c r="H375" t="s">
        <v>74</v>
      </c>
      <c r="I375" t="s">
        <v>7024</v>
      </c>
      <c r="J375" t="s">
        <v>4982</v>
      </c>
      <c r="K375" t="s">
        <v>74</v>
      </c>
      <c r="L375" t="s">
        <v>74</v>
      </c>
      <c r="M375" t="s">
        <v>78</v>
      </c>
      <c r="N375" t="s">
        <v>79</v>
      </c>
      <c r="O375" t="s">
        <v>74</v>
      </c>
      <c r="P375" t="s">
        <v>74</v>
      </c>
      <c r="Q375" t="s">
        <v>74</v>
      </c>
      <c r="R375" t="s">
        <v>74</v>
      </c>
      <c r="S375" t="s">
        <v>74</v>
      </c>
      <c r="T375" t="s">
        <v>74</v>
      </c>
      <c r="U375" t="s">
        <v>7025</v>
      </c>
      <c r="V375" t="s">
        <v>7026</v>
      </c>
      <c r="W375" t="s">
        <v>7027</v>
      </c>
      <c r="X375" t="s">
        <v>7028</v>
      </c>
      <c r="Y375" t="s">
        <v>7029</v>
      </c>
      <c r="Z375" t="s">
        <v>7030</v>
      </c>
      <c r="AA375" t="s">
        <v>7031</v>
      </c>
      <c r="AB375" t="s">
        <v>7032</v>
      </c>
      <c r="AC375" t="s">
        <v>7033</v>
      </c>
      <c r="AD375" t="s">
        <v>7034</v>
      </c>
      <c r="AE375" t="s">
        <v>7035</v>
      </c>
      <c r="AF375" t="s">
        <v>74</v>
      </c>
      <c r="AG375">
        <v>53</v>
      </c>
      <c r="AH375">
        <v>63</v>
      </c>
      <c r="AI375">
        <v>63</v>
      </c>
      <c r="AJ375">
        <v>1</v>
      </c>
      <c r="AK375">
        <v>30</v>
      </c>
      <c r="AL375" t="s">
        <v>2955</v>
      </c>
      <c r="AM375" t="s">
        <v>2956</v>
      </c>
      <c r="AN375" t="s">
        <v>2957</v>
      </c>
      <c r="AO375" t="s">
        <v>4993</v>
      </c>
      <c r="AP375" t="s">
        <v>4994</v>
      </c>
      <c r="AQ375" t="s">
        <v>74</v>
      </c>
      <c r="AR375" t="s">
        <v>4982</v>
      </c>
      <c r="AS375" t="s">
        <v>4995</v>
      </c>
      <c r="AT375" t="s">
        <v>74</v>
      </c>
      <c r="AU375">
        <v>2011</v>
      </c>
      <c r="AV375">
        <v>8</v>
      </c>
      <c r="AW375">
        <v>5</v>
      </c>
      <c r="AX375" t="s">
        <v>74</v>
      </c>
      <c r="AY375" t="s">
        <v>74</v>
      </c>
      <c r="AZ375" t="s">
        <v>74</v>
      </c>
      <c r="BA375" t="s">
        <v>74</v>
      </c>
      <c r="BB375">
        <v>1031</v>
      </c>
      <c r="BC375">
        <v>1052</v>
      </c>
      <c r="BD375" t="s">
        <v>74</v>
      </c>
      <c r="BE375" t="s">
        <v>7036</v>
      </c>
      <c r="BF375" t="str">
        <f>HYPERLINK("http://dx.doi.org/10.5194/bg-8-1031-2011","http://dx.doi.org/10.5194/bg-8-1031-2011")</f>
        <v>http://dx.doi.org/10.5194/bg-8-1031-2011</v>
      </c>
      <c r="BG375" t="s">
        <v>74</v>
      </c>
      <c r="BH375" t="s">
        <v>74</v>
      </c>
      <c r="BI375">
        <v>22</v>
      </c>
      <c r="BJ375" t="s">
        <v>4387</v>
      </c>
      <c r="BK375" t="s">
        <v>100</v>
      </c>
      <c r="BL375" t="s">
        <v>4388</v>
      </c>
      <c r="BM375" t="s">
        <v>7037</v>
      </c>
      <c r="BN375" t="s">
        <v>74</v>
      </c>
      <c r="BO375" t="s">
        <v>3113</v>
      </c>
      <c r="BP375" t="s">
        <v>74</v>
      </c>
      <c r="BQ375" t="s">
        <v>74</v>
      </c>
      <c r="BR375" t="s">
        <v>103</v>
      </c>
      <c r="BS375" t="s">
        <v>7038</v>
      </c>
      <c r="BT375" t="str">
        <f>HYPERLINK("https%3A%2F%2Fwww.webofscience.com%2Fwos%2Fwoscc%2Ffull-record%2FWOS:000291003200001","View Full Record in Web of Science")</f>
        <v>View Full Record in Web of Science</v>
      </c>
    </row>
    <row r="376" spans="1:72" x14ac:dyDescent="0.15">
      <c r="A376" t="s">
        <v>72</v>
      </c>
      <c r="B376" t="s">
        <v>7039</v>
      </c>
      <c r="C376" t="s">
        <v>74</v>
      </c>
      <c r="D376" t="s">
        <v>74</v>
      </c>
      <c r="E376" t="s">
        <v>74</v>
      </c>
      <c r="F376" t="s">
        <v>7040</v>
      </c>
      <c r="G376" t="s">
        <v>74</v>
      </c>
      <c r="H376" t="s">
        <v>74</v>
      </c>
      <c r="I376" t="s">
        <v>7041</v>
      </c>
      <c r="J376" t="s">
        <v>4982</v>
      </c>
      <c r="K376" t="s">
        <v>74</v>
      </c>
      <c r="L376" t="s">
        <v>74</v>
      </c>
      <c r="M376" t="s">
        <v>78</v>
      </c>
      <c r="N376" t="s">
        <v>79</v>
      </c>
      <c r="O376" t="s">
        <v>74</v>
      </c>
      <c r="P376" t="s">
        <v>74</v>
      </c>
      <c r="Q376" t="s">
        <v>74</v>
      </c>
      <c r="R376" t="s">
        <v>74</v>
      </c>
      <c r="S376" t="s">
        <v>74</v>
      </c>
      <c r="T376" t="s">
        <v>74</v>
      </c>
      <c r="U376" t="s">
        <v>7042</v>
      </c>
      <c r="V376" t="s">
        <v>7043</v>
      </c>
      <c r="W376" t="s">
        <v>7044</v>
      </c>
      <c r="X376" t="s">
        <v>7045</v>
      </c>
      <c r="Y376" t="s">
        <v>7046</v>
      </c>
      <c r="Z376" t="s">
        <v>7047</v>
      </c>
      <c r="AA376" t="s">
        <v>7048</v>
      </c>
      <c r="AB376" t="s">
        <v>7049</v>
      </c>
      <c r="AC376" t="s">
        <v>7050</v>
      </c>
      <c r="AD376" t="s">
        <v>7051</v>
      </c>
      <c r="AE376" t="s">
        <v>7052</v>
      </c>
      <c r="AF376" t="s">
        <v>74</v>
      </c>
      <c r="AG376">
        <v>66</v>
      </c>
      <c r="AH376">
        <v>15</v>
      </c>
      <c r="AI376">
        <v>19</v>
      </c>
      <c r="AJ376">
        <v>0</v>
      </c>
      <c r="AK376">
        <v>12</v>
      </c>
      <c r="AL376" t="s">
        <v>2955</v>
      </c>
      <c r="AM376" t="s">
        <v>2956</v>
      </c>
      <c r="AN376" t="s">
        <v>2957</v>
      </c>
      <c r="AO376" t="s">
        <v>4993</v>
      </c>
      <c r="AP376" t="s">
        <v>74</v>
      </c>
      <c r="AQ376" t="s">
        <v>74</v>
      </c>
      <c r="AR376" t="s">
        <v>4982</v>
      </c>
      <c r="AS376" t="s">
        <v>4995</v>
      </c>
      <c r="AT376" t="s">
        <v>74</v>
      </c>
      <c r="AU376">
        <v>2011</v>
      </c>
      <c r="AV376">
        <v>8</v>
      </c>
      <c r="AW376">
        <v>5</v>
      </c>
      <c r="AX376" t="s">
        <v>74</v>
      </c>
      <c r="AY376" t="s">
        <v>74</v>
      </c>
      <c r="AZ376" t="s">
        <v>74</v>
      </c>
      <c r="BA376" t="s">
        <v>74</v>
      </c>
      <c r="BB376">
        <v>1401</v>
      </c>
      <c r="BC376">
        <v>1413</v>
      </c>
      <c r="BD376" t="s">
        <v>74</v>
      </c>
      <c r="BE376" t="s">
        <v>7053</v>
      </c>
      <c r="BF376" t="str">
        <f>HYPERLINK("http://dx.doi.org/10.5194/bg-8-1401-2011","http://dx.doi.org/10.5194/bg-8-1401-2011")</f>
        <v>http://dx.doi.org/10.5194/bg-8-1401-2011</v>
      </c>
      <c r="BG376" t="s">
        <v>74</v>
      </c>
      <c r="BH376" t="s">
        <v>74</v>
      </c>
      <c r="BI376">
        <v>13</v>
      </c>
      <c r="BJ376" t="s">
        <v>4387</v>
      </c>
      <c r="BK376" t="s">
        <v>100</v>
      </c>
      <c r="BL376" t="s">
        <v>4388</v>
      </c>
      <c r="BM376" t="s">
        <v>7054</v>
      </c>
      <c r="BN376" t="s">
        <v>74</v>
      </c>
      <c r="BO376" t="s">
        <v>4333</v>
      </c>
      <c r="BP376" t="s">
        <v>74</v>
      </c>
      <c r="BQ376" t="s">
        <v>74</v>
      </c>
      <c r="BR376" t="s">
        <v>103</v>
      </c>
      <c r="BS376" t="s">
        <v>7055</v>
      </c>
      <c r="BT376" t="str">
        <f>HYPERLINK("https%3A%2F%2Fwww.webofscience.com%2Fwos%2Fwoscc%2Ffull-record%2FWOS:000291942000002","View Full Record in Web of Science")</f>
        <v>View Full Record in Web of Science</v>
      </c>
    </row>
    <row r="377" spans="1:72" x14ac:dyDescent="0.15">
      <c r="A377" t="s">
        <v>72</v>
      </c>
      <c r="B377" t="s">
        <v>7056</v>
      </c>
      <c r="C377" t="s">
        <v>74</v>
      </c>
      <c r="D377" t="s">
        <v>74</v>
      </c>
      <c r="E377" t="s">
        <v>74</v>
      </c>
      <c r="F377" t="s">
        <v>7057</v>
      </c>
      <c r="G377" t="s">
        <v>74</v>
      </c>
      <c r="H377" t="s">
        <v>74</v>
      </c>
      <c r="I377" t="s">
        <v>7058</v>
      </c>
      <c r="J377" t="s">
        <v>4982</v>
      </c>
      <c r="K377" t="s">
        <v>74</v>
      </c>
      <c r="L377" t="s">
        <v>74</v>
      </c>
      <c r="M377" t="s">
        <v>78</v>
      </c>
      <c r="N377" t="s">
        <v>79</v>
      </c>
      <c r="O377" t="s">
        <v>74</v>
      </c>
      <c r="P377" t="s">
        <v>74</v>
      </c>
      <c r="Q377" t="s">
        <v>74</v>
      </c>
      <c r="R377" t="s">
        <v>74</v>
      </c>
      <c r="S377" t="s">
        <v>74</v>
      </c>
      <c r="T377" t="s">
        <v>74</v>
      </c>
      <c r="U377" t="s">
        <v>7059</v>
      </c>
      <c r="V377" t="s">
        <v>7060</v>
      </c>
      <c r="W377" t="s">
        <v>7061</v>
      </c>
      <c r="X377" t="s">
        <v>7062</v>
      </c>
      <c r="Y377" t="s">
        <v>7063</v>
      </c>
      <c r="Z377" t="s">
        <v>7064</v>
      </c>
      <c r="AA377" t="s">
        <v>7065</v>
      </c>
      <c r="AB377" t="s">
        <v>7066</v>
      </c>
      <c r="AC377" t="s">
        <v>7067</v>
      </c>
      <c r="AD377" t="s">
        <v>7068</v>
      </c>
      <c r="AE377" t="s">
        <v>7069</v>
      </c>
      <c r="AF377" t="s">
        <v>74</v>
      </c>
      <c r="AG377">
        <v>85</v>
      </c>
      <c r="AH377">
        <v>136</v>
      </c>
      <c r="AI377">
        <v>143</v>
      </c>
      <c r="AJ377">
        <v>3</v>
      </c>
      <c r="AK377">
        <v>39</v>
      </c>
      <c r="AL377" t="s">
        <v>2955</v>
      </c>
      <c r="AM377" t="s">
        <v>2956</v>
      </c>
      <c r="AN377" t="s">
        <v>2957</v>
      </c>
      <c r="AO377" t="s">
        <v>4993</v>
      </c>
      <c r="AP377" t="s">
        <v>4994</v>
      </c>
      <c r="AQ377" t="s">
        <v>74</v>
      </c>
      <c r="AR377" t="s">
        <v>4982</v>
      </c>
      <c r="AS377" t="s">
        <v>4995</v>
      </c>
      <c r="AT377" t="s">
        <v>74</v>
      </c>
      <c r="AU377">
        <v>2011</v>
      </c>
      <c r="AV377">
        <v>8</v>
      </c>
      <c r="AW377">
        <v>10</v>
      </c>
      <c r="AX377" t="s">
        <v>74</v>
      </c>
      <c r="AY377" t="s">
        <v>74</v>
      </c>
      <c r="AZ377" t="s">
        <v>74</v>
      </c>
      <c r="BA377" t="s">
        <v>74</v>
      </c>
      <c r="BB377">
        <v>2849</v>
      </c>
      <c r="BC377">
        <v>2866</v>
      </c>
      <c r="BD377" t="s">
        <v>74</v>
      </c>
      <c r="BE377" t="s">
        <v>7070</v>
      </c>
      <c r="BF377" t="str">
        <f>HYPERLINK("http://dx.doi.org/10.5194/bg-8-2849-2011","http://dx.doi.org/10.5194/bg-8-2849-2011")</f>
        <v>http://dx.doi.org/10.5194/bg-8-2849-2011</v>
      </c>
      <c r="BG377" t="s">
        <v>74</v>
      </c>
      <c r="BH377" t="s">
        <v>74</v>
      </c>
      <c r="BI377">
        <v>18</v>
      </c>
      <c r="BJ377" t="s">
        <v>4387</v>
      </c>
      <c r="BK377" t="s">
        <v>100</v>
      </c>
      <c r="BL377" t="s">
        <v>4388</v>
      </c>
      <c r="BM377" t="s">
        <v>7071</v>
      </c>
      <c r="BN377" t="s">
        <v>74</v>
      </c>
      <c r="BO377" t="s">
        <v>3113</v>
      </c>
      <c r="BP377" t="s">
        <v>74</v>
      </c>
      <c r="BQ377" t="s">
        <v>74</v>
      </c>
      <c r="BR377" t="s">
        <v>103</v>
      </c>
      <c r="BS377" t="s">
        <v>7072</v>
      </c>
      <c r="BT377" t="str">
        <f>HYPERLINK("https%3A%2F%2Fwww.webofscience.com%2Fwos%2Fwoscc%2Ffull-record%2FWOS:000296747000003","View Full Record in Web of Science")</f>
        <v>View Full Record in Web of Science</v>
      </c>
    </row>
    <row r="378" spans="1:72" x14ac:dyDescent="0.15">
      <c r="A378" t="s">
        <v>72</v>
      </c>
      <c r="B378" t="s">
        <v>7073</v>
      </c>
      <c r="C378" t="s">
        <v>74</v>
      </c>
      <c r="D378" t="s">
        <v>74</v>
      </c>
      <c r="E378" t="s">
        <v>74</v>
      </c>
      <c r="F378" t="s">
        <v>7074</v>
      </c>
      <c r="G378" t="s">
        <v>74</v>
      </c>
      <c r="H378" t="s">
        <v>74</v>
      </c>
      <c r="I378" t="s">
        <v>7075</v>
      </c>
      <c r="J378" t="s">
        <v>4982</v>
      </c>
      <c r="K378" t="s">
        <v>74</v>
      </c>
      <c r="L378" t="s">
        <v>74</v>
      </c>
      <c r="M378" t="s">
        <v>78</v>
      </c>
      <c r="N378" t="s">
        <v>79</v>
      </c>
      <c r="O378" t="s">
        <v>74</v>
      </c>
      <c r="P378" t="s">
        <v>74</v>
      </c>
      <c r="Q378" t="s">
        <v>74</v>
      </c>
      <c r="R378" t="s">
        <v>74</v>
      </c>
      <c r="S378" t="s">
        <v>74</v>
      </c>
      <c r="T378" t="s">
        <v>74</v>
      </c>
      <c r="U378" t="s">
        <v>7076</v>
      </c>
      <c r="V378" t="s">
        <v>7077</v>
      </c>
      <c r="W378" t="s">
        <v>7078</v>
      </c>
      <c r="X378" t="s">
        <v>7079</v>
      </c>
      <c r="Y378" t="s">
        <v>7080</v>
      </c>
      <c r="Z378" t="s">
        <v>7081</v>
      </c>
      <c r="AA378" t="s">
        <v>7082</v>
      </c>
      <c r="AB378" t="s">
        <v>7083</v>
      </c>
      <c r="AC378" t="s">
        <v>7084</v>
      </c>
      <c r="AD378" t="s">
        <v>7085</v>
      </c>
      <c r="AE378" t="s">
        <v>7086</v>
      </c>
      <c r="AF378" t="s">
        <v>74</v>
      </c>
      <c r="AG378">
        <v>79</v>
      </c>
      <c r="AH378">
        <v>34</v>
      </c>
      <c r="AI378">
        <v>34</v>
      </c>
      <c r="AJ378">
        <v>1</v>
      </c>
      <c r="AK378">
        <v>31</v>
      </c>
      <c r="AL378" t="s">
        <v>2955</v>
      </c>
      <c r="AM378" t="s">
        <v>2956</v>
      </c>
      <c r="AN378" t="s">
        <v>2957</v>
      </c>
      <c r="AO378" t="s">
        <v>4993</v>
      </c>
      <c r="AP378" t="s">
        <v>4994</v>
      </c>
      <c r="AQ378" t="s">
        <v>74</v>
      </c>
      <c r="AR378" t="s">
        <v>4982</v>
      </c>
      <c r="AS378" t="s">
        <v>4995</v>
      </c>
      <c r="AT378" t="s">
        <v>74</v>
      </c>
      <c r="AU378">
        <v>2011</v>
      </c>
      <c r="AV378">
        <v>8</v>
      </c>
      <c r="AW378">
        <v>10</v>
      </c>
      <c r="AX378" t="s">
        <v>74</v>
      </c>
      <c r="AY378" t="s">
        <v>74</v>
      </c>
      <c r="AZ378" t="s">
        <v>74</v>
      </c>
      <c r="BA378" t="s">
        <v>74</v>
      </c>
      <c r="BB378">
        <v>2947</v>
      </c>
      <c r="BC378">
        <v>2959</v>
      </c>
      <c r="BD378" t="s">
        <v>74</v>
      </c>
      <c r="BE378" t="s">
        <v>7087</v>
      </c>
      <c r="BF378" t="str">
        <f>HYPERLINK("http://dx.doi.org/10.5194/bg-8-2947-2011","http://dx.doi.org/10.5194/bg-8-2947-2011")</f>
        <v>http://dx.doi.org/10.5194/bg-8-2947-2011</v>
      </c>
      <c r="BG378" t="s">
        <v>74</v>
      </c>
      <c r="BH378" t="s">
        <v>74</v>
      </c>
      <c r="BI378">
        <v>13</v>
      </c>
      <c r="BJ378" t="s">
        <v>4387</v>
      </c>
      <c r="BK378" t="s">
        <v>100</v>
      </c>
      <c r="BL378" t="s">
        <v>4388</v>
      </c>
      <c r="BM378" t="s">
        <v>7071</v>
      </c>
      <c r="BN378" t="s">
        <v>74</v>
      </c>
      <c r="BO378" t="s">
        <v>5848</v>
      </c>
      <c r="BP378" t="s">
        <v>74</v>
      </c>
      <c r="BQ378" t="s">
        <v>74</v>
      </c>
      <c r="BR378" t="s">
        <v>103</v>
      </c>
      <c r="BS378" t="s">
        <v>7088</v>
      </c>
      <c r="BT378" t="str">
        <f>HYPERLINK("https%3A%2F%2Fwww.webofscience.com%2Fwos%2Fwoscc%2Ffull-record%2FWOS:000296747000011","View Full Record in Web of Science")</f>
        <v>View Full Record in Web of Science</v>
      </c>
    </row>
    <row r="379" spans="1:72" x14ac:dyDescent="0.15">
      <c r="A379" t="s">
        <v>72</v>
      </c>
      <c r="B379" t="s">
        <v>7089</v>
      </c>
      <c r="C379" t="s">
        <v>74</v>
      </c>
      <c r="D379" t="s">
        <v>74</v>
      </c>
      <c r="E379" t="s">
        <v>74</v>
      </c>
      <c r="F379" t="s">
        <v>7090</v>
      </c>
      <c r="G379" t="s">
        <v>74</v>
      </c>
      <c r="H379" t="s">
        <v>74</v>
      </c>
      <c r="I379" t="s">
        <v>7091</v>
      </c>
      <c r="J379" t="s">
        <v>7092</v>
      </c>
      <c r="K379" t="s">
        <v>74</v>
      </c>
      <c r="L379" t="s">
        <v>74</v>
      </c>
      <c r="M379" t="s">
        <v>78</v>
      </c>
      <c r="N379" t="s">
        <v>681</v>
      </c>
      <c r="O379" t="s">
        <v>74</v>
      </c>
      <c r="P379" t="s">
        <v>74</v>
      </c>
      <c r="Q379" t="s">
        <v>74</v>
      </c>
      <c r="R379" t="s">
        <v>74</v>
      </c>
      <c r="S379" t="s">
        <v>74</v>
      </c>
      <c r="T379" t="s">
        <v>7093</v>
      </c>
      <c r="U379" t="s">
        <v>7094</v>
      </c>
      <c r="V379" t="s">
        <v>7095</v>
      </c>
      <c r="W379" t="s">
        <v>7096</v>
      </c>
      <c r="X379" t="s">
        <v>7097</v>
      </c>
      <c r="Y379" t="s">
        <v>7098</v>
      </c>
      <c r="Z379" t="s">
        <v>7099</v>
      </c>
      <c r="AA379" t="s">
        <v>7100</v>
      </c>
      <c r="AB379" t="s">
        <v>7101</v>
      </c>
      <c r="AC379" t="s">
        <v>7102</v>
      </c>
      <c r="AD379" t="s">
        <v>7103</v>
      </c>
      <c r="AE379" t="s">
        <v>7104</v>
      </c>
      <c r="AF379" t="s">
        <v>74</v>
      </c>
      <c r="AG379">
        <v>133</v>
      </c>
      <c r="AH379">
        <v>108</v>
      </c>
      <c r="AI379">
        <v>117</v>
      </c>
      <c r="AJ379">
        <v>1</v>
      </c>
      <c r="AK379">
        <v>155</v>
      </c>
      <c r="AL379" t="s">
        <v>1457</v>
      </c>
      <c r="AM379" t="s">
        <v>719</v>
      </c>
      <c r="AN379" t="s">
        <v>1458</v>
      </c>
      <c r="AO379" t="s">
        <v>7105</v>
      </c>
      <c r="AP379" t="s">
        <v>7106</v>
      </c>
      <c r="AQ379" t="s">
        <v>74</v>
      </c>
      <c r="AR379" t="s">
        <v>7107</v>
      </c>
      <c r="AS379" t="s">
        <v>7108</v>
      </c>
      <c r="AT379" t="s">
        <v>3935</v>
      </c>
      <c r="AU379">
        <v>2011</v>
      </c>
      <c r="AV379">
        <v>144</v>
      </c>
      <c r="AW379">
        <v>1</v>
      </c>
      <c r="AX379" t="s">
        <v>74</v>
      </c>
      <c r="AY379" t="s">
        <v>74</v>
      </c>
      <c r="AZ379" t="s">
        <v>74</v>
      </c>
      <c r="BA379" t="s">
        <v>74</v>
      </c>
      <c r="BB379">
        <v>68</v>
      </c>
      <c r="BC379">
        <v>81</v>
      </c>
      <c r="BD379" t="s">
        <v>74</v>
      </c>
      <c r="BE379" t="s">
        <v>7109</v>
      </c>
      <c r="BF379" t="str">
        <f>HYPERLINK("http://dx.doi.org/10.1016/j.biocon.2010.10.006","http://dx.doi.org/10.1016/j.biocon.2010.10.006")</f>
        <v>http://dx.doi.org/10.1016/j.biocon.2010.10.006</v>
      </c>
      <c r="BG379" t="s">
        <v>74</v>
      </c>
      <c r="BH379" t="s">
        <v>74</v>
      </c>
      <c r="BI379">
        <v>14</v>
      </c>
      <c r="BJ379" t="s">
        <v>869</v>
      </c>
      <c r="BK379" t="s">
        <v>100</v>
      </c>
      <c r="BL379" t="s">
        <v>870</v>
      </c>
      <c r="BM379" t="s">
        <v>7110</v>
      </c>
      <c r="BN379" t="s">
        <v>74</v>
      </c>
      <c r="BO379" t="s">
        <v>74</v>
      </c>
      <c r="BP379" t="s">
        <v>74</v>
      </c>
      <c r="BQ379" t="s">
        <v>74</v>
      </c>
      <c r="BR379" t="s">
        <v>103</v>
      </c>
      <c r="BS379" t="s">
        <v>7111</v>
      </c>
      <c r="BT379" t="str">
        <f>HYPERLINK("https%3A%2F%2Fwww.webofscience.com%2Fwos%2Fwoscc%2Ffull-record%2FWOS:000287168100007","View Full Record in Web of Science")</f>
        <v>View Full Record in Web of Science</v>
      </c>
    </row>
    <row r="380" spans="1:72" x14ac:dyDescent="0.15">
      <c r="A380" t="s">
        <v>72</v>
      </c>
      <c r="B380" t="s">
        <v>7112</v>
      </c>
      <c r="C380" t="s">
        <v>74</v>
      </c>
      <c r="D380" t="s">
        <v>74</v>
      </c>
      <c r="E380" t="s">
        <v>74</v>
      </c>
      <c r="F380" t="s">
        <v>7113</v>
      </c>
      <c r="G380" t="s">
        <v>74</v>
      </c>
      <c r="H380" t="s">
        <v>74</v>
      </c>
      <c r="I380" t="s">
        <v>7114</v>
      </c>
      <c r="J380" t="s">
        <v>7115</v>
      </c>
      <c r="K380" t="s">
        <v>74</v>
      </c>
      <c r="L380" t="s">
        <v>74</v>
      </c>
      <c r="M380" t="s">
        <v>78</v>
      </c>
      <c r="N380" t="s">
        <v>79</v>
      </c>
      <c r="O380" t="s">
        <v>74</v>
      </c>
      <c r="P380" t="s">
        <v>74</v>
      </c>
      <c r="Q380" t="s">
        <v>74</v>
      </c>
      <c r="R380" t="s">
        <v>74</v>
      </c>
      <c r="S380" t="s">
        <v>74</v>
      </c>
      <c r="T380" t="s">
        <v>7116</v>
      </c>
      <c r="U380" t="s">
        <v>7117</v>
      </c>
      <c r="V380" t="s">
        <v>7118</v>
      </c>
      <c r="W380" t="s">
        <v>7119</v>
      </c>
      <c r="X380" t="s">
        <v>74</v>
      </c>
      <c r="Y380" t="s">
        <v>7120</v>
      </c>
      <c r="Z380" t="s">
        <v>7121</v>
      </c>
      <c r="AA380" t="s">
        <v>74</v>
      </c>
      <c r="AB380" t="s">
        <v>74</v>
      </c>
      <c r="AC380" t="s">
        <v>74</v>
      </c>
      <c r="AD380" t="s">
        <v>74</v>
      </c>
      <c r="AE380" t="s">
        <v>74</v>
      </c>
      <c r="AF380" t="s">
        <v>74</v>
      </c>
      <c r="AG380">
        <v>35</v>
      </c>
      <c r="AH380">
        <v>49</v>
      </c>
      <c r="AI380">
        <v>53</v>
      </c>
      <c r="AJ380">
        <v>0</v>
      </c>
      <c r="AK380">
        <v>33</v>
      </c>
      <c r="AL380" t="s">
        <v>270</v>
      </c>
      <c r="AM380" t="s">
        <v>271</v>
      </c>
      <c r="AN380" t="s">
        <v>272</v>
      </c>
      <c r="AO380" t="s">
        <v>7122</v>
      </c>
      <c r="AP380" t="s">
        <v>7123</v>
      </c>
      <c r="AQ380" t="s">
        <v>74</v>
      </c>
      <c r="AR380" t="s">
        <v>7124</v>
      </c>
      <c r="AS380" t="s">
        <v>7125</v>
      </c>
      <c r="AT380" t="s">
        <v>3935</v>
      </c>
      <c r="AU380">
        <v>2011</v>
      </c>
      <c r="AV380">
        <v>13</v>
      </c>
      <c r="AW380">
        <v>1</v>
      </c>
      <c r="AX380" t="s">
        <v>74</v>
      </c>
      <c r="AY380" t="s">
        <v>74</v>
      </c>
      <c r="AZ380" t="s">
        <v>74</v>
      </c>
      <c r="BA380" t="s">
        <v>74</v>
      </c>
      <c r="BB380">
        <v>1</v>
      </c>
      <c r="BC380">
        <v>5</v>
      </c>
      <c r="BD380" t="s">
        <v>74</v>
      </c>
      <c r="BE380" t="s">
        <v>7126</v>
      </c>
      <c r="BF380" t="str">
        <f>HYPERLINK("http://dx.doi.org/10.1007/s10530-010-9784-x","http://dx.doi.org/10.1007/s10530-010-9784-x")</f>
        <v>http://dx.doi.org/10.1007/s10530-010-9784-x</v>
      </c>
      <c r="BG380" t="s">
        <v>74</v>
      </c>
      <c r="BH380" t="s">
        <v>74</v>
      </c>
      <c r="BI380">
        <v>5</v>
      </c>
      <c r="BJ380" t="s">
        <v>943</v>
      </c>
      <c r="BK380" t="s">
        <v>100</v>
      </c>
      <c r="BL380" t="s">
        <v>870</v>
      </c>
      <c r="BM380" t="s">
        <v>7127</v>
      </c>
      <c r="BN380" t="s">
        <v>74</v>
      </c>
      <c r="BO380" t="s">
        <v>74</v>
      </c>
      <c r="BP380" t="s">
        <v>74</v>
      </c>
      <c r="BQ380" t="s">
        <v>74</v>
      </c>
      <c r="BR380" t="s">
        <v>103</v>
      </c>
      <c r="BS380" t="s">
        <v>7128</v>
      </c>
      <c r="BT380" t="str">
        <f>HYPERLINK("https%3A%2F%2Fwww.webofscience.com%2Fwos%2Fwoscc%2Ffull-record%2FWOS:000285359300001","View Full Record in Web of Science")</f>
        <v>View Full Record in Web of Science</v>
      </c>
    </row>
    <row r="381" spans="1:72" x14ac:dyDescent="0.15">
      <c r="A381" t="s">
        <v>2363</v>
      </c>
      <c r="B381" t="s">
        <v>7129</v>
      </c>
      <c r="C381" t="s">
        <v>74</v>
      </c>
      <c r="D381" t="s">
        <v>7130</v>
      </c>
      <c r="E381" t="s">
        <v>74</v>
      </c>
      <c r="F381" t="s">
        <v>7131</v>
      </c>
      <c r="G381" t="s">
        <v>74</v>
      </c>
      <c r="H381" t="s">
        <v>74</v>
      </c>
      <c r="I381" t="s">
        <v>7132</v>
      </c>
      <c r="J381" t="s">
        <v>7133</v>
      </c>
      <c r="K381" t="s">
        <v>74</v>
      </c>
      <c r="L381" t="s">
        <v>74</v>
      </c>
      <c r="M381" t="s">
        <v>78</v>
      </c>
      <c r="N381" t="s">
        <v>2370</v>
      </c>
      <c r="O381" t="s">
        <v>74</v>
      </c>
      <c r="P381" t="s">
        <v>74</v>
      </c>
      <c r="Q381" t="s">
        <v>74</v>
      </c>
      <c r="R381" t="s">
        <v>74</v>
      </c>
      <c r="S381" t="s">
        <v>74</v>
      </c>
      <c r="T381" t="s">
        <v>74</v>
      </c>
      <c r="U381" t="s">
        <v>7134</v>
      </c>
      <c r="V381" t="s">
        <v>74</v>
      </c>
      <c r="W381" t="s">
        <v>7135</v>
      </c>
      <c r="X381" t="s">
        <v>7136</v>
      </c>
      <c r="Y381" t="s">
        <v>7137</v>
      </c>
      <c r="Z381" t="s">
        <v>74</v>
      </c>
      <c r="AA381" t="s">
        <v>7138</v>
      </c>
      <c r="AB381" t="s">
        <v>7139</v>
      </c>
      <c r="AC381" t="s">
        <v>74</v>
      </c>
      <c r="AD381" t="s">
        <v>74</v>
      </c>
      <c r="AE381" t="s">
        <v>74</v>
      </c>
      <c r="AF381" t="s">
        <v>74</v>
      </c>
      <c r="AG381">
        <v>211</v>
      </c>
      <c r="AH381">
        <v>45</v>
      </c>
      <c r="AI381">
        <v>47</v>
      </c>
      <c r="AJ381">
        <v>0</v>
      </c>
      <c r="AK381">
        <v>6</v>
      </c>
      <c r="AL381" t="s">
        <v>7140</v>
      </c>
      <c r="AM381" t="s">
        <v>7141</v>
      </c>
      <c r="AN381" t="s">
        <v>7142</v>
      </c>
      <c r="AO381" t="s">
        <v>74</v>
      </c>
      <c r="AP381" t="s">
        <v>74</v>
      </c>
      <c r="AQ381" t="s">
        <v>7143</v>
      </c>
      <c r="AR381" t="s">
        <v>74</v>
      </c>
      <c r="AS381" t="s">
        <v>74</v>
      </c>
      <c r="AT381" t="s">
        <v>74</v>
      </c>
      <c r="AU381">
        <v>2011</v>
      </c>
      <c r="AV381" t="s">
        <v>74</v>
      </c>
      <c r="AW381" t="s">
        <v>74</v>
      </c>
      <c r="AX381" t="s">
        <v>74</v>
      </c>
      <c r="AY381" t="s">
        <v>74</v>
      </c>
      <c r="AZ381" t="s">
        <v>74</v>
      </c>
      <c r="BA381" t="s">
        <v>74</v>
      </c>
      <c r="BB381">
        <v>325</v>
      </c>
      <c r="BC381">
        <v>378</v>
      </c>
      <c r="BD381" t="s">
        <v>74</v>
      </c>
      <c r="BE381" t="s">
        <v>74</v>
      </c>
      <c r="BF381" t="s">
        <v>74</v>
      </c>
      <c r="BG381" t="s">
        <v>7144</v>
      </c>
      <c r="BH381" t="s">
        <v>74</v>
      </c>
      <c r="BI381">
        <v>54</v>
      </c>
      <c r="BJ381" t="s">
        <v>821</v>
      </c>
      <c r="BK381" t="s">
        <v>2384</v>
      </c>
      <c r="BL381" t="s">
        <v>822</v>
      </c>
      <c r="BM381" t="s">
        <v>7145</v>
      </c>
      <c r="BN381" t="s">
        <v>74</v>
      </c>
      <c r="BO381" t="s">
        <v>74</v>
      </c>
      <c r="BP381" t="s">
        <v>74</v>
      </c>
      <c r="BQ381" t="s">
        <v>74</v>
      </c>
      <c r="BR381" t="s">
        <v>103</v>
      </c>
      <c r="BS381" t="s">
        <v>7146</v>
      </c>
      <c r="BT381" t="str">
        <f>HYPERLINK("https%3A%2F%2Fwww.webofscience.com%2Fwos%2Fwoscc%2Ffull-record%2FWOS:000352996300015","View Full Record in Web of Science")</f>
        <v>View Full Record in Web of Science</v>
      </c>
    </row>
    <row r="382" spans="1:72" x14ac:dyDescent="0.15">
      <c r="A382" t="s">
        <v>2268</v>
      </c>
      <c r="B382" t="s">
        <v>7147</v>
      </c>
      <c r="C382" t="s">
        <v>74</v>
      </c>
      <c r="D382" t="s">
        <v>7148</v>
      </c>
      <c r="E382" t="s">
        <v>74</v>
      </c>
      <c r="F382" t="s">
        <v>7149</v>
      </c>
      <c r="G382" t="s">
        <v>74</v>
      </c>
      <c r="H382" t="s">
        <v>74</v>
      </c>
      <c r="I382" t="s">
        <v>7150</v>
      </c>
      <c r="J382" t="s">
        <v>7151</v>
      </c>
      <c r="K382" t="s">
        <v>74</v>
      </c>
      <c r="L382" t="s">
        <v>74</v>
      </c>
      <c r="M382" t="s">
        <v>78</v>
      </c>
      <c r="N382" t="s">
        <v>2275</v>
      </c>
      <c r="O382" t="s">
        <v>7152</v>
      </c>
      <c r="P382" t="s">
        <v>7153</v>
      </c>
      <c r="Q382" t="s">
        <v>7154</v>
      </c>
      <c r="R382" t="s">
        <v>74</v>
      </c>
      <c r="S382" t="s">
        <v>74</v>
      </c>
      <c r="T382" t="s">
        <v>74</v>
      </c>
      <c r="U382" t="s">
        <v>74</v>
      </c>
      <c r="V382" t="s">
        <v>7155</v>
      </c>
      <c r="W382" t="s">
        <v>7156</v>
      </c>
      <c r="X382" t="s">
        <v>7157</v>
      </c>
      <c r="Y382" t="s">
        <v>7158</v>
      </c>
      <c r="Z382" t="s">
        <v>7159</v>
      </c>
      <c r="AA382" t="s">
        <v>7160</v>
      </c>
      <c r="AB382" t="s">
        <v>7161</v>
      </c>
      <c r="AC382" t="s">
        <v>7162</v>
      </c>
      <c r="AD382" t="s">
        <v>7163</v>
      </c>
      <c r="AE382" t="s">
        <v>7164</v>
      </c>
      <c r="AF382" t="s">
        <v>74</v>
      </c>
      <c r="AG382">
        <v>15</v>
      </c>
      <c r="AH382">
        <v>0</v>
      </c>
      <c r="AI382">
        <v>0</v>
      </c>
      <c r="AJ382">
        <v>0</v>
      </c>
      <c r="AK382">
        <v>0</v>
      </c>
      <c r="AL382" t="s">
        <v>7165</v>
      </c>
      <c r="AM382" t="s">
        <v>7166</v>
      </c>
      <c r="AN382" t="s">
        <v>7167</v>
      </c>
      <c r="AO382" t="s">
        <v>74</v>
      </c>
      <c r="AP382" t="s">
        <v>74</v>
      </c>
      <c r="AQ382" t="s">
        <v>7168</v>
      </c>
      <c r="AR382" t="s">
        <v>74</v>
      </c>
      <c r="AS382" t="s">
        <v>74</v>
      </c>
      <c r="AT382" t="s">
        <v>74</v>
      </c>
      <c r="AU382">
        <v>2011</v>
      </c>
      <c r="AV382" t="s">
        <v>74</v>
      </c>
      <c r="AW382" t="s">
        <v>74</v>
      </c>
      <c r="AX382" t="s">
        <v>74</v>
      </c>
      <c r="AY382" t="s">
        <v>74</v>
      </c>
      <c r="AZ382" t="s">
        <v>74</v>
      </c>
      <c r="BA382" t="s">
        <v>74</v>
      </c>
      <c r="BB382">
        <v>224</v>
      </c>
      <c r="BC382">
        <v>235</v>
      </c>
      <c r="BD382" t="s">
        <v>74</v>
      </c>
      <c r="BE382" t="s">
        <v>74</v>
      </c>
      <c r="BF382" t="s">
        <v>74</v>
      </c>
      <c r="BG382" t="s">
        <v>74</v>
      </c>
      <c r="BH382" t="s">
        <v>74</v>
      </c>
      <c r="BI382">
        <v>12</v>
      </c>
      <c r="BJ382" t="s">
        <v>7169</v>
      </c>
      <c r="BK382" t="s">
        <v>2292</v>
      </c>
      <c r="BL382" t="s">
        <v>7169</v>
      </c>
      <c r="BM382" t="s">
        <v>7170</v>
      </c>
      <c r="BN382" t="s">
        <v>74</v>
      </c>
      <c r="BO382" t="s">
        <v>74</v>
      </c>
      <c r="BP382" t="s">
        <v>74</v>
      </c>
      <c r="BQ382" t="s">
        <v>74</v>
      </c>
      <c r="BR382" t="s">
        <v>103</v>
      </c>
      <c r="BS382" t="s">
        <v>7171</v>
      </c>
      <c r="BT382" t="str">
        <f>HYPERLINK("https%3A%2F%2Fwww.webofscience.com%2Fwos%2Fwoscc%2Ffull-record%2FWOS:000337352200015","View Full Record in Web of Science")</f>
        <v>View Full Record in Web of Science</v>
      </c>
    </row>
    <row r="383" spans="1:72" x14ac:dyDescent="0.15">
      <c r="A383" t="s">
        <v>2017</v>
      </c>
      <c r="B383" t="s">
        <v>7172</v>
      </c>
      <c r="C383" t="s">
        <v>74</v>
      </c>
      <c r="D383" t="s">
        <v>7173</v>
      </c>
      <c r="E383" t="s">
        <v>74</v>
      </c>
      <c r="F383" t="s">
        <v>7174</v>
      </c>
      <c r="G383" t="s">
        <v>74</v>
      </c>
      <c r="H383" t="s">
        <v>74</v>
      </c>
      <c r="I383" t="s">
        <v>7175</v>
      </c>
      <c r="J383" t="s">
        <v>7176</v>
      </c>
      <c r="K383" t="s">
        <v>7177</v>
      </c>
      <c r="L383" t="s">
        <v>74</v>
      </c>
      <c r="M383" t="s">
        <v>78</v>
      </c>
      <c r="N383" t="s">
        <v>2370</v>
      </c>
      <c r="O383" t="s">
        <v>74</v>
      </c>
      <c r="P383" t="s">
        <v>74</v>
      </c>
      <c r="Q383" t="s">
        <v>74</v>
      </c>
      <c r="R383" t="s">
        <v>74</v>
      </c>
      <c r="S383" t="s">
        <v>74</v>
      </c>
      <c r="T383" t="s">
        <v>7178</v>
      </c>
      <c r="U383" t="s">
        <v>7179</v>
      </c>
      <c r="V383" t="s">
        <v>7180</v>
      </c>
      <c r="W383" t="s">
        <v>7181</v>
      </c>
      <c r="X383" t="s">
        <v>7182</v>
      </c>
      <c r="Y383" t="s">
        <v>7183</v>
      </c>
      <c r="Z383" t="s">
        <v>7184</v>
      </c>
      <c r="AA383" t="s">
        <v>74</v>
      </c>
      <c r="AB383" t="s">
        <v>74</v>
      </c>
      <c r="AC383" t="s">
        <v>74</v>
      </c>
      <c r="AD383" t="s">
        <v>74</v>
      </c>
      <c r="AE383" t="s">
        <v>74</v>
      </c>
      <c r="AF383" t="s">
        <v>74</v>
      </c>
      <c r="AG383">
        <v>51</v>
      </c>
      <c r="AH383">
        <v>3</v>
      </c>
      <c r="AI383">
        <v>3</v>
      </c>
      <c r="AJ383">
        <v>0</v>
      </c>
      <c r="AK383">
        <v>2</v>
      </c>
      <c r="AL383" t="s">
        <v>7185</v>
      </c>
      <c r="AM383" t="s">
        <v>4776</v>
      </c>
      <c r="AN383" t="s">
        <v>4777</v>
      </c>
      <c r="AO383" t="s">
        <v>7186</v>
      </c>
      <c r="AP383" t="s">
        <v>74</v>
      </c>
      <c r="AQ383" t="s">
        <v>7187</v>
      </c>
      <c r="AR383" t="s">
        <v>7188</v>
      </c>
      <c r="AS383" t="s">
        <v>7189</v>
      </c>
      <c r="AT383" t="s">
        <v>74</v>
      </c>
      <c r="AU383">
        <v>2011</v>
      </c>
      <c r="AV383">
        <v>106</v>
      </c>
      <c r="AW383" t="s">
        <v>74</v>
      </c>
      <c r="AX383" t="s">
        <v>74</v>
      </c>
      <c r="AY383" t="s">
        <v>74</v>
      </c>
      <c r="AZ383" t="s">
        <v>74</v>
      </c>
      <c r="BA383" t="s">
        <v>74</v>
      </c>
      <c r="BB383">
        <v>57</v>
      </c>
      <c r="BC383">
        <v>67</v>
      </c>
      <c r="BD383" t="s">
        <v>74</v>
      </c>
      <c r="BE383" t="s">
        <v>74</v>
      </c>
      <c r="BF383" t="s">
        <v>74</v>
      </c>
      <c r="BG383" t="s">
        <v>74</v>
      </c>
      <c r="BH383" t="s">
        <v>74</v>
      </c>
      <c r="BI383">
        <v>11</v>
      </c>
      <c r="BJ383" t="s">
        <v>3611</v>
      </c>
      <c r="BK383" t="s">
        <v>2384</v>
      </c>
      <c r="BL383" t="s">
        <v>3611</v>
      </c>
      <c r="BM383" t="s">
        <v>7190</v>
      </c>
      <c r="BN383" t="s">
        <v>74</v>
      </c>
      <c r="BO383" t="s">
        <v>74</v>
      </c>
      <c r="BP383" t="s">
        <v>74</v>
      </c>
      <c r="BQ383" t="s">
        <v>74</v>
      </c>
      <c r="BR383" t="s">
        <v>103</v>
      </c>
      <c r="BS383" t="s">
        <v>7191</v>
      </c>
      <c r="BT383" t="str">
        <f>HYPERLINK("https%3A%2F%2Fwww.webofscience.com%2Fwos%2Fwoscc%2Ffull-record%2FWOS:000291365700008","View Full Record in Web of Science")</f>
        <v>View Full Record in Web of Science</v>
      </c>
    </row>
    <row r="384" spans="1:72" x14ac:dyDescent="0.15">
      <c r="A384" t="s">
        <v>72</v>
      </c>
      <c r="B384" t="s">
        <v>7192</v>
      </c>
      <c r="C384" t="s">
        <v>74</v>
      </c>
      <c r="D384" t="s">
        <v>74</v>
      </c>
      <c r="E384" t="s">
        <v>74</v>
      </c>
      <c r="F384" t="s">
        <v>7193</v>
      </c>
      <c r="G384" t="s">
        <v>74</v>
      </c>
      <c r="H384" t="s">
        <v>74</v>
      </c>
      <c r="I384" t="s">
        <v>7194</v>
      </c>
      <c r="J384" t="s">
        <v>7195</v>
      </c>
      <c r="K384" t="s">
        <v>74</v>
      </c>
      <c r="L384" t="s">
        <v>74</v>
      </c>
      <c r="M384" t="s">
        <v>78</v>
      </c>
      <c r="N384" t="s">
        <v>681</v>
      </c>
      <c r="O384" t="s">
        <v>74</v>
      </c>
      <c r="P384" t="s">
        <v>74</v>
      </c>
      <c r="Q384" t="s">
        <v>74</v>
      </c>
      <c r="R384" t="s">
        <v>74</v>
      </c>
      <c r="S384" t="s">
        <v>74</v>
      </c>
      <c r="T384" t="s">
        <v>7196</v>
      </c>
      <c r="U384" t="s">
        <v>7197</v>
      </c>
      <c r="V384" t="s">
        <v>7198</v>
      </c>
      <c r="W384" t="s">
        <v>7199</v>
      </c>
      <c r="X384" t="s">
        <v>7200</v>
      </c>
      <c r="Y384" t="s">
        <v>7201</v>
      </c>
      <c r="Z384" t="s">
        <v>7202</v>
      </c>
      <c r="AA384" t="s">
        <v>74</v>
      </c>
      <c r="AB384" t="s">
        <v>74</v>
      </c>
      <c r="AC384" t="s">
        <v>7203</v>
      </c>
      <c r="AD384" t="s">
        <v>7204</v>
      </c>
      <c r="AE384" t="s">
        <v>7205</v>
      </c>
      <c r="AF384" t="s">
        <v>74</v>
      </c>
      <c r="AG384">
        <v>27</v>
      </c>
      <c r="AH384">
        <v>20</v>
      </c>
      <c r="AI384">
        <v>30</v>
      </c>
      <c r="AJ384">
        <v>2</v>
      </c>
      <c r="AK384">
        <v>32</v>
      </c>
      <c r="AL384" t="s">
        <v>474</v>
      </c>
      <c r="AM384" t="s">
        <v>475</v>
      </c>
      <c r="AN384" t="s">
        <v>476</v>
      </c>
      <c r="AO384" t="s">
        <v>7206</v>
      </c>
      <c r="AP384" t="s">
        <v>7207</v>
      </c>
      <c r="AQ384" t="s">
        <v>74</v>
      </c>
      <c r="AR384" t="s">
        <v>7208</v>
      </c>
      <c r="AS384" t="s">
        <v>7209</v>
      </c>
      <c r="AT384" t="s">
        <v>74</v>
      </c>
      <c r="AU384">
        <v>2011</v>
      </c>
      <c r="AV384">
        <v>25</v>
      </c>
      <c r="AW384" t="s">
        <v>74</v>
      </c>
      <c r="AX384" t="s">
        <v>74</v>
      </c>
      <c r="AY384">
        <v>1</v>
      </c>
      <c r="AZ384" t="s">
        <v>74</v>
      </c>
      <c r="BA384" t="s">
        <v>74</v>
      </c>
      <c r="BB384">
        <v>1</v>
      </c>
      <c r="BC384">
        <v>7</v>
      </c>
      <c r="BD384" t="s">
        <v>74</v>
      </c>
      <c r="BE384" t="s">
        <v>7210</v>
      </c>
      <c r="BF384" t="str">
        <f>HYPERLINK("http://dx.doi.org/10.5504/bbeq.2011.0116","http://dx.doi.org/10.5504/bbeq.2011.0116")</f>
        <v>http://dx.doi.org/10.5504/bbeq.2011.0116</v>
      </c>
      <c r="BG384" t="s">
        <v>74</v>
      </c>
      <c r="BH384" t="s">
        <v>74</v>
      </c>
      <c r="BI384">
        <v>7</v>
      </c>
      <c r="BJ384" t="s">
        <v>302</v>
      </c>
      <c r="BK384" t="s">
        <v>100</v>
      </c>
      <c r="BL384" t="s">
        <v>302</v>
      </c>
      <c r="BM384" t="s">
        <v>7211</v>
      </c>
      <c r="BN384" t="s">
        <v>74</v>
      </c>
      <c r="BO384" t="s">
        <v>74</v>
      </c>
      <c r="BP384" t="s">
        <v>74</v>
      </c>
      <c r="BQ384" t="s">
        <v>74</v>
      </c>
      <c r="BR384" t="s">
        <v>103</v>
      </c>
      <c r="BS384" t="s">
        <v>7212</v>
      </c>
      <c r="BT384" t="str">
        <f>HYPERLINK("https%3A%2F%2Fwww.webofscience.com%2Fwos%2Fwoscc%2Ffull-record%2FWOS:000209041100001","View Full Record in Web of Science")</f>
        <v>View Full Record in Web of Science</v>
      </c>
    </row>
    <row r="385" spans="1:72" x14ac:dyDescent="0.15">
      <c r="A385" t="s">
        <v>72</v>
      </c>
      <c r="B385" t="s">
        <v>7213</v>
      </c>
      <c r="C385" t="s">
        <v>74</v>
      </c>
      <c r="D385" t="s">
        <v>74</v>
      </c>
      <c r="E385" t="s">
        <v>74</v>
      </c>
      <c r="F385" t="s">
        <v>7214</v>
      </c>
      <c r="G385" t="s">
        <v>74</v>
      </c>
      <c r="H385" t="s">
        <v>74</v>
      </c>
      <c r="I385" t="s">
        <v>7215</v>
      </c>
      <c r="J385" t="s">
        <v>7195</v>
      </c>
      <c r="K385" t="s">
        <v>74</v>
      </c>
      <c r="L385" t="s">
        <v>74</v>
      </c>
      <c r="M385" t="s">
        <v>78</v>
      </c>
      <c r="N385" t="s">
        <v>79</v>
      </c>
      <c r="O385" t="s">
        <v>74</v>
      </c>
      <c r="P385" t="s">
        <v>74</v>
      </c>
      <c r="Q385" t="s">
        <v>74</v>
      </c>
      <c r="R385" t="s">
        <v>74</v>
      </c>
      <c r="S385" t="s">
        <v>74</v>
      </c>
      <c r="T385" t="s">
        <v>7216</v>
      </c>
      <c r="U385" t="s">
        <v>7217</v>
      </c>
      <c r="V385" t="s">
        <v>7218</v>
      </c>
      <c r="W385" t="s">
        <v>7219</v>
      </c>
      <c r="X385" t="s">
        <v>7200</v>
      </c>
      <c r="Y385" t="s">
        <v>7220</v>
      </c>
      <c r="Z385" t="s">
        <v>7221</v>
      </c>
      <c r="AA385" t="s">
        <v>7222</v>
      </c>
      <c r="AB385" t="s">
        <v>74</v>
      </c>
      <c r="AC385" t="s">
        <v>7203</v>
      </c>
      <c r="AD385" t="s">
        <v>7204</v>
      </c>
      <c r="AE385" t="s">
        <v>7205</v>
      </c>
      <c r="AF385" t="s">
        <v>74</v>
      </c>
      <c r="AG385">
        <v>44</v>
      </c>
      <c r="AH385">
        <v>20</v>
      </c>
      <c r="AI385">
        <v>21</v>
      </c>
      <c r="AJ385">
        <v>0</v>
      </c>
      <c r="AK385">
        <v>9</v>
      </c>
      <c r="AL385" t="s">
        <v>474</v>
      </c>
      <c r="AM385" t="s">
        <v>475</v>
      </c>
      <c r="AN385" t="s">
        <v>476</v>
      </c>
      <c r="AO385" t="s">
        <v>7206</v>
      </c>
      <c r="AP385" t="s">
        <v>7207</v>
      </c>
      <c r="AQ385" t="s">
        <v>74</v>
      </c>
      <c r="AR385" t="s">
        <v>7208</v>
      </c>
      <c r="AS385" t="s">
        <v>7209</v>
      </c>
      <c r="AT385" t="s">
        <v>74</v>
      </c>
      <c r="AU385">
        <v>2011</v>
      </c>
      <c r="AV385">
        <v>25</v>
      </c>
      <c r="AW385" t="s">
        <v>74</v>
      </c>
      <c r="AX385" t="s">
        <v>74</v>
      </c>
      <c r="AY385">
        <v>1</v>
      </c>
      <c r="AZ385" t="s">
        <v>74</v>
      </c>
      <c r="BA385" t="s">
        <v>74</v>
      </c>
      <c r="BB385">
        <v>50</v>
      </c>
      <c r="BC385">
        <v>57</v>
      </c>
      <c r="BD385" t="s">
        <v>74</v>
      </c>
      <c r="BE385" t="s">
        <v>7223</v>
      </c>
      <c r="BF385" t="str">
        <f>HYPERLINK("http://dx.doi.org/10.5504/bbeq.2011.0122","http://dx.doi.org/10.5504/bbeq.2011.0122")</f>
        <v>http://dx.doi.org/10.5504/bbeq.2011.0122</v>
      </c>
      <c r="BG385" t="s">
        <v>74</v>
      </c>
      <c r="BH385" t="s">
        <v>74</v>
      </c>
      <c r="BI385">
        <v>8</v>
      </c>
      <c r="BJ385" t="s">
        <v>302</v>
      </c>
      <c r="BK385" t="s">
        <v>100</v>
      </c>
      <c r="BL385" t="s">
        <v>302</v>
      </c>
      <c r="BM385" t="s">
        <v>7211</v>
      </c>
      <c r="BN385" t="s">
        <v>74</v>
      </c>
      <c r="BO385" t="s">
        <v>252</v>
      </c>
      <c r="BP385" t="s">
        <v>74</v>
      </c>
      <c r="BQ385" t="s">
        <v>74</v>
      </c>
      <c r="BR385" t="s">
        <v>103</v>
      </c>
      <c r="BS385" t="s">
        <v>7224</v>
      </c>
      <c r="BT385" t="str">
        <f>HYPERLINK("https%3A%2F%2Fwww.webofscience.com%2Fwos%2Fwoscc%2Ffull-record%2FWOS:000209041100010","View Full Record in Web of Science")</f>
        <v>View Full Record in Web of Science</v>
      </c>
    </row>
    <row r="386" spans="1:72" x14ac:dyDescent="0.15">
      <c r="A386" t="s">
        <v>72</v>
      </c>
      <c r="B386" t="s">
        <v>7225</v>
      </c>
      <c r="C386" t="s">
        <v>74</v>
      </c>
      <c r="D386" t="s">
        <v>74</v>
      </c>
      <c r="E386" t="s">
        <v>74</v>
      </c>
      <c r="F386" t="s">
        <v>7226</v>
      </c>
      <c r="G386" t="s">
        <v>74</v>
      </c>
      <c r="H386" t="s">
        <v>74</v>
      </c>
      <c r="I386" t="s">
        <v>7227</v>
      </c>
      <c r="J386" t="s">
        <v>7195</v>
      </c>
      <c r="K386" t="s">
        <v>74</v>
      </c>
      <c r="L386" t="s">
        <v>74</v>
      </c>
      <c r="M386" t="s">
        <v>78</v>
      </c>
      <c r="N386" t="s">
        <v>79</v>
      </c>
      <c r="O386" t="s">
        <v>74</v>
      </c>
      <c r="P386" t="s">
        <v>74</v>
      </c>
      <c r="Q386" t="s">
        <v>74</v>
      </c>
      <c r="R386" t="s">
        <v>74</v>
      </c>
      <c r="S386" t="s">
        <v>74</v>
      </c>
      <c r="T386" t="s">
        <v>7228</v>
      </c>
      <c r="U386" t="s">
        <v>7229</v>
      </c>
      <c r="V386" t="s">
        <v>7230</v>
      </c>
      <c r="W386" t="s">
        <v>7231</v>
      </c>
      <c r="X386" t="s">
        <v>7200</v>
      </c>
      <c r="Y386" t="s">
        <v>7232</v>
      </c>
      <c r="Z386" t="s">
        <v>7233</v>
      </c>
      <c r="AA386" t="s">
        <v>74</v>
      </c>
      <c r="AB386" t="s">
        <v>74</v>
      </c>
      <c r="AC386" t="s">
        <v>7203</v>
      </c>
      <c r="AD386" t="s">
        <v>7204</v>
      </c>
      <c r="AE386" t="s">
        <v>7205</v>
      </c>
      <c r="AF386" t="s">
        <v>74</v>
      </c>
      <c r="AG386">
        <v>49</v>
      </c>
      <c r="AH386">
        <v>8</v>
      </c>
      <c r="AI386">
        <v>8</v>
      </c>
      <c r="AJ386">
        <v>0</v>
      </c>
      <c r="AK386">
        <v>9</v>
      </c>
      <c r="AL386" t="s">
        <v>474</v>
      </c>
      <c r="AM386" t="s">
        <v>475</v>
      </c>
      <c r="AN386" t="s">
        <v>476</v>
      </c>
      <c r="AO386" t="s">
        <v>7206</v>
      </c>
      <c r="AP386" t="s">
        <v>7207</v>
      </c>
      <c r="AQ386" t="s">
        <v>74</v>
      </c>
      <c r="AR386" t="s">
        <v>7208</v>
      </c>
      <c r="AS386" t="s">
        <v>7209</v>
      </c>
      <c r="AT386" t="s">
        <v>74</v>
      </c>
      <c r="AU386">
        <v>2011</v>
      </c>
      <c r="AV386">
        <v>25</v>
      </c>
      <c r="AW386" t="s">
        <v>74</v>
      </c>
      <c r="AX386" t="s">
        <v>74</v>
      </c>
      <c r="AY386">
        <v>1</v>
      </c>
      <c r="AZ386" t="s">
        <v>74</v>
      </c>
      <c r="BA386" t="s">
        <v>74</v>
      </c>
      <c r="BB386">
        <v>58</v>
      </c>
      <c r="BC386">
        <v>63</v>
      </c>
      <c r="BD386" t="s">
        <v>74</v>
      </c>
      <c r="BE386" t="s">
        <v>7234</v>
      </c>
      <c r="BF386" t="str">
        <f>HYPERLINK("http://dx.doi.org/10.5504/bbeq.2011.0131","http://dx.doi.org/10.5504/bbeq.2011.0131")</f>
        <v>http://dx.doi.org/10.5504/bbeq.2011.0131</v>
      </c>
      <c r="BG386" t="s">
        <v>74</v>
      </c>
      <c r="BH386" t="s">
        <v>74</v>
      </c>
      <c r="BI386">
        <v>6</v>
      </c>
      <c r="BJ386" t="s">
        <v>302</v>
      </c>
      <c r="BK386" t="s">
        <v>100</v>
      </c>
      <c r="BL386" t="s">
        <v>302</v>
      </c>
      <c r="BM386" t="s">
        <v>7211</v>
      </c>
      <c r="BN386" t="s">
        <v>74</v>
      </c>
      <c r="BO386" t="s">
        <v>252</v>
      </c>
      <c r="BP386" t="s">
        <v>74</v>
      </c>
      <c r="BQ386" t="s">
        <v>74</v>
      </c>
      <c r="BR386" t="s">
        <v>103</v>
      </c>
      <c r="BS386" t="s">
        <v>7235</v>
      </c>
      <c r="BT386" t="str">
        <f>HYPERLINK("https%3A%2F%2Fwww.webofscience.com%2Fwos%2Fwoscc%2Ffull-record%2FWOS:000209041100011","View Full Record in Web of Science")</f>
        <v>View Full Record in Web of Science</v>
      </c>
    </row>
    <row r="387" spans="1:72" x14ac:dyDescent="0.15">
      <c r="A387" t="s">
        <v>72</v>
      </c>
      <c r="B387" t="s">
        <v>7236</v>
      </c>
      <c r="C387" t="s">
        <v>74</v>
      </c>
      <c r="D387" t="s">
        <v>74</v>
      </c>
      <c r="E387" t="s">
        <v>74</v>
      </c>
      <c r="F387" t="s">
        <v>7237</v>
      </c>
      <c r="G387" t="s">
        <v>74</v>
      </c>
      <c r="H387" t="s">
        <v>74</v>
      </c>
      <c r="I387" t="s">
        <v>7238</v>
      </c>
      <c r="J387" t="s">
        <v>7195</v>
      </c>
      <c r="K387" t="s">
        <v>74</v>
      </c>
      <c r="L387" t="s">
        <v>74</v>
      </c>
      <c r="M387" t="s">
        <v>78</v>
      </c>
      <c r="N387" t="s">
        <v>79</v>
      </c>
      <c r="O387" t="s">
        <v>74</v>
      </c>
      <c r="P387" t="s">
        <v>74</v>
      </c>
      <c r="Q387" t="s">
        <v>74</v>
      </c>
      <c r="R387" t="s">
        <v>74</v>
      </c>
      <c r="S387" t="s">
        <v>74</v>
      </c>
      <c r="T387" t="s">
        <v>7239</v>
      </c>
      <c r="U387" t="s">
        <v>74</v>
      </c>
      <c r="V387" t="s">
        <v>7240</v>
      </c>
      <c r="W387" t="s">
        <v>7241</v>
      </c>
      <c r="X387" t="s">
        <v>7200</v>
      </c>
      <c r="Y387" t="s">
        <v>7242</v>
      </c>
      <c r="Z387" t="s">
        <v>7243</v>
      </c>
      <c r="AA387" t="s">
        <v>74</v>
      </c>
      <c r="AB387" t="s">
        <v>74</v>
      </c>
      <c r="AC387" t="s">
        <v>7203</v>
      </c>
      <c r="AD387" t="s">
        <v>7204</v>
      </c>
      <c r="AE387" t="s">
        <v>7205</v>
      </c>
      <c r="AF387" t="s">
        <v>74</v>
      </c>
      <c r="AG387">
        <v>31</v>
      </c>
      <c r="AH387">
        <v>16</v>
      </c>
      <c r="AI387">
        <v>19</v>
      </c>
      <c r="AJ387">
        <v>1</v>
      </c>
      <c r="AK387">
        <v>3</v>
      </c>
      <c r="AL387" t="s">
        <v>474</v>
      </c>
      <c r="AM387" t="s">
        <v>475</v>
      </c>
      <c r="AN387" t="s">
        <v>476</v>
      </c>
      <c r="AO387" t="s">
        <v>7206</v>
      </c>
      <c r="AP387" t="s">
        <v>7207</v>
      </c>
      <c r="AQ387" t="s">
        <v>74</v>
      </c>
      <c r="AR387" t="s">
        <v>7208</v>
      </c>
      <c r="AS387" t="s">
        <v>7209</v>
      </c>
      <c r="AT387" t="s">
        <v>74</v>
      </c>
      <c r="AU387">
        <v>2011</v>
      </c>
      <c r="AV387">
        <v>25</v>
      </c>
      <c r="AW387" t="s">
        <v>74</v>
      </c>
      <c r="AX387" t="s">
        <v>74</v>
      </c>
      <c r="AY387">
        <v>1</v>
      </c>
      <c r="AZ387" t="s">
        <v>74</v>
      </c>
      <c r="BA387" t="s">
        <v>74</v>
      </c>
      <c r="BB387">
        <v>80</v>
      </c>
      <c r="BC387">
        <v>84</v>
      </c>
      <c r="BD387" t="s">
        <v>74</v>
      </c>
      <c r="BE387" t="s">
        <v>7244</v>
      </c>
      <c r="BF387" t="str">
        <f>HYPERLINK("http://dx.doi.org/10.5504/BBEQ.2011.0121","http://dx.doi.org/10.5504/BBEQ.2011.0121")</f>
        <v>http://dx.doi.org/10.5504/BBEQ.2011.0121</v>
      </c>
      <c r="BG387" t="s">
        <v>74</v>
      </c>
      <c r="BH387" t="s">
        <v>74</v>
      </c>
      <c r="BI387">
        <v>5</v>
      </c>
      <c r="BJ387" t="s">
        <v>302</v>
      </c>
      <c r="BK387" t="s">
        <v>100</v>
      </c>
      <c r="BL387" t="s">
        <v>302</v>
      </c>
      <c r="BM387" t="s">
        <v>7211</v>
      </c>
      <c r="BN387" t="s">
        <v>74</v>
      </c>
      <c r="BO387" t="s">
        <v>252</v>
      </c>
      <c r="BP387" t="s">
        <v>74</v>
      </c>
      <c r="BQ387" t="s">
        <v>74</v>
      </c>
      <c r="BR387" t="s">
        <v>103</v>
      </c>
      <c r="BS387" t="s">
        <v>7245</v>
      </c>
      <c r="BT387" t="str">
        <f>HYPERLINK("https%3A%2F%2Fwww.webofscience.com%2Fwos%2Fwoscc%2Ffull-record%2FWOS:000209041100015","View Full Record in Web of Science")</f>
        <v>View Full Record in Web of Science</v>
      </c>
    </row>
    <row r="388" spans="1:72" x14ac:dyDescent="0.15">
      <c r="A388" t="s">
        <v>72</v>
      </c>
      <c r="B388" t="s">
        <v>7246</v>
      </c>
      <c r="C388" t="s">
        <v>74</v>
      </c>
      <c r="D388" t="s">
        <v>74</v>
      </c>
      <c r="E388" t="s">
        <v>74</v>
      </c>
      <c r="F388" t="s">
        <v>7247</v>
      </c>
      <c r="G388" t="s">
        <v>74</v>
      </c>
      <c r="H388" t="s">
        <v>74</v>
      </c>
      <c r="I388" t="s">
        <v>7248</v>
      </c>
      <c r="J388" t="s">
        <v>7249</v>
      </c>
      <c r="K388" t="s">
        <v>74</v>
      </c>
      <c r="L388" t="s">
        <v>74</v>
      </c>
      <c r="M388" t="s">
        <v>78</v>
      </c>
      <c r="N388" t="s">
        <v>79</v>
      </c>
      <c r="O388" t="s">
        <v>74</v>
      </c>
      <c r="P388" t="s">
        <v>74</v>
      </c>
      <c r="Q388" t="s">
        <v>74</v>
      </c>
      <c r="R388" t="s">
        <v>74</v>
      </c>
      <c r="S388" t="s">
        <v>74</v>
      </c>
      <c r="T388" t="s">
        <v>7250</v>
      </c>
      <c r="U388" t="s">
        <v>74</v>
      </c>
      <c r="V388" t="s">
        <v>7251</v>
      </c>
      <c r="W388" t="s">
        <v>7252</v>
      </c>
      <c r="X388" t="s">
        <v>7253</v>
      </c>
      <c r="Y388" t="s">
        <v>7254</v>
      </c>
      <c r="Z388" t="s">
        <v>7255</v>
      </c>
      <c r="AA388" t="s">
        <v>7256</v>
      </c>
      <c r="AB388" t="s">
        <v>7257</v>
      </c>
      <c r="AC388" t="s">
        <v>7258</v>
      </c>
      <c r="AD388" t="s">
        <v>7259</v>
      </c>
      <c r="AE388" t="s">
        <v>7260</v>
      </c>
      <c r="AF388" t="s">
        <v>74</v>
      </c>
      <c r="AG388">
        <v>55</v>
      </c>
      <c r="AH388">
        <v>6</v>
      </c>
      <c r="AI388">
        <v>6</v>
      </c>
      <c r="AJ388">
        <v>0</v>
      </c>
      <c r="AK388">
        <v>0</v>
      </c>
      <c r="AL388" t="s">
        <v>7261</v>
      </c>
      <c r="AM388" t="s">
        <v>7262</v>
      </c>
      <c r="AN388" t="s">
        <v>7263</v>
      </c>
      <c r="AO388" t="s">
        <v>7264</v>
      </c>
      <c r="AP388" t="s">
        <v>7265</v>
      </c>
      <c r="AQ388" t="s">
        <v>74</v>
      </c>
      <c r="AR388" t="s">
        <v>7266</v>
      </c>
      <c r="AS388" t="s">
        <v>7267</v>
      </c>
      <c r="AT388" t="s">
        <v>3108</v>
      </c>
      <c r="AU388">
        <v>2011</v>
      </c>
      <c r="AV388">
        <v>1</v>
      </c>
      <c r="AW388">
        <v>3</v>
      </c>
      <c r="AX388" t="s">
        <v>74</v>
      </c>
      <c r="AY388" t="s">
        <v>74</v>
      </c>
      <c r="AZ388" t="s">
        <v>74</v>
      </c>
      <c r="BA388" t="s">
        <v>74</v>
      </c>
      <c r="BB388">
        <v>148</v>
      </c>
      <c r="BC388">
        <v>157</v>
      </c>
      <c r="BD388" t="s">
        <v>74</v>
      </c>
      <c r="BE388" t="s">
        <v>74</v>
      </c>
      <c r="BF388" t="s">
        <v>74</v>
      </c>
      <c r="BG388" t="s">
        <v>74</v>
      </c>
      <c r="BH388" t="s">
        <v>74</v>
      </c>
      <c r="BI388">
        <v>10</v>
      </c>
      <c r="BJ388" t="s">
        <v>5751</v>
      </c>
      <c r="BK388" t="s">
        <v>6441</v>
      </c>
      <c r="BL388" t="s">
        <v>5752</v>
      </c>
      <c r="BM388" t="s">
        <v>7268</v>
      </c>
      <c r="BN388" t="s">
        <v>74</v>
      </c>
      <c r="BO388" t="s">
        <v>74</v>
      </c>
      <c r="BP388" t="s">
        <v>74</v>
      </c>
      <c r="BQ388" t="s">
        <v>74</v>
      </c>
      <c r="BR388" t="s">
        <v>103</v>
      </c>
      <c r="BS388" t="s">
        <v>7269</v>
      </c>
      <c r="BT388" t="str">
        <f>HYPERLINK("https%3A%2F%2Fwww.webofscience.com%2Fwos%2Fwoscc%2Ffull-record%2FWOS:000433743200009","View Full Record in Web of Science")</f>
        <v>View Full Record in Web of Science</v>
      </c>
    </row>
    <row r="389" spans="1:72" x14ac:dyDescent="0.15">
      <c r="A389" t="s">
        <v>72</v>
      </c>
      <c r="B389" t="s">
        <v>7270</v>
      </c>
      <c r="C389" t="s">
        <v>74</v>
      </c>
      <c r="D389" t="s">
        <v>74</v>
      </c>
      <c r="E389" t="s">
        <v>74</v>
      </c>
      <c r="F389" t="s">
        <v>7271</v>
      </c>
      <c r="G389" t="s">
        <v>74</v>
      </c>
      <c r="H389" t="s">
        <v>74</v>
      </c>
      <c r="I389" t="s">
        <v>7272</v>
      </c>
      <c r="J389" t="s">
        <v>7273</v>
      </c>
      <c r="K389" t="s">
        <v>74</v>
      </c>
      <c r="L389" t="s">
        <v>74</v>
      </c>
      <c r="M389" t="s">
        <v>78</v>
      </c>
      <c r="N389" t="s">
        <v>79</v>
      </c>
      <c r="O389" t="s">
        <v>74</v>
      </c>
      <c r="P389" t="s">
        <v>74</v>
      </c>
      <c r="Q389" t="s">
        <v>74</v>
      </c>
      <c r="R389" t="s">
        <v>74</v>
      </c>
      <c r="S389" t="s">
        <v>74</v>
      </c>
      <c r="T389" t="s">
        <v>7274</v>
      </c>
      <c r="U389" t="s">
        <v>7275</v>
      </c>
      <c r="V389" t="s">
        <v>7276</v>
      </c>
      <c r="W389" t="s">
        <v>7277</v>
      </c>
      <c r="X389" t="s">
        <v>7278</v>
      </c>
      <c r="Y389" t="s">
        <v>7279</v>
      </c>
      <c r="Z389" t="s">
        <v>7280</v>
      </c>
      <c r="AA389" t="s">
        <v>7281</v>
      </c>
      <c r="AB389" t="s">
        <v>7282</v>
      </c>
      <c r="AC389" t="s">
        <v>7283</v>
      </c>
      <c r="AD389" t="s">
        <v>1687</v>
      </c>
      <c r="AE389" t="s">
        <v>74</v>
      </c>
      <c r="AF389" t="s">
        <v>74</v>
      </c>
      <c r="AG389">
        <v>103</v>
      </c>
      <c r="AH389">
        <v>33</v>
      </c>
      <c r="AI389">
        <v>35</v>
      </c>
      <c r="AJ389">
        <v>0</v>
      </c>
      <c r="AK389">
        <v>18</v>
      </c>
      <c r="AL389" t="s">
        <v>270</v>
      </c>
      <c r="AM389" t="s">
        <v>91</v>
      </c>
      <c r="AN389" t="s">
        <v>296</v>
      </c>
      <c r="AO389" t="s">
        <v>7284</v>
      </c>
      <c r="AP389" t="s">
        <v>7285</v>
      </c>
      <c r="AQ389" t="s">
        <v>74</v>
      </c>
      <c r="AR389" t="s">
        <v>7286</v>
      </c>
      <c r="AS389" t="s">
        <v>7287</v>
      </c>
      <c r="AT389" t="s">
        <v>3935</v>
      </c>
      <c r="AU389">
        <v>2011</v>
      </c>
      <c r="AV389">
        <v>73</v>
      </c>
      <c r="AW389">
        <v>1</v>
      </c>
      <c r="AX389" t="s">
        <v>74</v>
      </c>
      <c r="AY389" t="s">
        <v>74</v>
      </c>
      <c r="AZ389" t="s">
        <v>74</v>
      </c>
      <c r="BA389" t="s">
        <v>74</v>
      </c>
      <c r="BB389">
        <v>1</v>
      </c>
      <c r="BC389">
        <v>25</v>
      </c>
      <c r="BD389" t="s">
        <v>74</v>
      </c>
      <c r="BE389" t="s">
        <v>7288</v>
      </c>
      <c r="BF389" t="str">
        <f>HYPERLINK("http://dx.doi.org/10.1007/s00445-010-0399-y","http://dx.doi.org/10.1007/s00445-010-0399-y")</f>
        <v>http://dx.doi.org/10.1007/s00445-010-0399-y</v>
      </c>
      <c r="BG389" t="s">
        <v>74</v>
      </c>
      <c r="BH389" t="s">
        <v>74</v>
      </c>
      <c r="BI389">
        <v>25</v>
      </c>
      <c r="BJ389" t="s">
        <v>396</v>
      </c>
      <c r="BK389" t="s">
        <v>100</v>
      </c>
      <c r="BL389" t="s">
        <v>397</v>
      </c>
      <c r="BM389" t="s">
        <v>7289</v>
      </c>
      <c r="BN389" t="s">
        <v>74</v>
      </c>
      <c r="BO389" t="s">
        <v>74</v>
      </c>
      <c r="BP389" t="s">
        <v>74</v>
      </c>
      <c r="BQ389" t="s">
        <v>74</v>
      </c>
      <c r="BR389" t="s">
        <v>103</v>
      </c>
      <c r="BS389" t="s">
        <v>7290</v>
      </c>
      <c r="BT389" t="str">
        <f>HYPERLINK("https%3A%2F%2Fwww.webofscience.com%2Fwos%2Fwoscc%2Ffull-record%2FWOS:000286054200001","View Full Record in Web of Science")</f>
        <v>View Full Record in Web of Science</v>
      </c>
    </row>
    <row r="390" spans="1:72" x14ac:dyDescent="0.15">
      <c r="A390" t="s">
        <v>72</v>
      </c>
      <c r="B390" t="s">
        <v>7291</v>
      </c>
      <c r="C390" t="s">
        <v>74</v>
      </c>
      <c r="D390" t="s">
        <v>74</v>
      </c>
      <c r="E390" t="s">
        <v>74</v>
      </c>
      <c r="F390" t="s">
        <v>7292</v>
      </c>
      <c r="G390" t="s">
        <v>74</v>
      </c>
      <c r="H390" t="s">
        <v>74</v>
      </c>
      <c r="I390" t="s">
        <v>7293</v>
      </c>
      <c r="J390" t="s">
        <v>7294</v>
      </c>
      <c r="K390" t="s">
        <v>74</v>
      </c>
      <c r="L390" t="s">
        <v>74</v>
      </c>
      <c r="M390" t="s">
        <v>78</v>
      </c>
      <c r="N390" t="s">
        <v>79</v>
      </c>
      <c r="O390" t="s">
        <v>74</v>
      </c>
      <c r="P390" t="s">
        <v>74</v>
      </c>
      <c r="Q390" t="s">
        <v>74</v>
      </c>
      <c r="R390" t="s">
        <v>74</v>
      </c>
      <c r="S390" t="s">
        <v>74</v>
      </c>
      <c r="T390" t="s">
        <v>7295</v>
      </c>
      <c r="U390" t="s">
        <v>7296</v>
      </c>
      <c r="V390" t="s">
        <v>7297</v>
      </c>
      <c r="W390" t="s">
        <v>7298</v>
      </c>
      <c r="X390" t="s">
        <v>7299</v>
      </c>
      <c r="Y390" t="s">
        <v>7300</v>
      </c>
      <c r="Z390" t="s">
        <v>7301</v>
      </c>
      <c r="AA390" t="s">
        <v>74</v>
      </c>
      <c r="AB390" t="s">
        <v>74</v>
      </c>
      <c r="AC390" t="s">
        <v>74</v>
      </c>
      <c r="AD390" t="s">
        <v>74</v>
      </c>
      <c r="AE390" t="s">
        <v>74</v>
      </c>
      <c r="AF390" t="s">
        <v>74</v>
      </c>
      <c r="AG390">
        <v>19</v>
      </c>
      <c r="AH390">
        <v>6</v>
      </c>
      <c r="AI390">
        <v>6</v>
      </c>
      <c r="AJ390">
        <v>0</v>
      </c>
      <c r="AK390">
        <v>3</v>
      </c>
      <c r="AL390" t="s">
        <v>7302</v>
      </c>
      <c r="AM390" t="s">
        <v>7303</v>
      </c>
      <c r="AN390" t="s">
        <v>7304</v>
      </c>
      <c r="AO390" t="s">
        <v>7305</v>
      </c>
      <c r="AP390" t="s">
        <v>74</v>
      </c>
      <c r="AQ390" t="s">
        <v>74</v>
      </c>
      <c r="AR390" t="s">
        <v>7306</v>
      </c>
      <c r="AS390" t="s">
        <v>7307</v>
      </c>
      <c r="AT390" t="s">
        <v>74</v>
      </c>
      <c r="AU390">
        <v>2011</v>
      </c>
      <c r="AV390">
        <v>18</v>
      </c>
      <c r="AW390" t="s">
        <v>74</v>
      </c>
      <c r="AX390" t="s">
        <v>74</v>
      </c>
      <c r="AY390" t="s">
        <v>74</v>
      </c>
      <c r="AZ390" t="s">
        <v>74</v>
      </c>
      <c r="BA390" t="s">
        <v>74</v>
      </c>
      <c r="BB390">
        <v>1</v>
      </c>
      <c r="BC390">
        <v>27</v>
      </c>
      <c r="BD390" t="s">
        <v>74</v>
      </c>
      <c r="BE390" t="s">
        <v>74</v>
      </c>
      <c r="BF390" t="s">
        <v>74</v>
      </c>
      <c r="BG390" t="s">
        <v>74</v>
      </c>
      <c r="BH390" t="s">
        <v>74</v>
      </c>
      <c r="BI390">
        <v>27</v>
      </c>
      <c r="BJ390" t="s">
        <v>4842</v>
      </c>
      <c r="BK390" t="s">
        <v>100</v>
      </c>
      <c r="BL390" t="s">
        <v>4842</v>
      </c>
      <c r="BM390" t="s">
        <v>7308</v>
      </c>
      <c r="BN390" t="s">
        <v>74</v>
      </c>
      <c r="BO390" t="s">
        <v>74</v>
      </c>
      <c r="BP390" t="s">
        <v>74</v>
      </c>
      <c r="BQ390" t="s">
        <v>74</v>
      </c>
      <c r="BR390" t="s">
        <v>103</v>
      </c>
      <c r="BS390" t="s">
        <v>7309</v>
      </c>
      <c r="BT390" t="str">
        <f>HYPERLINK("https%3A%2F%2Fwww.webofscience.com%2Fwos%2Fwoscc%2Ffull-record%2FWOS:000208703000001","View Full Record in Web of Science")</f>
        <v>View Full Record in Web of Science</v>
      </c>
    </row>
    <row r="391" spans="1:72" x14ac:dyDescent="0.15">
      <c r="A391" t="s">
        <v>72</v>
      </c>
      <c r="B391" t="s">
        <v>7310</v>
      </c>
      <c r="C391" t="s">
        <v>74</v>
      </c>
      <c r="D391" t="s">
        <v>74</v>
      </c>
      <c r="E391" t="s">
        <v>74</v>
      </c>
      <c r="F391" t="s">
        <v>7311</v>
      </c>
      <c r="G391" t="s">
        <v>74</v>
      </c>
      <c r="H391" t="s">
        <v>74</v>
      </c>
      <c r="I391" t="s">
        <v>7312</v>
      </c>
      <c r="J391" t="s">
        <v>7294</v>
      </c>
      <c r="K391" t="s">
        <v>74</v>
      </c>
      <c r="L391" t="s">
        <v>74</v>
      </c>
      <c r="M391" t="s">
        <v>78</v>
      </c>
      <c r="N391" t="s">
        <v>79</v>
      </c>
      <c r="O391" t="s">
        <v>74</v>
      </c>
      <c r="P391" t="s">
        <v>74</v>
      </c>
      <c r="Q391" t="s">
        <v>74</v>
      </c>
      <c r="R391" t="s">
        <v>74</v>
      </c>
      <c r="S391" t="s">
        <v>74</v>
      </c>
      <c r="T391" t="s">
        <v>7313</v>
      </c>
      <c r="U391" t="s">
        <v>74</v>
      </c>
      <c r="V391" t="s">
        <v>7314</v>
      </c>
      <c r="W391" t="s">
        <v>7315</v>
      </c>
      <c r="X391" t="s">
        <v>7299</v>
      </c>
      <c r="Y391" t="s">
        <v>7300</v>
      </c>
      <c r="Z391" t="s">
        <v>7301</v>
      </c>
      <c r="AA391" t="s">
        <v>74</v>
      </c>
      <c r="AB391" t="s">
        <v>7316</v>
      </c>
      <c r="AC391" t="s">
        <v>7317</v>
      </c>
      <c r="AD391" t="s">
        <v>7318</v>
      </c>
      <c r="AE391" t="s">
        <v>7319</v>
      </c>
      <c r="AF391" t="s">
        <v>74</v>
      </c>
      <c r="AG391">
        <v>14</v>
      </c>
      <c r="AH391">
        <v>7</v>
      </c>
      <c r="AI391">
        <v>7</v>
      </c>
      <c r="AJ391">
        <v>1</v>
      </c>
      <c r="AK391">
        <v>10</v>
      </c>
      <c r="AL391" t="s">
        <v>7302</v>
      </c>
      <c r="AM391" t="s">
        <v>7303</v>
      </c>
      <c r="AN391" t="s">
        <v>7304</v>
      </c>
      <c r="AO391" t="s">
        <v>7305</v>
      </c>
      <c r="AP391" t="s">
        <v>74</v>
      </c>
      <c r="AQ391" t="s">
        <v>74</v>
      </c>
      <c r="AR391" t="s">
        <v>7306</v>
      </c>
      <c r="AS391" t="s">
        <v>7307</v>
      </c>
      <c r="AT391" t="s">
        <v>74</v>
      </c>
      <c r="AU391">
        <v>2011</v>
      </c>
      <c r="AV391">
        <v>18</v>
      </c>
      <c r="AW391" t="s">
        <v>74</v>
      </c>
      <c r="AX391" t="s">
        <v>74</v>
      </c>
      <c r="AY391" t="s">
        <v>74</v>
      </c>
      <c r="AZ391" t="s">
        <v>74</v>
      </c>
      <c r="BA391" t="s">
        <v>74</v>
      </c>
      <c r="BB391">
        <v>29</v>
      </c>
      <c r="BC391">
        <v>45</v>
      </c>
      <c r="BD391" t="s">
        <v>74</v>
      </c>
      <c r="BE391" t="s">
        <v>74</v>
      </c>
      <c r="BF391" t="s">
        <v>74</v>
      </c>
      <c r="BG391" t="s">
        <v>74</v>
      </c>
      <c r="BH391" t="s">
        <v>74</v>
      </c>
      <c r="BI391">
        <v>17</v>
      </c>
      <c r="BJ391" t="s">
        <v>4842</v>
      </c>
      <c r="BK391" t="s">
        <v>100</v>
      </c>
      <c r="BL391" t="s">
        <v>4842</v>
      </c>
      <c r="BM391" t="s">
        <v>7308</v>
      </c>
      <c r="BN391" t="s">
        <v>74</v>
      </c>
      <c r="BO391" t="s">
        <v>74</v>
      </c>
      <c r="BP391" t="s">
        <v>74</v>
      </c>
      <c r="BQ391" t="s">
        <v>74</v>
      </c>
      <c r="BR391" t="s">
        <v>103</v>
      </c>
      <c r="BS391" t="s">
        <v>7320</v>
      </c>
      <c r="BT391" t="str">
        <f>HYPERLINK("https%3A%2F%2Fwww.webofscience.com%2Fwos%2Fwoscc%2Ffull-record%2FWOS:000208703000002","View Full Record in Web of Science")</f>
        <v>View Full Record in Web of Science</v>
      </c>
    </row>
    <row r="392" spans="1:72" x14ac:dyDescent="0.15">
      <c r="A392" t="s">
        <v>72</v>
      </c>
      <c r="B392" t="s">
        <v>7321</v>
      </c>
      <c r="C392" t="s">
        <v>74</v>
      </c>
      <c r="D392" t="s">
        <v>74</v>
      </c>
      <c r="E392" t="s">
        <v>74</v>
      </c>
      <c r="F392" t="s">
        <v>7322</v>
      </c>
      <c r="G392" t="s">
        <v>74</v>
      </c>
      <c r="H392" t="s">
        <v>74</v>
      </c>
      <c r="I392" t="s">
        <v>7323</v>
      </c>
      <c r="J392" t="s">
        <v>7294</v>
      </c>
      <c r="K392" t="s">
        <v>74</v>
      </c>
      <c r="L392" t="s">
        <v>74</v>
      </c>
      <c r="M392" t="s">
        <v>78</v>
      </c>
      <c r="N392" t="s">
        <v>79</v>
      </c>
      <c r="O392" t="s">
        <v>74</v>
      </c>
      <c r="P392" t="s">
        <v>74</v>
      </c>
      <c r="Q392" t="s">
        <v>74</v>
      </c>
      <c r="R392" t="s">
        <v>74</v>
      </c>
      <c r="S392" t="s">
        <v>74</v>
      </c>
      <c r="T392" t="s">
        <v>7324</v>
      </c>
      <c r="U392" t="s">
        <v>74</v>
      </c>
      <c r="V392" t="s">
        <v>7325</v>
      </c>
      <c r="W392" t="s">
        <v>7298</v>
      </c>
      <c r="X392" t="s">
        <v>7299</v>
      </c>
      <c r="Y392" t="s">
        <v>7326</v>
      </c>
      <c r="Z392" t="s">
        <v>7327</v>
      </c>
      <c r="AA392" t="s">
        <v>74</v>
      </c>
      <c r="AB392" t="s">
        <v>7316</v>
      </c>
      <c r="AC392" t="s">
        <v>74</v>
      </c>
      <c r="AD392" t="s">
        <v>74</v>
      </c>
      <c r="AE392" t="s">
        <v>74</v>
      </c>
      <c r="AF392" t="s">
        <v>74</v>
      </c>
      <c r="AG392">
        <v>19</v>
      </c>
      <c r="AH392">
        <v>4</v>
      </c>
      <c r="AI392">
        <v>4</v>
      </c>
      <c r="AJ392">
        <v>0</v>
      </c>
      <c r="AK392">
        <v>17</v>
      </c>
      <c r="AL392" t="s">
        <v>7302</v>
      </c>
      <c r="AM392" t="s">
        <v>7303</v>
      </c>
      <c r="AN392" t="s">
        <v>7304</v>
      </c>
      <c r="AO392" t="s">
        <v>7305</v>
      </c>
      <c r="AP392" t="s">
        <v>74</v>
      </c>
      <c r="AQ392" t="s">
        <v>74</v>
      </c>
      <c r="AR392" t="s">
        <v>7306</v>
      </c>
      <c r="AS392" t="s">
        <v>7307</v>
      </c>
      <c r="AT392" t="s">
        <v>74</v>
      </c>
      <c r="AU392">
        <v>2011</v>
      </c>
      <c r="AV392">
        <v>18</v>
      </c>
      <c r="AW392" t="s">
        <v>74</v>
      </c>
      <c r="AX392" t="s">
        <v>74</v>
      </c>
      <c r="AY392" t="s">
        <v>74</v>
      </c>
      <c r="AZ392" t="s">
        <v>74</v>
      </c>
      <c r="BA392" t="s">
        <v>74</v>
      </c>
      <c r="BB392">
        <v>47</v>
      </c>
      <c r="BC392">
        <v>55</v>
      </c>
      <c r="BD392" t="s">
        <v>74</v>
      </c>
      <c r="BE392" t="s">
        <v>74</v>
      </c>
      <c r="BF392" t="s">
        <v>74</v>
      </c>
      <c r="BG392" t="s">
        <v>74</v>
      </c>
      <c r="BH392" t="s">
        <v>74</v>
      </c>
      <c r="BI392">
        <v>9</v>
      </c>
      <c r="BJ392" t="s">
        <v>4842</v>
      </c>
      <c r="BK392" t="s">
        <v>100</v>
      </c>
      <c r="BL392" t="s">
        <v>4842</v>
      </c>
      <c r="BM392" t="s">
        <v>7308</v>
      </c>
      <c r="BN392" t="s">
        <v>74</v>
      </c>
      <c r="BO392" t="s">
        <v>74</v>
      </c>
      <c r="BP392" t="s">
        <v>74</v>
      </c>
      <c r="BQ392" t="s">
        <v>74</v>
      </c>
      <c r="BR392" t="s">
        <v>103</v>
      </c>
      <c r="BS392" t="s">
        <v>7328</v>
      </c>
      <c r="BT392" t="str">
        <f>HYPERLINK("https%3A%2F%2Fwww.webofscience.com%2Fwos%2Fwoscc%2Ffull-record%2FWOS:000208703000003","View Full Record in Web of Science")</f>
        <v>View Full Record in Web of Science</v>
      </c>
    </row>
    <row r="393" spans="1:72" x14ac:dyDescent="0.15">
      <c r="A393" t="s">
        <v>72</v>
      </c>
      <c r="B393" t="s">
        <v>7329</v>
      </c>
      <c r="C393" t="s">
        <v>74</v>
      </c>
      <c r="D393" t="s">
        <v>74</v>
      </c>
      <c r="E393" t="s">
        <v>74</v>
      </c>
      <c r="F393" t="s">
        <v>7330</v>
      </c>
      <c r="G393" t="s">
        <v>74</v>
      </c>
      <c r="H393" t="s">
        <v>74</v>
      </c>
      <c r="I393" t="s">
        <v>7331</v>
      </c>
      <c r="J393" t="s">
        <v>7294</v>
      </c>
      <c r="K393" t="s">
        <v>74</v>
      </c>
      <c r="L393" t="s">
        <v>74</v>
      </c>
      <c r="M393" t="s">
        <v>78</v>
      </c>
      <c r="N393" t="s">
        <v>79</v>
      </c>
      <c r="O393" t="s">
        <v>74</v>
      </c>
      <c r="P393" t="s">
        <v>74</v>
      </c>
      <c r="Q393" t="s">
        <v>74</v>
      </c>
      <c r="R393" t="s">
        <v>74</v>
      </c>
      <c r="S393" t="s">
        <v>74</v>
      </c>
      <c r="T393" t="s">
        <v>7332</v>
      </c>
      <c r="U393" t="s">
        <v>74</v>
      </c>
      <c r="V393" t="s">
        <v>7333</v>
      </c>
      <c r="W393" t="s">
        <v>7334</v>
      </c>
      <c r="X393" t="s">
        <v>7299</v>
      </c>
      <c r="Y393" t="s">
        <v>7335</v>
      </c>
      <c r="Z393" t="s">
        <v>7336</v>
      </c>
      <c r="AA393" t="s">
        <v>74</v>
      </c>
      <c r="AB393" t="s">
        <v>7337</v>
      </c>
      <c r="AC393" t="s">
        <v>74</v>
      </c>
      <c r="AD393" t="s">
        <v>74</v>
      </c>
      <c r="AE393" t="s">
        <v>74</v>
      </c>
      <c r="AF393" t="s">
        <v>74</v>
      </c>
      <c r="AG393">
        <v>35</v>
      </c>
      <c r="AH393">
        <v>2</v>
      </c>
      <c r="AI393">
        <v>3</v>
      </c>
      <c r="AJ393">
        <v>0</v>
      </c>
      <c r="AK393">
        <v>12</v>
      </c>
      <c r="AL393" t="s">
        <v>7302</v>
      </c>
      <c r="AM393" t="s">
        <v>7303</v>
      </c>
      <c r="AN393" t="s">
        <v>7304</v>
      </c>
      <c r="AO393" t="s">
        <v>7305</v>
      </c>
      <c r="AP393" t="s">
        <v>74</v>
      </c>
      <c r="AQ393" t="s">
        <v>74</v>
      </c>
      <c r="AR393" t="s">
        <v>7306</v>
      </c>
      <c r="AS393" t="s">
        <v>7307</v>
      </c>
      <c r="AT393" t="s">
        <v>74</v>
      </c>
      <c r="AU393">
        <v>2011</v>
      </c>
      <c r="AV393">
        <v>18</v>
      </c>
      <c r="AW393" t="s">
        <v>74</v>
      </c>
      <c r="AX393" t="s">
        <v>74</v>
      </c>
      <c r="AY393" t="s">
        <v>74</v>
      </c>
      <c r="AZ393" t="s">
        <v>74</v>
      </c>
      <c r="BA393" t="s">
        <v>74</v>
      </c>
      <c r="BB393">
        <v>57</v>
      </c>
      <c r="BC393">
        <v>73</v>
      </c>
      <c r="BD393" t="s">
        <v>74</v>
      </c>
      <c r="BE393" t="s">
        <v>74</v>
      </c>
      <c r="BF393" t="s">
        <v>74</v>
      </c>
      <c r="BG393" t="s">
        <v>74</v>
      </c>
      <c r="BH393" t="s">
        <v>74</v>
      </c>
      <c r="BI393">
        <v>17</v>
      </c>
      <c r="BJ393" t="s">
        <v>4842</v>
      </c>
      <c r="BK393" t="s">
        <v>100</v>
      </c>
      <c r="BL393" t="s">
        <v>4842</v>
      </c>
      <c r="BM393" t="s">
        <v>7308</v>
      </c>
      <c r="BN393" t="s">
        <v>74</v>
      </c>
      <c r="BO393" t="s">
        <v>74</v>
      </c>
      <c r="BP393" t="s">
        <v>74</v>
      </c>
      <c r="BQ393" t="s">
        <v>74</v>
      </c>
      <c r="BR393" t="s">
        <v>103</v>
      </c>
      <c r="BS393" t="s">
        <v>7338</v>
      </c>
      <c r="BT393" t="str">
        <f>HYPERLINK("https%3A%2F%2Fwww.webofscience.com%2Fwos%2Fwoscc%2Ffull-record%2FWOS:000208703000004","View Full Record in Web of Science")</f>
        <v>View Full Record in Web of Science</v>
      </c>
    </row>
    <row r="394" spans="1:72" x14ac:dyDescent="0.15">
      <c r="A394" t="s">
        <v>72</v>
      </c>
      <c r="B394" t="s">
        <v>7339</v>
      </c>
      <c r="C394" t="s">
        <v>74</v>
      </c>
      <c r="D394" t="s">
        <v>74</v>
      </c>
      <c r="E394" t="s">
        <v>74</v>
      </c>
      <c r="F394" t="s">
        <v>7340</v>
      </c>
      <c r="G394" t="s">
        <v>74</v>
      </c>
      <c r="H394" t="s">
        <v>74</v>
      </c>
      <c r="I394" t="s">
        <v>7341</v>
      </c>
      <c r="J394" t="s">
        <v>7294</v>
      </c>
      <c r="K394" t="s">
        <v>74</v>
      </c>
      <c r="L394" t="s">
        <v>74</v>
      </c>
      <c r="M394" t="s">
        <v>78</v>
      </c>
      <c r="N394" t="s">
        <v>79</v>
      </c>
      <c r="O394" t="s">
        <v>74</v>
      </c>
      <c r="P394" t="s">
        <v>74</v>
      </c>
      <c r="Q394" t="s">
        <v>74</v>
      </c>
      <c r="R394" t="s">
        <v>74</v>
      </c>
      <c r="S394" t="s">
        <v>74</v>
      </c>
      <c r="T394" t="s">
        <v>7342</v>
      </c>
      <c r="U394" t="s">
        <v>7343</v>
      </c>
      <c r="V394" t="s">
        <v>7344</v>
      </c>
      <c r="W394" t="s">
        <v>7345</v>
      </c>
      <c r="X394" t="s">
        <v>4432</v>
      </c>
      <c r="Y394" t="s">
        <v>7346</v>
      </c>
      <c r="Z394" t="s">
        <v>7347</v>
      </c>
      <c r="AA394" t="s">
        <v>74</v>
      </c>
      <c r="AB394" t="s">
        <v>7348</v>
      </c>
      <c r="AC394" t="s">
        <v>7349</v>
      </c>
      <c r="AD394" t="s">
        <v>7350</v>
      </c>
      <c r="AE394" t="s">
        <v>7351</v>
      </c>
      <c r="AF394" t="s">
        <v>74</v>
      </c>
      <c r="AG394">
        <v>26</v>
      </c>
      <c r="AH394">
        <v>13</v>
      </c>
      <c r="AI394">
        <v>13</v>
      </c>
      <c r="AJ394">
        <v>1</v>
      </c>
      <c r="AK394">
        <v>12</v>
      </c>
      <c r="AL394" t="s">
        <v>7302</v>
      </c>
      <c r="AM394" t="s">
        <v>7303</v>
      </c>
      <c r="AN394" t="s">
        <v>7304</v>
      </c>
      <c r="AO394" t="s">
        <v>7305</v>
      </c>
      <c r="AP394" t="s">
        <v>74</v>
      </c>
      <c r="AQ394" t="s">
        <v>74</v>
      </c>
      <c r="AR394" t="s">
        <v>7306</v>
      </c>
      <c r="AS394" t="s">
        <v>7307</v>
      </c>
      <c r="AT394" t="s">
        <v>74</v>
      </c>
      <c r="AU394">
        <v>2011</v>
      </c>
      <c r="AV394">
        <v>18</v>
      </c>
      <c r="AW394" t="s">
        <v>74</v>
      </c>
      <c r="AX394" t="s">
        <v>74</v>
      </c>
      <c r="AY394" t="s">
        <v>74</v>
      </c>
      <c r="AZ394" t="s">
        <v>74</v>
      </c>
      <c r="BA394" t="s">
        <v>74</v>
      </c>
      <c r="BB394">
        <v>75</v>
      </c>
      <c r="BC394">
        <v>86</v>
      </c>
      <c r="BD394" t="s">
        <v>74</v>
      </c>
      <c r="BE394" t="s">
        <v>74</v>
      </c>
      <c r="BF394" t="s">
        <v>74</v>
      </c>
      <c r="BG394" t="s">
        <v>74</v>
      </c>
      <c r="BH394" t="s">
        <v>74</v>
      </c>
      <c r="BI394">
        <v>12</v>
      </c>
      <c r="BJ394" t="s">
        <v>4842</v>
      </c>
      <c r="BK394" t="s">
        <v>100</v>
      </c>
      <c r="BL394" t="s">
        <v>4842</v>
      </c>
      <c r="BM394" t="s">
        <v>7308</v>
      </c>
      <c r="BN394" t="s">
        <v>74</v>
      </c>
      <c r="BO394" t="s">
        <v>74</v>
      </c>
      <c r="BP394" t="s">
        <v>74</v>
      </c>
      <c r="BQ394" t="s">
        <v>74</v>
      </c>
      <c r="BR394" t="s">
        <v>103</v>
      </c>
      <c r="BS394" t="s">
        <v>7352</v>
      </c>
      <c r="BT394" t="str">
        <f>HYPERLINK("https%3A%2F%2Fwww.webofscience.com%2Fwos%2Fwoscc%2Ffull-record%2FWOS:000208703000005","View Full Record in Web of Science")</f>
        <v>View Full Record in Web of Science</v>
      </c>
    </row>
    <row r="395" spans="1:72" x14ac:dyDescent="0.15">
      <c r="A395" t="s">
        <v>72</v>
      </c>
      <c r="B395" t="s">
        <v>7353</v>
      </c>
      <c r="C395" t="s">
        <v>74</v>
      </c>
      <c r="D395" t="s">
        <v>74</v>
      </c>
      <c r="E395" t="s">
        <v>74</v>
      </c>
      <c r="F395" t="s">
        <v>7354</v>
      </c>
      <c r="G395" t="s">
        <v>74</v>
      </c>
      <c r="H395" t="s">
        <v>74</v>
      </c>
      <c r="I395" t="s">
        <v>7355</v>
      </c>
      <c r="J395" t="s">
        <v>7294</v>
      </c>
      <c r="K395" t="s">
        <v>74</v>
      </c>
      <c r="L395" t="s">
        <v>74</v>
      </c>
      <c r="M395" t="s">
        <v>78</v>
      </c>
      <c r="N395" t="s">
        <v>79</v>
      </c>
      <c r="O395" t="s">
        <v>74</v>
      </c>
      <c r="P395" t="s">
        <v>74</v>
      </c>
      <c r="Q395" t="s">
        <v>74</v>
      </c>
      <c r="R395" t="s">
        <v>74</v>
      </c>
      <c r="S395" t="s">
        <v>74</v>
      </c>
      <c r="T395" t="s">
        <v>7356</v>
      </c>
      <c r="U395" t="s">
        <v>7357</v>
      </c>
      <c r="V395" t="s">
        <v>7358</v>
      </c>
      <c r="W395" t="s">
        <v>7359</v>
      </c>
      <c r="X395" t="s">
        <v>4432</v>
      </c>
      <c r="Y395" t="s">
        <v>7360</v>
      </c>
      <c r="Z395" t="s">
        <v>7361</v>
      </c>
      <c r="AA395" t="s">
        <v>74</v>
      </c>
      <c r="AB395" t="s">
        <v>74</v>
      </c>
      <c r="AC395" t="s">
        <v>7362</v>
      </c>
      <c r="AD395" t="s">
        <v>7363</v>
      </c>
      <c r="AE395" t="s">
        <v>7364</v>
      </c>
      <c r="AF395" t="s">
        <v>74</v>
      </c>
      <c r="AG395">
        <v>24</v>
      </c>
      <c r="AH395">
        <v>0</v>
      </c>
      <c r="AI395">
        <v>0</v>
      </c>
      <c r="AJ395">
        <v>0</v>
      </c>
      <c r="AK395">
        <v>4</v>
      </c>
      <c r="AL395" t="s">
        <v>7302</v>
      </c>
      <c r="AM395" t="s">
        <v>7303</v>
      </c>
      <c r="AN395" t="s">
        <v>7304</v>
      </c>
      <c r="AO395" t="s">
        <v>7305</v>
      </c>
      <c r="AP395" t="s">
        <v>74</v>
      </c>
      <c r="AQ395" t="s">
        <v>74</v>
      </c>
      <c r="AR395" t="s">
        <v>7306</v>
      </c>
      <c r="AS395" t="s">
        <v>7307</v>
      </c>
      <c r="AT395" t="s">
        <v>74</v>
      </c>
      <c r="AU395">
        <v>2011</v>
      </c>
      <c r="AV395">
        <v>18</v>
      </c>
      <c r="AW395" t="s">
        <v>74</v>
      </c>
      <c r="AX395" t="s">
        <v>74</v>
      </c>
      <c r="AY395" t="s">
        <v>74</v>
      </c>
      <c r="AZ395" t="s">
        <v>74</v>
      </c>
      <c r="BA395" t="s">
        <v>74</v>
      </c>
      <c r="BB395">
        <v>87</v>
      </c>
      <c r="BC395">
        <v>96</v>
      </c>
      <c r="BD395" t="s">
        <v>74</v>
      </c>
      <c r="BE395" t="s">
        <v>74</v>
      </c>
      <c r="BF395" t="s">
        <v>74</v>
      </c>
      <c r="BG395" t="s">
        <v>74</v>
      </c>
      <c r="BH395" t="s">
        <v>74</v>
      </c>
      <c r="BI395">
        <v>10</v>
      </c>
      <c r="BJ395" t="s">
        <v>4842</v>
      </c>
      <c r="BK395" t="s">
        <v>100</v>
      </c>
      <c r="BL395" t="s">
        <v>4842</v>
      </c>
      <c r="BM395" t="s">
        <v>7308</v>
      </c>
      <c r="BN395" t="s">
        <v>74</v>
      </c>
      <c r="BO395" t="s">
        <v>74</v>
      </c>
      <c r="BP395" t="s">
        <v>74</v>
      </c>
      <c r="BQ395" t="s">
        <v>74</v>
      </c>
      <c r="BR395" t="s">
        <v>103</v>
      </c>
      <c r="BS395" t="s">
        <v>7365</v>
      </c>
      <c r="BT395" t="str">
        <f>HYPERLINK("https%3A%2F%2Fwww.webofscience.com%2Fwos%2Fwoscc%2Ffull-record%2FWOS:000208703000006","View Full Record in Web of Science")</f>
        <v>View Full Record in Web of Science</v>
      </c>
    </row>
    <row r="396" spans="1:72" x14ac:dyDescent="0.15">
      <c r="A396" t="s">
        <v>72</v>
      </c>
      <c r="B396" t="s">
        <v>7366</v>
      </c>
      <c r="C396" t="s">
        <v>74</v>
      </c>
      <c r="D396" t="s">
        <v>74</v>
      </c>
      <c r="E396" t="s">
        <v>74</v>
      </c>
      <c r="F396" t="s">
        <v>7367</v>
      </c>
      <c r="G396" t="s">
        <v>74</v>
      </c>
      <c r="H396" t="s">
        <v>74</v>
      </c>
      <c r="I396" t="s">
        <v>7368</v>
      </c>
      <c r="J396" t="s">
        <v>7294</v>
      </c>
      <c r="K396" t="s">
        <v>74</v>
      </c>
      <c r="L396" t="s">
        <v>74</v>
      </c>
      <c r="M396" t="s">
        <v>78</v>
      </c>
      <c r="N396" t="s">
        <v>79</v>
      </c>
      <c r="O396" t="s">
        <v>74</v>
      </c>
      <c r="P396" t="s">
        <v>74</v>
      </c>
      <c r="Q396" t="s">
        <v>74</v>
      </c>
      <c r="R396" t="s">
        <v>74</v>
      </c>
      <c r="S396" t="s">
        <v>74</v>
      </c>
      <c r="T396" t="s">
        <v>7369</v>
      </c>
      <c r="U396" t="s">
        <v>74</v>
      </c>
      <c r="V396" t="s">
        <v>7370</v>
      </c>
      <c r="W396" t="s">
        <v>7371</v>
      </c>
      <c r="X396" t="s">
        <v>7372</v>
      </c>
      <c r="Y396" t="s">
        <v>7373</v>
      </c>
      <c r="Z396" t="s">
        <v>7374</v>
      </c>
      <c r="AA396" t="s">
        <v>74</v>
      </c>
      <c r="AB396" t="s">
        <v>74</v>
      </c>
      <c r="AC396" t="s">
        <v>7375</v>
      </c>
      <c r="AD396" t="s">
        <v>7376</v>
      </c>
      <c r="AE396" t="s">
        <v>7377</v>
      </c>
      <c r="AF396" t="s">
        <v>74</v>
      </c>
      <c r="AG396">
        <v>36</v>
      </c>
      <c r="AH396">
        <v>35</v>
      </c>
      <c r="AI396">
        <v>38</v>
      </c>
      <c r="AJ396">
        <v>0</v>
      </c>
      <c r="AK396">
        <v>3</v>
      </c>
      <c r="AL396" t="s">
        <v>7302</v>
      </c>
      <c r="AM396" t="s">
        <v>7303</v>
      </c>
      <c r="AN396" t="s">
        <v>7304</v>
      </c>
      <c r="AO396" t="s">
        <v>7305</v>
      </c>
      <c r="AP396" t="s">
        <v>74</v>
      </c>
      <c r="AQ396" t="s">
        <v>74</v>
      </c>
      <c r="AR396" t="s">
        <v>7306</v>
      </c>
      <c r="AS396" t="s">
        <v>7307</v>
      </c>
      <c r="AT396" t="s">
        <v>74</v>
      </c>
      <c r="AU396">
        <v>2011</v>
      </c>
      <c r="AV396">
        <v>18</v>
      </c>
      <c r="AW396" t="s">
        <v>74</v>
      </c>
      <c r="AX396" t="s">
        <v>74</v>
      </c>
      <c r="AY396" t="s">
        <v>74</v>
      </c>
      <c r="AZ396" t="s">
        <v>74</v>
      </c>
      <c r="BA396" t="s">
        <v>74</v>
      </c>
      <c r="BB396">
        <v>97</v>
      </c>
      <c r="BC396">
        <v>122</v>
      </c>
      <c r="BD396" t="s">
        <v>74</v>
      </c>
      <c r="BE396" t="s">
        <v>74</v>
      </c>
      <c r="BF396" t="s">
        <v>74</v>
      </c>
      <c r="BG396" t="s">
        <v>74</v>
      </c>
      <c r="BH396" t="s">
        <v>74</v>
      </c>
      <c r="BI396">
        <v>26</v>
      </c>
      <c r="BJ396" t="s">
        <v>4842</v>
      </c>
      <c r="BK396" t="s">
        <v>100</v>
      </c>
      <c r="BL396" t="s">
        <v>4842</v>
      </c>
      <c r="BM396" t="s">
        <v>7308</v>
      </c>
      <c r="BN396" t="s">
        <v>74</v>
      </c>
      <c r="BO396" t="s">
        <v>74</v>
      </c>
      <c r="BP396" t="s">
        <v>74</v>
      </c>
      <c r="BQ396" t="s">
        <v>74</v>
      </c>
      <c r="BR396" t="s">
        <v>103</v>
      </c>
      <c r="BS396" t="s">
        <v>7378</v>
      </c>
      <c r="BT396" t="str">
        <f>HYPERLINK("https%3A%2F%2Fwww.webofscience.com%2Fwos%2Fwoscc%2Ffull-record%2FWOS:000208703000007","View Full Record in Web of Science")</f>
        <v>View Full Record in Web of Science</v>
      </c>
    </row>
    <row r="397" spans="1:72" x14ac:dyDescent="0.15">
      <c r="A397" t="s">
        <v>72</v>
      </c>
      <c r="B397" t="s">
        <v>7379</v>
      </c>
      <c r="C397" t="s">
        <v>74</v>
      </c>
      <c r="D397" t="s">
        <v>74</v>
      </c>
      <c r="E397" t="s">
        <v>74</v>
      </c>
      <c r="F397" t="s">
        <v>7380</v>
      </c>
      <c r="G397" t="s">
        <v>74</v>
      </c>
      <c r="H397" t="s">
        <v>74</v>
      </c>
      <c r="I397" t="s">
        <v>7381</v>
      </c>
      <c r="J397" t="s">
        <v>7294</v>
      </c>
      <c r="K397" t="s">
        <v>74</v>
      </c>
      <c r="L397" t="s">
        <v>74</v>
      </c>
      <c r="M397" t="s">
        <v>78</v>
      </c>
      <c r="N397" t="s">
        <v>79</v>
      </c>
      <c r="O397" t="s">
        <v>74</v>
      </c>
      <c r="P397" t="s">
        <v>74</v>
      </c>
      <c r="Q397" t="s">
        <v>74</v>
      </c>
      <c r="R397" t="s">
        <v>74</v>
      </c>
      <c r="S397" t="s">
        <v>74</v>
      </c>
      <c r="T397" t="s">
        <v>7382</v>
      </c>
      <c r="U397" t="s">
        <v>74</v>
      </c>
      <c r="V397" t="s">
        <v>7383</v>
      </c>
      <c r="W397" t="s">
        <v>7384</v>
      </c>
      <c r="X397" t="s">
        <v>7385</v>
      </c>
      <c r="Y397" t="s">
        <v>7386</v>
      </c>
      <c r="Z397" t="s">
        <v>7387</v>
      </c>
      <c r="AA397" t="s">
        <v>74</v>
      </c>
      <c r="AB397" t="s">
        <v>74</v>
      </c>
      <c r="AC397" t="s">
        <v>74</v>
      </c>
      <c r="AD397" t="s">
        <v>74</v>
      </c>
      <c r="AE397" t="s">
        <v>74</v>
      </c>
      <c r="AF397" t="s">
        <v>74</v>
      </c>
      <c r="AG397">
        <v>30</v>
      </c>
      <c r="AH397">
        <v>4</v>
      </c>
      <c r="AI397">
        <v>5</v>
      </c>
      <c r="AJ397">
        <v>0</v>
      </c>
      <c r="AK397">
        <v>3</v>
      </c>
      <c r="AL397" t="s">
        <v>7302</v>
      </c>
      <c r="AM397" t="s">
        <v>7303</v>
      </c>
      <c r="AN397" t="s">
        <v>7304</v>
      </c>
      <c r="AO397" t="s">
        <v>7305</v>
      </c>
      <c r="AP397" t="s">
        <v>74</v>
      </c>
      <c r="AQ397" t="s">
        <v>74</v>
      </c>
      <c r="AR397" t="s">
        <v>7306</v>
      </c>
      <c r="AS397" t="s">
        <v>7307</v>
      </c>
      <c r="AT397" t="s">
        <v>74</v>
      </c>
      <c r="AU397">
        <v>2011</v>
      </c>
      <c r="AV397">
        <v>18</v>
      </c>
      <c r="AW397" t="s">
        <v>74</v>
      </c>
      <c r="AX397" t="s">
        <v>74</v>
      </c>
      <c r="AY397" t="s">
        <v>74</v>
      </c>
      <c r="AZ397" t="s">
        <v>74</v>
      </c>
      <c r="BA397" t="s">
        <v>74</v>
      </c>
      <c r="BB397">
        <v>123</v>
      </c>
      <c r="BC397">
        <v>134</v>
      </c>
      <c r="BD397" t="s">
        <v>74</v>
      </c>
      <c r="BE397" t="s">
        <v>74</v>
      </c>
      <c r="BF397" t="s">
        <v>74</v>
      </c>
      <c r="BG397" t="s">
        <v>74</v>
      </c>
      <c r="BH397" t="s">
        <v>74</v>
      </c>
      <c r="BI397">
        <v>12</v>
      </c>
      <c r="BJ397" t="s">
        <v>4842</v>
      </c>
      <c r="BK397" t="s">
        <v>100</v>
      </c>
      <c r="BL397" t="s">
        <v>4842</v>
      </c>
      <c r="BM397" t="s">
        <v>7308</v>
      </c>
      <c r="BN397" t="s">
        <v>74</v>
      </c>
      <c r="BO397" t="s">
        <v>74</v>
      </c>
      <c r="BP397" t="s">
        <v>74</v>
      </c>
      <c r="BQ397" t="s">
        <v>74</v>
      </c>
      <c r="BR397" t="s">
        <v>103</v>
      </c>
      <c r="BS397" t="s">
        <v>7388</v>
      </c>
      <c r="BT397" t="str">
        <f>HYPERLINK("https%3A%2F%2Fwww.webofscience.com%2Fwos%2Fwoscc%2Ffull-record%2FWOS:000208703000008","View Full Record in Web of Science")</f>
        <v>View Full Record in Web of Science</v>
      </c>
    </row>
    <row r="398" spans="1:72" x14ac:dyDescent="0.15">
      <c r="A398" t="s">
        <v>72</v>
      </c>
      <c r="B398" t="s">
        <v>7389</v>
      </c>
      <c r="C398" t="s">
        <v>74</v>
      </c>
      <c r="D398" t="s">
        <v>74</v>
      </c>
      <c r="E398" t="s">
        <v>74</v>
      </c>
      <c r="F398" t="s">
        <v>7390</v>
      </c>
      <c r="G398" t="s">
        <v>74</v>
      </c>
      <c r="H398" t="s">
        <v>74</v>
      </c>
      <c r="I398" t="s">
        <v>7391</v>
      </c>
      <c r="J398" t="s">
        <v>7294</v>
      </c>
      <c r="K398" t="s">
        <v>74</v>
      </c>
      <c r="L398" t="s">
        <v>74</v>
      </c>
      <c r="M398" t="s">
        <v>78</v>
      </c>
      <c r="N398" t="s">
        <v>79</v>
      </c>
      <c r="O398" t="s">
        <v>74</v>
      </c>
      <c r="P398" t="s">
        <v>74</v>
      </c>
      <c r="Q398" t="s">
        <v>74</v>
      </c>
      <c r="R398" t="s">
        <v>74</v>
      </c>
      <c r="S398" t="s">
        <v>74</v>
      </c>
      <c r="T398" t="s">
        <v>7392</v>
      </c>
      <c r="U398" t="s">
        <v>7393</v>
      </c>
      <c r="V398" t="s">
        <v>7394</v>
      </c>
      <c r="W398" t="s">
        <v>7395</v>
      </c>
      <c r="X398" t="s">
        <v>7396</v>
      </c>
      <c r="Y398" t="s">
        <v>7397</v>
      </c>
      <c r="Z398" t="s">
        <v>7398</v>
      </c>
      <c r="AA398" t="s">
        <v>7399</v>
      </c>
      <c r="AB398" t="s">
        <v>7400</v>
      </c>
      <c r="AC398" t="s">
        <v>74</v>
      </c>
      <c r="AD398" t="s">
        <v>74</v>
      </c>
      <c r="AE398" t="s">
        <v>74</v>
      </c>
      <c r="AF398" t="s">
        <v>74</v>
      </c>
      <c r="AG398">
        <v>22</v>
      </c>
      <c r="AH398">
        <v>3</v>
      </c>
      <c r="AI398">
        <v>3</v>
      </c>
      <c r="AJ398">
        <v>1</v>
      </c>
      <c r="AK398">
        <v>6</v>
      </c>
      <c r="AL398" t="s">
        <v>7302</v>
      </c>
      <c r="AM398" t="s">
        <v>7303</v>
      </c>
      <c r="AN398" t="s">
        <v>7304</v>
      </c>
      <c r="AO398" t="s">
        <v>7305</v>
      </c>
      <c r="AP398" t="s">
        <v>74</v>
      </c>
      <c r="AQ398" t="s">
        <v>74</v>
      </c>
      <c r="AR398" t="s">
        <v>7306</v>
      </c>
      <c r="AS398" t="s">
        <v>7307</v>
      </c>
      <c r="AT398" t="s">
        <v>74</v>
      </c>
      <c r="AU398">
        <v>2011</v>
      </c>
      <c r="AV398">
        <v>18</v>
      </c>
      <c r="AW398" t="s">
        <v>74</v>
      </c>
      <c r="AX398" t="s">
        <v>74</v>
      </c>
      <c r="AY398" t="s">
        <v>74</v>
      </c>
      <c r="AZ398" t="s">
        <v>74</v>
      </c>
      <c r="BA398" t="s">
        <v>74</v>
      </c>
      <c r="BB398">
        <v>135</v>
      </c>
      <c r="BC398">
        <v>144</v>
      </c>
      <c r="BD398" t="s">
        <v>74</v>
      </c>
      <c r="BE398" t="s">
        <v>74</v>
      </c>
      <c r="BF398" t="s">
        <v>74</v>
      </c>
      <c r="BG398" t="s">
        <v>74</v>
      </c>
      <c r="BH398" t="s">
        <v>74</v>
      </c>
      <c r="BI398">
        <v>10</v>
      </c>
      <c r="BJ398" t="s">
        <v>4842</v>
      </c>
      <c r="BK398" t="s">
        <v>100</v>
      </c>
      <c r="BL398" t="s">
        <v>4842</v>
      </c>
      <c r="BM398" t="s">
        <v>7308</v>
      </c>
      <c r="BN398" t="s">
        <v>74</v>
      </c>
      <c r="BO398" t="s">
        <v>74</v>
      </c>
      <c r="BP398" t="s">
        <v>74</v>
      </c>
      <c r="BQ398" t="s">
        <v>74</v>
      </c>
      <c r="BR398" t="s">
        <v>103</v>
      </c>
      <c r="BS398" t="s">
        <v>7401</v>
      </c>
      <c r="BT398" t="str">
        <f>HYPERLINK("https%3A%2F%2Fwww.webofscience.com%2Fwos%2Fwoscc%2Ffull-record%2FWOS:000208703000009","View Full Record in Web of Science")</f>
        <v>View Full Record in Web of Science</v>
      </c>
    </row>
    <row r="399" spans="1:72" x14ac:dyDescent="0.15">
      <c r="A399" t="s">
        <v>72</v>
      </c>
      <c r="B399" t="s">
        <v>7402</v>
      </c>
      <c r="C399" t="s">
        <v>74</v>
      </c>
      <c r="D399" t="s">
        <v>74</v>
      </c>
      <c r="E399" t="s">
        <v>74</v>
      </c>
      <c r="F399" t="s">
        <v>7403</v>
      </c>
      <c r="G399" t="s">
        <v>74</v>
      </c>
      <c r="H399" t="s">
        <v>74</v>
      </c>
      <c r="I399" t="s">
        <v>7404</v>
      </c>
      <c r="J399" t="s">
        <v>7294</v>
      </c>
      <c r="K399" t="s">
        <v>74</v>
      </c>
      <c r="L399" t="s">
        <v>74</v>
      </c>
      <c r="M399" t="s">
        <v>78</v>
      </c>
      <c r="N399" t="s">
        <v>79</v>
      </c>
      <c r="O399" t="s">
        <v>74</v>
      </c>
      <c r="P399" t="s">
        <v>74</v>
      </c>
      <c r="Q399" t="s">
        <v>74</v>
      </c>
      <c r="R399" t="s">
        <v>74</v>
      </c>
      <c r="S399" t="s">
        <v>74</v>
      </c>
      <c r="T399" t="s">
        <v>7405</v>
      </c>
      <c r="U399" t="s">
        <v>74</v>
      </c>
      <c r="V399" t="s">
        <v>7406</v>
      </c>
      <c r="W399" t="s">
        <v>7407</v>
      </c>
      <c r="X399" t="s">
        <v>7408</v>
      </c>
      <c r="Y399" t="s">
        <v>7409</v>
      </c>
      <c r="Z399" t="s">
        <v>7410</v>
      </c>
      <c r="AA399" t="s">
        <v>74</v>
      </c>
      <c r="AB399" t="s">
        <v>74</v>
      </c>
      <c r="AC399" t="s">
        <v>74</v>
      </c>
      <c r="AD399" t="s">
        <v>74</v>
      </c>
      <c r="AE399" t="s">
        <v>74</v>
      </c>
      <c r="AF399" t="s">
        <v>74</v>
      </c>
      <c r="AG399">
        <v>21</v>
      </c>
      <c r="AH399">
        <v>5</v>
      </c>
      <c r="AI399">
        <v>5</v>
      </c>
      <c r="AJ399">
        <v>0</v>
      </c>
      <c r="AK399">
        <v>5</v>
      </c>
      <c r="AL399" t="s">
        <v>7302</v>
      </c>
      <c r="AM399" t="s">
        <v>7303</v>
      </c>
      <c r="AN399" t="s">
        <v>7304</v>
      </c>
      <c r="AO399" t="s">
        <v>7305</v>
      </c>
      <c r="AP399" t="s">
        <v>74</v>
      </c>
      <c r="AQ399" t="s">
        <v>74</v>
      </c>
      <c r="AR399" t="s">
        <v>7306</v>
      </c>
      <c r="AS399" t="s">
        <v>7307</v>
      </c>
      <c r="AT399" t="s">
        <v>74</v>
      </c>
      <c r="AU399">
        <v>2011</v>
      </c>
      <c r="AV399">
        <v>18</v>
      </c>
      <c r="AW399" t="s">
        <v>74</v>
      </c>
      <c r="AX399" t="s">
        <v>74</v>
      </c>
      <c r="AY399" t="s">
        <v>74</v>
      </c>
      <c r="AZ399" t="s">
        <v>74</v>
      </c>
      <c r="BA399" t="s">
        <v>74</v>
      </c>
      <c r="BB399">
        <v>145</v>
      </c>
      <c r="BC399">
        <v>153</v>
      </c>
      <c r="BD399" t="s">
        <v>74</v>
      </c>
      <c r="BE399" t="s">
        <v>74</v>
      </c>
      <c r="BF399" t="s">
        <v>74</v>
      </c>
      <c r="BG399" t="s">
        <v>74</v>
      </c>
      <c r="BH399" t="s">
        <v>74</v>
      </c>
      <c r="BI399">
        <v>9</v>
      </c>
      <c r="BJ399" t="s">
        <v>4842</v>
      </c>
      <c r="BK399" t="s">
        <v>100</v>
      </c>
      <c r="BL399" t="s">
        <v>4842</v>
      </c>
      <c r="BM399" t="s">
        <v>7308</v>
      </c>
      <c r="BN399" t="s">
        <v>74</v>
      </c>
      <c r="BO399" t="s">
        <v>74</v>
      </c>
      <c r="BP399" t="s">
        <v>74</v>
      </c>
      <c r="BQ399" t="s">
        <v>74</v>
      </c>
      <c r="BR399" t="s">
        <v>103</v>
      </c>
      <c r="BS399" t="s">
        <v>7411</v>
      </c>
      <c r="BT399" t="str">
        <f>HYPERLINK("https%3A%2F%2Fwww.webofscience.com%2Fwos%2Fwoscc%2Ffull-record%2FWOS:000208703000010","View Full Record in Web of Science")</f>
        <v>View Full Record in Web of Science</v>
      </c>
    </row>
    <row r="400" spans="1:72" x14ac:dyDescent="0.15">
      <c r="A400" t="s">
        <v>72</v>
      </c>
      <c r="B400" t="s">
        <v>7412</v>
      </c>
      <c r="C400" t="s">
        <v>74</v>
      </c>
      <c r="D400" t="s">
        <v>74</v>
      </c>
      <c r="E400" t="s">
        <v>74</v>
      </c>
      <c r="F400" t="s">
        <v>7413</v>
      </c>
      <c r="G400" t="s">
        <v>74</v>
      </c>
      <c r="H400" t="s">
        <v>74</v>
      </c>
      <c r="I400" t="s">
        <v>7414</v>
      </c>
      <c r="J400" t="s">
        <v>7294</v>
      </c>
      <c r="K400" t="s">
        <v>74</v>
      </c>
      <c r="L400" t="s">
        <v>74</v>
      </c>
      <c r="M400" t="s">
        <v>78</v>
      </c>
      <c r="N400" t="s">
        <v>79</v>
      </c>
      <c r="O400" t="s">
        <v>74</v>
      </c>
      <c r="P400" t="s">
        <v>74</v>
      </c>
      <c r="Q400" t="s">
        <v>74</v>
      </c>
      <c r="R400" t="s">
        <v>74</v>
      </c>
      <c r="S400" t="s">
        <v>74</v>
      </c>
      <c r="T400" t="s">
        <v>7415</v>
      </c>
      <c r="U400" t="s">
        <v>74</v>
      </c>
      <c r="V400" t="s">
        <v>7416</v>
      </c>
      <c r="W400" t="s">
        <v>7417</v>
      </c>
      <c r="X400" t="s">
        <v>7408</v>
      </c>
      <c r="Y400" t="s">
        <v>7418</v>
      </c>
      <c r="Z400" t="s">
        <v>7419</v>
      </c>
      <c r="AA400" t="s">
        <v>74</v>
      </c>
      <c r="AB400" t="s">
        <v>74</v>
      </c>
      <c r="AC400" t="s">
        <v>74</v>
      </c>
      <c r="AD400" t="s">
        <v>74</v>
      </c>
      <c r="AE400" t="s">
        <v>74</v>
      </c>
      <c r="AF400" t="s">
        <v>74</v>
      </c>
      <c r="AG400">
        <v>11</v>
      </c>
      <c r="AH400">
        <v>4</v>
      </c>
      <c r="AI400">
        <v>5</v>
      </c>
      <c r="AJ400">
        <v>1</v>
      </c>
      <c r="AK400">
        <v>12</v>
      </c>
      <c r="AL400" t="s">
        <v>7302</v>
      </c>
      <c r="AM400" t="s">
        <v>7303</v>
      </c>
      <c r="AN400" t="s">
        <v>7304</v>
      </c>
      <c r="AO400" t="s">
        <v>7305</v>
      </c>
      <c r="AP400" t="s">
        <v>74</v>
      </c>
      <c r="AQ400" t="s">
        <v>74</v>
      </c>
      <c r="AR400" t="s">
        <v>7306</v>
      </c>
      <c r="AS400" t="s">
        <v>7307</v>
      </c>
      <c r="AT400" t="s">
        <v>74</v>
      </c>
      <c r="AU400">
        <v>2011</v>
      </c>
      <c r="AV400">
        <v>18</v>
      </c>
      <c r="AW400" t="s">
        <v>74</v>
      </c>
      <c r="AX400" t="s">
        <v>74</v>
      </c>
      <c r="AY400" t="s">
        <v>74</v>
      </c>
      <c r="AZ400" t="s">
        <v>74</v>
      </c>
      <c r="BA400" t="s">
        <v>74</v>
      </c>
      <c r="BB400">
        <v>155</v>
      </c>
      <c r="BC400">
        <v>165</v>
      </c>
      <c r="BD400" t="s">
        <v>74</v>
      </c>
      <c r="BE400" t="s">
        <v>74</v>
      </c>
      <c r="BF400" t="s">
        <v>74</v>
      </c>
      <c r="BG400" t="s">
        <v>74</v>
      </c>
      <c r="BH400" t="s">
        <v>74</v>
      </c>
      <c r="BI400">
        <v>11</v>
      </c>
      <c r="BJ400" t="s">
        <v>4842</v>
      </c>
      <c r="BK400" t="s">
        <v>100</v>
      </c>
      <c r="BL400" t="s">
        <v>4842</v>
      </c>
      <c r="BM400" t="s">
        <v>7308</v>
      </c>
      <c r="BN400" t="s">
        <v>74</v>
      </c>
      <c r="BO400" t="s">
        <v>74</v>
      </c>
      <c r="BP400" t="s">
        <v>74</v>
      </c>
      <c r="BQ400" t="s">
        <v>74</v>
      </c>
      <c r="BR400" t="s">
        <v>103</v>
      </c>
      <c r="BS400" t="s">
        <v>7420</v>
      </c>
      <c r="BT400" t="str">
        <f>HYPERLINK("https%3A%2F%2Fwww.webofscience.com%2Fwos%2Fwoscc%2Ffull-record%2FWOS:000208703000011","View Full Record in Web of Science")</f>
        <v>View Full Record in Web of Science</v>
      </c>
    </row>
    <row r="401" spans="1:72" x14ac:dyDescent="0.15">
      <c r="A401" t="s">
        <v>72</v>
      </c>
      <c r="B401" t="s">
        <v>7421</v>
      </c>
      <c r="C401" t="s">
        <v>74</v>
      </c>
      <c r="D401" t="s">
        <v>74</v>
      </c>
      <c r="E401" t="s">
        <v>74</v>
      </c>
      <c r="F401" t="s">
        <v>7422</v>
      </c>
      <c r="G401" t="s">
        <v>74</v>
      </c>
      <c r="H401" t="s">
        <v>74</v>
      </c>
      <c r="I401" t="s">
        <v>7423</v>
      </c>
      <c r="J401" t="s">
        <v>7424</v>
      </c>
      <c r="K401" t="s">
        <v>74</v>
      </c>
      <c r="L401" t="s">
        <v>74</v>
      </c>
      <c r="M401" t="s">
        <v>78</v>
      </c>
      <c r="N401" t="s">
        <v>79</v>
      </c>
      <c r="O401" t="s">
        <v>74</v>
      </c>
      <c r="P401" t="s">
        <v>74</v>
      </c>
      <c r="Q401" t="s">
        <v>74</v>
      </c>
      <c r="R401" t="s">
        <v>74</v>
      </c>
      <c r="S401" t="s">
        <v>74</v>
      </c>
      <c r="T401" t="s">
        <v>7425</v>
      </c>
      <c r="U401" t="s">
        <v>7426</v>
      </c>
      <c r="V401" t="s">
        <v>7427</v>
      </c>
      <c r="W401" t="s">
        <v>7428</v>
      </c>
      <c r="X401" t="s">
        <v>7429</v>
      </c>
      <c r="Y401" t="s">
        <v>7430</v>
      </c>
      <c r="Z401" t="s">
        <v>7431</v>
      </c>
      <c r="AA401" t="s">
        <v>74</v>
      </c>
      <c r="AB401" t="s">
        <v>7432</v>
      </c>
      <c r="AC401" t="s">
        <v>7433</v>
      </c>
      <c r="AD401" t="s">
        <v>7433</v>
      </c>
      <c r="AE401" t="s">
        <v>7434</v>
      </c>
      <c r="AF401" t="s">
        <v>74</v>
      </c>
      <c r="AG401">
        <v>21</v>
      </c>
      <c r="AH401">
        <v>19</v>
      </c>
      <c r="AI401">
        <v>22</v>
      </c>
      <c r="AJ401">
        <v>0</v>
      </c>
      <c r="AK401">
        <v>5</v>
      </c>
      <c r="AL401" t="s">
        <v>7435</v>
      </c>
      <c r="AM401" t="s">
        <v>2544</v>
      </c>
      <c r="AN401" t="s">
        <v>7436</v>
      </c>
      <c r="AO401" t="s">
        <v>7437</v>
      </c>
      <c r="AP401" t="s">
        <v>7438</v>
      </c>
      <c r="AQ401" t="s">
        <v>74</v>
      </c>
      <c r="AR401" t="s">
        <v>7439</v>
      </c>
      <c r="AS401" t="s">
        <v>7440</v>
      </c>
      <c r="AT401" t="s">
        <v>74</v>
      </c>
      <c r="AU401">
        <v>2011</v>
      </c>
      <c r="AV401">
        <v>271</v>
      </c>
      <c r="AW401">
        <v>1</v>
      </c>
      <c r="AX401" t="s">
        <v>74</v>
      </c>
      <c r="AY401" t="s">
        <v>74</v>
      </c>
      <c r="AZ401" t="s">
        <v>74</v>
      </c>
      <c r="BA401" t="s">
        <v>74</v>
      </c>
      <c r="BB401">
        <v>29</v>
      </c>
      <c r="BC401">
        <v>35</v>
      </c>
      <c r="BD401" t="s">
        <v>74</v>
      </c>
      <c r="BE401" t="s">
        <v>7441</v>
      </c>
      <c r="BF401" t="str">
        <f>HYPERLINK("http://dx.doi.org/10.1016/j.cellimm.2011.05.018","http://dx.doi.org/10.1016/j.cellimm.2011.05.018")</f>
        <v>http://dx.doi.org/10.1016/j.cellimm.2011.05.018</v>
      </c>
      <c r="BG401" t="s">
        <v>74</v>
      </c>
      <c r="BH401" t="s">
        <v>74</v>
      </c>
      <c r="BI401">
        <v>7</v>
      </c>
      <c r="BJ401" t="s">
        <v>7442</v>
      </c>
      <c r="BK401" t="s">
        <v>100</v>
      </c>
      <c r="BL401" t="s">
        <v>7442</v>
      </c>
      <c r="BM401" t="s">
        <v>7443</v>
      </c>
      <c r="BN401">
        <v>21714963</v>
      </c>
      <c r="BO401" t="s">
        <v>74</v>
      </c>
      <c r="BP401" t="s">
        <v>74</v>
      </c>
      <c r="BQ401" t="s">
        <v>74</v>
      </c>
      <c r="BR401" t="s">
        <v>103</v>
      </c>
      <c r="BS401" t="s">
        <v>7444</v>
      </c>
      <c r="BT401" t="str">
        <f>HYPERLINK("https%3A%2F%2Fwww.webofscience.com%2Fwos%2Fwoscc%2Ffull-record%2FWOS:000297658400005","View Full Record in Web of Science")</f>
        <v>View Full Record in Web of Science</v>
      </c>
    </row>
    <row r="402" spans="1:72" x14ac:dyDescent="0.15">
      <c r="A402" t="s">
        <v>72</v>
      </c>
      <c r="B402" t="s">
        <v>7445</v>
      </c>
      <c r="C402" t="s">
        <v>74</v>
      </c>
      <c r="D402" t="s">
        <v>74</v>
      </c>
      <c r="E402" t="s">
        <v>74</v>
      </c>
      <c r="F402" t="s">
        <v>7446</v>
      </c>
      <c r="G402" t="s">
        <v>74</v>
      </c>
      <c r="H402" t="s">
        <v>74</v>
      </c>
      <c r="I402" t="s">
        <v>7447</v>
      </c>
      <c r="J402" t="s">
        <v>584</v>
      </c>
      <c r="K402" t="s">
        <v>74</v>
      </c>
      <c r="L402" t="s">
        <v>74</v>
      </c>
      <c r="M402" t="s">
        <v>78</v>
      </c>
      <c r="N402" t="s">
        <v>79</v>
      </c>
      <c r="O402" t="s">
        <v>74</v>
      </c>
      <c r="P402" t="s">
        <v>74</v>
      </c>
      <c r="Q402" t="s">
        <v>74</v>
      </c>
      <c r="R402" t="s">
        <v>74</v>
      </c>
      <c r="S402" t="s">
        <v>74</v>
      </c>
      <c r="T402" t="s">
        <v>7448</v>
      </c>
      <c r="U402" t="s">
        <v>7449</v>
      </c>
      <c r="V402" t="s">
        <v>7450</v>
      </c>
      <c r="W402" t="s">
        <v>7451</v>
      </c>
      <c r="X402" t="s">
        <v>7452</v>
      </c>
      <c r="Y402" t="s">
        <v>7453</v>
      </c>
      <c r="Z402" t="s">
        <v>7454</v>
      </c>
      <c r="AA402" t="s">
        <v>7455</v>
      </c>
      <c r="AB402" t="s">
        <v>7456</v>
      </c>
      <c r="AC402" t="s">
        <v>7457</v>
      </c>
      <c r="AD402" t="s">
        <v>1215</v>
      </c>
      <c r="AE402" t="s">
        <v>74</v>
      </c>
      <c r="AF402" t="s">
        <v>74</v>
      </c>
      <c r="AG402">
        <v>32</v>
      </c>
      <c r="AH402">
        <v>39</v>
      </c>
      <c r="AI402">
        <v>46</v>
      </c>
      <c r="AJ402">
        <v>2</v>
      </c>
      <c r="AK402">
        <v>28</v>
      </c>
      <c r="AL402" t="s">
        <v>270</v>
      </c>
      <c r="AM402" t="s">
        <v>91</v>
      </c>
      <c r="AN402" t="s">
        <v>320</v>
      </c>
      <c r="AO402" t="s">
        <v>597</v>
      </c>
      <c r="AP402" t="s">
        <v>74</v>
      </c>
      <c r="AQ402" t="s">
        <v>74</v>
      </c>
      <c r="AR402" t="s">
        <v>599</v>
      </c>
      <c r="AS402" t="s">
        <v>600</v>
      </c>
      <c r="AT402" t="s">
        <v>3935</v>
      </c>
      <c r="AU402">
        <v>2011</v>
      </c>
      <c r="AV402">
        <v>36</v>
      </c>
      <c r="AW402" t="s">
        <v>2089</v>
      </c>
      <c r="AX402" t="s">
        <v>74</v>
      </c>
      <c r="AY402" t="s">
        <v>74</v>
      </c>
      <c r="AZ402" t="s">
        <v>74</v>
      </c>
      <c r="BA402" t="s">
        <v>74</v>
      </c>
      <c r="BB402">
        <v>277</v>
      </c>
      <c r="BC402">
        <v>287</v>
      </c>
      <c r="BD402" t="s">
        <v>74</v>
      </c>
      <c r="BE402" t="s">
        <v>7458</v>
      </c>
      <c r="BF402" t="str">
        <f>HYPERLINK("http://dx.doi.org/10.1007/s00382-009-0682-9","http://dx.doi.org/10.1007/s00382-009-0682-9")</f>
        <v>http://dx.doi.org/10.1007/s00382-009-0682-9</v>
      </c>
      <c r="BG402" t="s">
        <v>74</v>
      </c>
      <c r="BH402" t="s">
        <v>74</v>
      </c>
      <c r="BI402">
        <v>11</v>
      </c>
      <c r="BJ402" t="s">
        <v>603</v>
      </c>
      <c r="BK402" t="s">
        <v>100</v>
      </c>
      <c r="BL402" t="s">
        <v>603</v>
      </c>
      <c r="BM402" t="s">
        <v>7459</v>
      </c>
      <c r="BN402" t="s">
        <v>74</v>
      </c>
      <c r="BO402" t="s">
        <v>74</v>
      </c>
      <c r="BP402" t="s">
        <v>74</v>
      </c>
      <c r="BQ402" t="s">
        <v>74</v>
      </c>
      <c r="BR402" t="s">
        <v>103</v>
      </c>
      <c r="BS402" t="s">
        <v>7460</v>
      </c>
      <c r="BT402" t="str">
        <f>HYPERLINK("https%3A%2F%2Fwww.webofscience.com%2Fwos%2Fwoscc%2Ffull-record%2FWOS:000286492300016","View Full Record in Web of Science")</f>
        <v>View Full Record in Web of Science</v>
      </c>
    </row>
    <row r="403" spans="1:72" x14ac:dyDescent="0.15">
      <c r="A403" t="s">
        <v>72</v>
      </c>
      <c r="B403" t="s">
        <v>7461</v>
      </c>
      <c r="C403" t="s">
        <v>74</v>
      </c>
      <c r="D403" t="s">
        <v>74</v>
      </c>
      <c r="E403" t="s">
        <v>74</v>
      </c>
      <c r="F403" t="s">
        <v>7462</v>
      </c>
      <c r="G403" t="s">
        <v>74</v>
      </c>
      <c r="H403" t="s">
        <v>74</v>
      </c>
      <c r="I403" t="s">
        <v>7463</v>
      </c>
      <c r="J403" t="s">
        <v>4313</v>
      </c>
      <c r="K403" t="s">
        <v>74</v>
      </c>
      <c r="L403" t="s">
        <v>74</v>
      </c>
      <c r="M403" t="s">
        <v>78</v>
      </c>
      <c r="N403" t="s">
        <v>79</v>
      </c>
      <c r="O403" t="s">
        <v>74</v>
      </c>
      <c r="P403" t="s">
        <v>74</v>
      </c>
      <c r="Q403" t="s">
        <v>74</v>
      </c>
      <c r="R403" t="s">
        <v>74</v>
      </c>
      <c r="S403" t="s">
        <v>74</v>
      </c>
      <c r="T403" t="s">
        <v>74</v>
      </c>
      <c r="U403" t="s">
        <v>7464</v>
      </c>
      <c r="V403" t="s">
        <v>7465</v>
      </c>
      <c r="W403" t="s">
        <v>7466</v>
      </c>
      <c r="X403" t="s">
        <v>7467</v>
      </c>
      <c r="Y403" t="s">
        <v>7468</v>
      </c>
      <c r="Z403" t="s">
        <v>7469</v>
      </c>
      <c r="AA403" t="s">
        <v>7470</v>
      </c>
      <c r="AB403" t="s">
        <v>7471</v>
      </c>
      <c r="AC403" t="s">
        <v>7472</v>
      </c>
      <c r="AD403" t="s">
        <v>7473</v>
      </c>
      <c r="AE403" t="s">
        <v>7474</v>
      </c>
      <c r="AF403" t="s">
        <v>74</v>
      </c>
      <c r="AG403">
        <v>123</v>
      </c>
      <c r="AH403">
        <v>103</v>
      </c>
      <c r="AI403">
        <v>118</v>
      </c>
      <c r="AJ403">
        <v>3</v>
      </c>
      <c r="AK403">
        <v>70</v>
      </c>
      <c r="AL403" t="s">
        <v>2955</v>
      </c>
      <c r="AM403" t="s">
        <v>2956</v>
      </c>
      <c r="AN403" t="s">
        <v>2957</v>
      </c>
      <c r="AO403" t="s">
        <v>4325</v>
      </c>
      <c r="AP403" t="s">
        <v>4326</v>
      </c>
      <c r="AQ403" t="s">
        <v>74</v>
      </c>
      <c r="AR403" t="s">
        <v>4327</v>
      </c>
      <c r="AS403" t="s">
        <v>4328</v>
      </c>
      <c r="AT403" t="s">
        <v>74</v>
      </c>
      <c r="AU403">
        <v>2011</v>
      </c>
      <c r="AV403">
        <v>7</v>
      </c>
      <c r="AW403">
        <v>1</v>
      </c>
      <c r="AX403" t="s">
        <v>74</v>
      </c>
      <c r="AY403" t="s">
        <v>74</v>
      </c>
      <c r="AZ403" t="s">
        <v>74</v>
      </c>
      <c r="BA403" t="s">
        <v>74</v>
      </c>
      <c r="BB403">
        <v>47</v>
      </c>
      <c r="BC403">
        <v>61</v>
      </c>
      <c r="BD403" t="s">
        <v>74</v>
      </c>
      <c r="BE403" t="s">
        <v>7475</v>
      </c>
      <c r="BF403" t="str">
        <f>HYPERLINK("http://dx.doi.org/10.5194/cp-7-47-2011","http://dx.doi.org/10.5194/cp-7-47-2011")</f>
        <v>http://dx.doi.org/10.5194/cp-7-47-2011</v>
      </c>
      <c r="BG403" t="s">
        <v>74</v>
      </c>
      <c r="BH403" t="s">
        <v>74</v>
      </c>
      <c r="BI403">
        <v>15</v>
      </c>
      <c r="BJ403" t="s">
        <v>4330</v>
      </c>
      <c r="BK403" t="s">
        <v>100</v>
      </c>
      <c r="BL403" t="s">
        <v>4331</v>
      </c>
      <c r="BM403" t="s">
        <v>4332</v>
      </c>
      <c r="BN403" t="s">
        <v>74</v>
      </c>
      <c r="BO403" t="s">
        <v>7476</v>
      </c>
      <c r="BP403" t="s">
        <v>74</v>
      </c>
      <c r="BQ403" t="s">
        <v>74</v>
      </c>
      <c r="BR403" t="s">
        <v>103</v>
      </c>
      <c r="BS403" t="s">
        <v>7477</v>
      </c>
      <c r="BT403" t="str">
        <f>HYPERLINK("https%3A%2F%2Fwww.webofscience.com%2Fwos%2Fwoscc%2Ffull-record%2FWOS:000288992700005","View Full Record in Web of Science")</f>
        <v>View Full Record in Web of Science</v>
      </c>
    </row>
    <row r="404" spans="1:72" x14ac:dyDescent="0.15">
      <c r="A404" t="s">
        <v>72</v>
      </c>
      <c r="B404" t="s">
        <v>7478</v>
      </c>
      <c r="C404" t="s">
        <v>74</v>
      </c>
      <c r="D404" t="s">
        <v>74</v>
      </c>
      <c r="E404" t="s">
        <v>74</v>
      </c>
      <c r="F404" t="s">
        <v>7479</v>
      </c>
      <c r="G404" t="s">
        <v>74</v>
      </c>
      <c r="H404" t="s">
        <v>74</v>
      </c>
      <c r="I404" t="s">
        <v>7480</v>
      </c>
      <c r="J404" t="s">
        <v>4313</v>
      </c>
      <c r="K404" t="s">
        <v>74</v>
      </c>
      <c r="L404" t="s">
        <v>74</v>
      </c>
      <c r="M404" t="s">
        <v>78</v>
      </c>
      <c r="N404" t="s">
        <v>79</v>
      </c>
      <c r="O404" t="s">
        <v>74</v>
      </c>
      <c r="P404" t="s">
        <v>74</v>
      </c>
      <c r="Q404" t="s">
        <v>74</v>
      </c>
      <c r="R404" t="s">
        <v>74</v>
      </c>
      <c r="S404" t="s">
        <v>74</v>
      </c>
      <c r="T404" t="s">
        <v>74</v>
      </c>
      <c r="U404" t="s">
        <v>7481</v>
      </c>
      <c r="V404" t="s">
        <v>7482</v>
      </c>
      <c r="W404" t="s">
        <v>7483</v>
      </c>
      <c r="X404" t="s">
        <v>1386</v>
      </c>
      <c r="Y404" t="s">
        <v>7484</v>
      </c>
      <c r="Z404" t="s">
        <v>7485</v>
      </c>
      <c r="AA404" t="s">
        <v>7486</v>
      </c>
      <c r="AB404" t="s">
        <v>7487</v>
      </c>
      <c r="AC404" t="s">
        <v>7488</v>
      </c>
      <c r="AD404" t="s">
        <v>7489</v>
      </c>
      <c r="AE404" t="s">
        <v>7490</v>
      </c>
      <c r="AF404" t="s">
        <v>74</v>
      </c>
      <c r="AG404">
        <v>66</v>
      </c>
      <c r="AH404">
        <v>181</v>
      </c>
      <c r="AI404">
        <v>193</v>
      </c>
      <c r="AJ404">
        <v>1</v>
      </c>
      <c r="AK404">
        <v>50</v>
      </c>
      <c r="AL404" t="s">
        <v>2955</v>
      </c>
      <c r="AM404" t="s">
        <v>2956</v>
      </c>
      <c r="AN404" t="s">
        <v>2957</v>
      </c>
      <c r="AO404" t="s">
        <v>4325</v>
      </c>
      <c r="AP404" t="s">
        <v>4326</v>
      </c>
      <c r="AQ404" t="s">
        <v>74</v>
      </c>
      <c r="AR404" t="s">
        <v>4327</v>
      </c>
      <c r="AS404" t="s">
        <v>4328</v>
      </c>
      <c r="AT404" t="s">
        <v>74</v>
      </c>
      <c r="AU404">
        <v>2011</v>
      </c>
      <c r="AV404">
        <v>7</v>
      </c>
      <c r="AW404">
        <v>2</v>
      </c>
      <c r="AX404" t="s">
        <v>74</v>
      </c>
      <c r="AY404" t="s">
        <v>74</v>
      </c>
      <c r="AZ404" t="s">
        <v>74</v>
      </c>
      <c r="BA404" t="s">
        <v>74</v>
      </c>
      <c r="BB404">
        <v>361</v>
      </c>
      <c r="BC404">
        <v>380</v>
      </c>
      <c r="BD404" t="s">
        <v>74</v>
      </c>
      <c r="BE404" t="s">
        <v>7491</v>
      </c>
      <c r="BF404" t="str">
        <f>HYPERLINK("http://dx.doi.org/10.5194/cp-7-361-2011","http://dx.doi.org/10.5194/cp-7-361-2011")</f>
        <v>http://dx.doi.org/10.5194/cp-7-361-2011</v>
      </c>
      <c r="BG404" t="s">
        <v>74</v>
      </c>
      <c r="BH404" t="s">
        <v>74</v>
      </c>
      <c r="BI404">
        <v>20</v>
      </c>
      <c r="BJ404" t="s">
        <v>4330</v>
      </c>
      <c r="BK404" t="s">
        <v>100</v>
      </c>
      <c r="BL404" t="s">
        <v>4331</v>
      </c>
      <c r="BM404" t="s">
        <v>7492</v>
      </c>
      <c r="BN404" t="s">
        <v>74</v>
      </c>
      <c r="BO404" t="s">
        <v>5804</v>
      </c>
      <c r="BP404" t="s">
        <v>74</v>
      </c>
      <c r="BQ404" t="s">
        <v>74</v>
      </c>
      <c r="BR404" t="s">
        <v>103</v>
      </c>
      <c r="BS404" t="s">
        <v>7493</v>
      </c>
      <c r="BT404" t="str">
        <f>HYPERLINK("https%3A%2F%2Fwww.webofscience.com%2Fwos%2Fwoscc%2Ffull-record%2FWOS:000292247800003","View Full Record in Web of Science")</f>
        <v>View Full Record in Web of Science</v>
      </c>
    </row>
    <row r="405" spans="1:72" x14ac:dyDescent="0.15">
      <c r="A405" t="s">
        <v>72</v>
      </c>
      <c r="B405" t="s">
        <v>7494</v>
      </c>
      <c r="C405" t="s">
        <v>74</v>
      </c>
      <c r="D405" t="s">
        <v>74</v>
      </c>
      <c r="E405" t="s">
        <v>74</v>
      </c>
      <c r="F405" t="s">
        <v>7495</v>
      </c>
      <c r="G405" t="s">
        <v>74</v>
      </c>
      <c r="H405" t="s">
        <v>74</v>
      </c>
      <c r="I405" t="s">
        <v>7496</v>
      </c>
      <c r="J405" t="s">
        <v>4313</v>
      </c>
      <c r="K405" t="s">
        <v>74</v>
      </c>
      <c r="L405" t="s">
        <v>74</v>
      </c>
      <c r="M405" t="s">
        <v>78</v>
      </c>
      <c r="N405" t="s">
        <v>79</v>
      </c>
      <c r="O405" t="s">
        <v>74</v>
      </c>
      <c r="P405" t="s">
        <v>74</v>
      </c>
      <c r="Q405" t="s">
        <v>74</v>
      </c>
      <c r="R405" t="s">
        <v>74</v>
      </c>
      <c r="S405" t="s">
        <v>74</v>
      </c>
      <c r="T405" t="s">
        <v>74</v>
      </c>
      <c r="U405" t="s">
        <v>7497</v>
      </c>
      <c r="V405" t="s">
        <v>7498</v>
      </c>
      <c r="W405" t="s">
        <v>7499</v>
      </c>
      <c r="X405" t="s">
        <v>7500</v>
      </c>
      <c r="Y405" t="s">
        <v>7501</v>
      </c>
      <c r="Z405" t="s">
        <v>7502</v>
      </c>
      <c r="AA405" t="s">
        <v>7503</v>
      </c>
      <c r="AB405" t="s">
        <v>7504</v>
      </c>
      <c r="AC405" t="s">
        <v>7505</v>
      </c>
      <c r="AD405" t="s">
        <v>7506</v>
      </c>
      <c r="AE405" t="s">
        <v>7507</v>
      </c>
      <c r="AF405" t="s">
        <v>74</v>
      </c>
      <c r="AG405">
        <v>120</v>
      </c>
      <c r="AH405">
        <v>115</v>
      </c>
      <c r="AI405">
        <v>123</v>
      </c>
      <c r="AJ405">
        <v>1</v>
      </c>
      <c r="AK405">
        <v>66</v>
      </c>
      <c r="AL405" t="s">
        <v>2955</v>
      </c>
      <c r="AM405" t="s">
        <v>2956</v>
      </c>
      <c r="AN405" t="s">
        <v>2957</v>
      </c>
      <c r="AO405" t="s">
        <v>4325</v>
      </c>
      <c r="AP405" t="s">
        <v>4326</v>
      </c>
      <c r="AQ405" t="s">
        <v>74</v>
      </c>
      <c r="AR405" t="s">
        <v>4327</v>
      </c>
      <c r="AS405" t="s">
        <v>4328</v>
      </c>
      <c r="AT405" t="s">
        <v>74</v>
      </c>
      <c r="AU405">
        <v>2011</v>
      </c>
      <c r="AV405">
        <v>7</v>
      </c>
      <c r="AW405">
        <v>2</v>
      </c>
      <c r="AX405" t="s">
        <v>74</v>
      </c>
      <c r="AY405" t="s">
        <v>74</v>
      </c>
      <c r="AZ405" t="s">
        <v>74</v>
      </c>
      <c r="BA405" t="s">
        <v>74</v>
      </c>
      <c r="BB405">
        <v>397</v>
      </c>
      <c r="BC405">
        <v>423</v>
      </c>
      <c r="BD405" t="s">
        <v>74</v>
      </c>
      <c r="BE405" t="s">
        <v>7508</v>
      </c>
      <c r="BF405" t="str">
        <f>HYPERLINK("http://dx.doi.org/10.5194/cp-7-397-2011","http://dx.doi.org/10.5194/cp-7-397-2011")</f>
        <v>http://dx.doi.org/10.5194/cp-7-397-2011</v>
      </c>
      <c r="BG405" t="s">
        <v>74</v>
      </c>
      <c r="BH405" t="s">
        <v>74</v>
      </c>
      <c r="BI405">
        <v>27</v>
      </c>
      <c r="BJ405" t="s">
        <v>4330</v>
      </c>
      <c r="BK405" t="s">
        <v>100</v>
      </c>
      <c r="BL405" t="s">
        <v>4331</v>
      </c>
      <c r="BM405" t="s">
        <v>7492</v>
      </c>
      <c r="BN405" t="s">
        <v>74</v>
      </c>
      <c r="BO405" t="s">
        <v>5804</v>
      </c>
      <c r="BP405" t="s">
        <v>74</v>
      </c>
      <c r="BQ405" t="s">
        <v>74</v>
      </c>
      <c r="BR405" t="s">
        <v>103</v>
      </c>
      <c r="BS405" t="s">
        <v>7509</v>
      </c>
      <c r="BT405" t="str">
        <f>HYPERLINK("https%3A%2F%2Fwww.webofscience.com%2Fwos%2Fwoscc%2Ffull-record%2FWOS:000292247800005","View Full Record in Web of Science")</f>
        <v>View Full Record in Web of Science</v>
      </c>
    </row>
    <row r="406" spans="1:72" x14ac:dyDescent="0.15">
      <c r="A406" t="s">
        <v>72</v>
      </c>
      <c r="B406" t="s">
        <v>7510</v>
      </c>
      <c r="C406" t="s">
        <v>74</v>
      </c>
      <c r="D406" t="s">
        <v>74</v>
      </c>
      <c r="E406" t="s">
        <v>74</v>
      </c>
      <c r="F406" t="s">
        <v>7511</v>
      </c>
      <c r="G406" t="s">
        <v>74</v>
      </c>
      <c r="H406" t="s">
        <v>74</v>
      </c>
      <c r="I406" t="s">
        <v>7512</v>
      </c>
      <c r="J406" t="s">
        <v>4313</v>
      </c>
      <c r="K406" t="s">
        <v>74</v>
      </c>
      <c r="L406" t="s">
        <v>74</v>
      </c>
      <c r="M406" t="s">
        <v>78</v>
      </c>
      <c r="N406" t="s">
        <v>79</v>
      </c>
      <c r="O406" t="s">
        <v>74</v>
      </c>
      <c r="P406" t="s">
        <v>74</v>
      </c>
      <c r="Q406" t="s">
        <v>74</v>
      </c>
      <c r="R406" t="s">
        <v>74</v>
      </c>
      <c r="S406" t="s">
        <v>74</v>
      </c>
      <c r="T406" t="s">
        <v>74</v>
      </c>
      <c r="U406" t="s">
        <v>7513</v>
      </c>
      <c r="V406" t="s">
        <v>7514</v>
      </c>
      <c r="W406" t="s">
        <v>7515</v>
      </c>
      <c r="X406" t="s">
        <v>7516</v>
      </c>
      <c r="Y406" t="s">
        <v>7517</v>
      </c>
      <c r="Z406" t="s">
        <v>7518</v>
      </c>
      <c r="AA406" t="s">
        <v>7519</v>
      </c>
      <c r="AB406" t="s">
        <v>7520</v>
      </c>
      <c r="AC406" t="s">
        <v>7521</v>
      </c>
      <c r="AD406" t="s">
        <v>7522</v>
      </c>
      <c r="AE406" t="s">
        <v>7523</v>
      </c>
      <c r="AF406" t="s">
        <v>74</v>
      </c>
      <c r="AG406">
        <v>84</v>
      </c>
      <c r="AH406">
        <v>24</v>
      </c>
      <c r="AI406">
        <v>25</v>
      </c>
      <c r="AJ406">
        <v>0</v>
      </c>
      <c r="AK406">
        <v>18</v>
      </c>
      <c r="AL406" t="s">
        <v>2955</v>
      </c>
      <c r="AM406" t="s">
        <v>2956</v>
      </c>
      <c r="AN406" t="s">
        <v>2957</v>
      </c>
      <c r="AO406" t="s">
        <v>4325</v>
      </c>
      <c r="AP406" t="s">
        <v>4326</v>
      </c>
      <c r="AQ406" t="s">
        <v>74</v>
      </c>
      <c r="AR406" t="s">
        <v>4327</v>
      </c>
      <c r="AS406" t="s">
        <v>4328</v>
      </c>
      <c r="AT406" t="s">
        <v>74</v>
      </c>
      <c r="AU406">
        <v>2011</v>
      </c>
      <c r="AV406">
        <v>7</v>
      </c>
      <c r="AW406">
        <v>2</v>
      </c>
      <c r="AX406" t="s">
        <v>74</v>
      </c>
      <c r="AY406" t="s">
        <v>74</v>
      </c>
      <c r="AZ406" t="s">
        <v>74</v>
      </c>
      <c r="BA406" t="s">
        <v>74</v>
      </c>
      <c r="BB406">
        <v>437</v>
      </c>
      <c r="BC406">
        <v>450</v>
      </c>
      <c r="BD406" t="s">
        <v>74</v>
      </c>
      <c r="BE406" t="s">
        <v>7524</v>
      </c>
      <c r="BF406" t="str">
        <f>HYPERLINK("http://dx.doi.org/10.5194/cp-7-437-2011","http://dx.doi.org/10.5194/cp-7-437-2011")</f>
        <v>http://dx.doi.org/10.5194/cp-7-437-2011</v>
      </c>
      <c r="BG406" t="s">
        <v>74</v>
      </c>
      <c r="BH406" t="s">
        <v>74</v>
      </c>
      <c r="BI406">
        <v>14</v>
      </c>
      <c r="BJ406" t="s">
        <v>4330</v>
      </c>
      <c r="BK406" t="s">
        <v>100</v>
      </c>
      <c r="BL406" t="s">
        <v>4331</v>
      </c>
      <c r="BM406" t="s">
        <v>7492</v>
      </c>
      <c r="BN406" t="s">
        <v>74</v>
      </c>
      <c r="BO406" t="s">
        <v>2456</v>
      </c>
      <c r="BP406" t="s">
        <v>74</v>
      </c>
      <c r="BQ406" t="s">
        <v>74</v>
      </c>
      <c r="BR406" t="s">
        <v>103</v>
      </c>
      <c r="BS406" t="s">
        <v>7525</v>
      </c>
      <c r="BT406" t="str">
        <f>HYPERLINK("https%3A%2F%2Fwww.webofscience.com%2Fwos%2Fwoscc%2Ffull-record%2FWOS:000292247800007","View Full Record in Web of Science")</f>
        <v>View Full Record in Web of Science</v>
      </c>
    </row>
    <row r="407" spans="1:72" x14ac:dyDescent="0.15">
      <c r="A407" t="s">
        <v>72</v>
      </c>
      <c r="B407" t="s">
        <v>7526</v>
      </c>
      <c r="C407" t="s">
        <v>74</v>
      </c>
      <c r="D407" t="s">
        <v>74</v>
      </c>
      <c r="E407" t="s">
        <v>74</v>
      </c>
      <c r="F407" t="s">
        <v>7527</v>
      </c>
      <c r="G407" t="s">
        <v>74</v>
      </c>
      <c r="H407" t="s">
        <v>74</v>
      </c>
      <c r="I407" t="s">
        <v>7528</v>
      </c>
      <c r="J407" t="s">
        <v>4313</v>
      </c>
      <c r="K407" t="s">
        <v>74</v>
      </c>
      <c r="L407" t="s">
        <v>74</v>
      </c>
      <c r="M407" t="s">
        <v>78</v>
      </c>
      <c r="N407" t="s">
        <v>79</v>
      </c>
      <c r="O407" t="s">
        <v>74</v>
      </c>
      <c r="P407" t="s">
        <v>74</v>
      </c>
      <c r="Q407" t="s">
        <v>74</v>
      </c>
      <c r="R407" t="s">
        <v>74</v>
      </c>
      <c r="S407" t="s">
        <v>74</v>
      </c>
      <c r="T407" t="s">
        <v>74</v>
      </c>
      <c r="U407" t="s">
        <v>7529</v>
      </c>
      <c r="V407" t="s">
        <v>7530</v>
      </c>
      <c r="W407" t="s">
        <v>7531</v>
      </c>
      <c r="X407" t="s">
        <v>7532</v>
      </c>
      <c r="Y407" t="s">
        <v>7533</v>
      </c>
      <c r="Z407" t="s">
        <v>7534</v>
      </c>
      <c r="AA407" t="s">
        <v>7535</v>
      </c>
      <c r="AB407" t="s">
        <v>7536</v>
      </c>
      <c r="AC407" t="s">
        <v>7537</v>
      </c>
      <c r="AD407" t="s">
        <v>7537</v>
      </c>
      <c r="AE407" t="s">
        <v>7538</v>
      </c>
      <c r="AF407" t="s">
        <v>74</v>
      </c>
      <c r="AG407">
        <v>62</v>
      </c>
      <c r="AH407">
        <v>39</v>
      </c>
      <c r="AI407">
        <v>41</v>
      </c>
      <c r="AJ407">
        <v>1</v>
      </c>
      <c r="AK407">
        <v>22</v>
      </c>
      <c r="AL407" t="s">
        <v>2955</v>
      </c>
      <c r="AM407" t="s">
        <v>2956</v>
      </c>
      <c r="AN407" t="s">
        <v>2957</v>
      </c>
      <c r="AO407" t="s">
        <v>4325</v>
      </c>
      <c r="AP407" t="s">
        <v>4326</v>
      </c>
      <c r="AQ407" t="s">
        <v>74</v>
      </c>
      <c r="AR407" t="s">
        <v>4327</v>
      </c>
      <c r="AS407" t="s">
        <v>4328</v>
      </c>
      <c r="AT407" t="s">
        <v>74</v>
      </c>
      <c r="AU407">
        <v>2011</v>
      </c>
      <c r="AV407">
        <v>7</v>
      </c>
      <c r="AW407">
        <v>2</v>
      </c>
      <c r="AX407" t="s">
        <v>74</v>
      </c>
      <c r="AY407" t="s">
        <v>74</v>
      </c>
      <c r="AZ407" t="s">
        <v>74</v>
      </c>
      <c r="BA407" t="s">
        <v>74</v>
      </c>
      <c r="BB407">
        <v>473</v>
      </c>
      <c r="BC407">
        <v>486</v>
      </c>
      <c r="BD407" t="s">
        <v>74</v>
      </c>
      <c r="BE407" t="s">
        <v>7539</v>
      </c>
      <c r="BF407" t="str">
        <f>HYPERLINK("http://dx.doi.org/10.5194/cp-7-473-2011","http://dx.doi.org/10.5194/cp-7-473-2011")</f>
        <v>http://dx.doi.org/10.5194/cp-7-473-2011</v>
      </c>
      <c r="BG407" t="s">
        <v>74</v>
      </c>
      <c r="BH407" t="s">
        <v>74</v>
      </c>
      <c r="BI407">
        <v>14</v>
      </c>
      <c r="BJ407" t="s">
        <v>4330</v>
      </c>
      <c r="BK407" t="s">
        <v>100</v>
      </c>
      <c r="BL407" t="s">
        <v>4331</v>
      </c>
      <c r="BM407" t="s">
        <v>7492</v>
      </c>
      <c r="BN407" t="s">
        <v>74</v>
      </c>
      <c r="BO407" t="s">
        <v>2456</v>
      </c>
      <c r="BP407" t="s">
        <v>74</v>
      </c>
      <c r="BQ407" t="s">
        <v>74</v>
      </c>
      <c r="BR407" t="s">
        <v>103</v>
      </c>
      <c r="BS407" t="s">
        <v>7540</v>
      </c>
      <c r="BT407" t="str">
        <f>HYPERLINK("https%3A%2F%2Fwww.webofscience.com%2Fwos%2Fwoscc%2Ffull-record%2FWOS:000292247800009","View Full Record in Web of Science")</f>
        <v>View Full Record in Web of Science</v>
      </c>
    </row>
    <row r="408" spans="1:72" x14ac:dyDescent="0.15">
      <c r="A408" t="s">
        <v>72</v>
      </c>
      <c r="B408" t="s">
        <v>7541</v>
      </c>
      <c r="C408" t="s">
        <v>74</v>
      </c>
      <c r="D408" t="s">
        <v>74</v>
      </c>
      <c r="E408" t="s">
        <v>74</v>
      </c>
      <c r="F408" t="s">
        <v>7542</v>
      </c>
      <c r="G408" t="s">
        <v>74</v>
      </c>
      <c r="H408" t="s">
        <v>74</v>
      </c>
      <c r="I408" t="s">
        <v>7543</v>
      </c>
      <c r="J408" t="s">
        <v>4313</v>
      </c>
      <c r="K408" t="s">
        <v>74</v>
      </c>
      <c r="L408" t="s">
        <v>74</v>
      </c>
      <c r="M408" t="s">
        <v>78</v>
      </c>
      <c r="N408" t="s">
        <v>79</v>
      </c>
      <c r="O408" t="s">
        <v>74</v>
      </c>
      <c r="P408" t="s">
        <v>74</v>
      </c>
      <c r="Q408" t="s">
        <v>74</v>
      </c>
      <c r="R408" t="s">
        <v>74</v>
      </c>
      <c r="S408" t="s">
        <v>74</v>
      </c>
      <c r="T408" t="s">
        <v>74</v>
      </c>
      <c r="U408" t="s">
        <v>7544</v>
      </c>
      <c r="V408" t="s">
        <v>7545</v>
      </c>
      <c r="W408" t="s">
        <v>7546</v>
      </c>
      <c r="X408" t="s">
        <v>7547</v>
      </c>
      <c r="Y408" t="s">
        <v>7548</v>
      </c>
      <c r="Z408" t="s">
        <v>7549</v>
      </c>
      <c r="AA408" t="s">
        <v>7550</v>
      </c>
      <c r="AB408" t="s">
        <v>7551</v>
      </c>
      <c r="AC408" t="s">
        <v>7552</v>
      </c>
      <c r="AD408" t="s">
        <v>7553</v>
      </c>
      <c r="AE408" t="s">
        <v>7554</v>
      </c>
      <c r="AF408" t="s">
        <v>74</v>
      </c>
      <c r="AG408">
        <v>66</v>
      </c>
      <c r="AH408">
        <v>19</v>
      </c>
      <c r="AI408">
        <v>19</v>
      </c>
      <c r="AJ408">
        <v>0</v>
      </c>
      <c r="AK408">
        <v>12</v>
      </c>
      <c r="AL408" t="s">
        <v>2955</v>
      </c>
      <c r="AM408" t="s">
        <v>2956</v>
      </c>
      <c r="AN408" t="s">
        <v>2957</v>
      </c>
      <c r="AO408" t="s">
        <v>4325</v>
      </c>
      <c r="AP408" t="s">
        <v>4326</v>
      </c>
      <c r="AQ408" t="s">
        <v>74</v>
      </c>
      <c r="AR408" t="s">
        <v>4327</v>
      </c>
      <c r="AS408" t="s">
        <v>4328</v>
      </c>
      <c r="AT408" t="s">
        <v>74</v>
      </c>
      <c r="AU408">
        <v>2011</v>
      </c>
      <c r="AV408">
        <v>7</v>
      </c>
      <c r="AW408">
        <v>2</v>
      </c>
      <c r="AX408" t="s">
        <v>74</v>
      </c>
      <c r="AY408" t="s">
        <v>74</v>
      </c>
      <c r="AZ408" t="s">
        <v>74</v>
      </c>
      <c r="BA408" t="s">
        <v>74</v>
      </c>
      <c r="BB408">
        <v>591</v>
      </c>
      <c r="BC408">
        <v>602</v>
      </c>
      <c r="BD408" t="s">
        <v>74</v>
      </c>
      <c r="BE408" t="s">
        <v>7555</v>
      </c>
      <c r="BF408" t="str">
        <f>HYPERLINK("http://dx.doi.org/10.5194/cp-7-591-2011","http://dx.doi.org/10.5194/cp-7-591-2011")</f>
        <v>http://dx.doi.org/10.5194/cp-7-591-2011</v>
      </c>
      <c r="BG408" t="s">
        <v>74</v>
      </c>
      <c r="BH408" t="s">
        <v>74</v>
      </c>
      <c r="BI408">
        <v>12</v>
      </c>
      <c r="BJ408" t="s">
        <v>4330</v>
      </c>
      <c r="BK408" t="s">
        <v>100</v>
      </c>
      <c r="BL408" t="s">
        <v>4331</v>
      </c>
      <c r="BM408" t="s">
        <v>7492</v>
      </c>
      <c r="BN408" t="s">
        <v>74</v>
      </c>
      <c r="BO408" t="s">
        <v>2456</v>
      </c>
      <c r="BP408" t="s">
        <v>74</v>
      </c>
      <c r="BQ408" t="s">
        <v>74</v>
      </c>
      <c r="BR408" t="s">
        <v>103</v>
      </c>
      <c r="BS408" t="s">
        <v>7556</v>
      </c>
      <c r="BT408" t="str">
        <f>HYPERLINK("https%3A%2F%2Fwww.webofscience.com%2Fwos%2Fwoscc%2Ffull-record%2FWOS:000292247800018","View Full Record in Web of Science")</f>
        <v>View Full Record in Web of Science</v>
      </c>
    </row>
    <row r="409" spans="1:72" x14ac:dyDescent="0.15">
      <c r="A409" t="s">
        <v>72</v>
      </c>
      <c r="B409" t="s">
        <v>7557</v>
      </c>
      <c r="C409" t="s">
        <v>74</v>
      </c>
      <c r="D409" t="s">
        <v>74</v>
      </c>
      <c r="E409" t="s">
        <v>74</v>
      </c>
      <c r="F409" t="s">
        <v>7558</v>
      </c>
      <c r="G409" t="s">
        <v>74</v>
      </c>
      <c r="H409" t="s">
        <v>74</v>
      </c>
      <c r="I409" t="s">
        <v>7559</v>
      </c>
      <c r="J409" t="s">
        <v>4313</v>
      </c>
      <c r="K409" t="s">
        <v>74</v>
      </c>
      <c r="L409" t="s">
        <v>74</v>
      </c>
      <c r="M409" t="s">
        <v>78</v>
      </c>
      <c r="N409" t="s">
        <v>79</v>
      </c>
      <c r="O409" t="s">
        <v>74</v>
      </c>
      <c r="P409" t="s">
        <v>74</v>
      </c>
      <c r="Q409" t="s">
        <v>74</v>
      </c>
      <c r="R409" t="s">
        <v>74</v>
      </c>
      <c r="S409" t="s">
        <v>74</v>
      </c>
      <c r="T409" t="s">
        <v>74</v>
      </c>
      <c r="U409" t="s">
        <v>7560</v>
      </c>
      <c r="V409" t="s">
        <v>7561</v>
      </c>
      <c r="W409" t="s">
        <v>7562</v>
      </c>
      <c r="X409" t="s">
        <v>7563</v>
      </c>
      <c r="Y409" t="s">
        <v>7564</v>
      </c>
      <c r="Z409" t="s">
        <v>7565</v>
      </c>
      <c r="AA409" t="s">
        <v>7566</v>
      </c>
      <c r="AB409" t="s">
        <v>7567</v>
      </c>
      <c r="AC409" t="s">
        <v>7568</v>
      </c>
      <c r="AD409" t="s">
        <v>7569</v>
      </c>
      <c r="AE409" t="s">
        <v>7570</v>
      </c>
      <c r="AF409" t="s">
        <v>74</v>
      </c>
      <c r="AG409">
        <v>50</v>
      </c>
      <c r="AH409">
        <v>106</v>
      </c>
      <c r="AI409">
        <v>118</v>
      </c>
      <c r="AJ409">
        <v>3</v>
      </c>
      <c r="AK409">
        <v>46</v>
      </c>
      <c r="AL409" t="s">
        <v>2955</v>
      </c>
      <c r="AM409" t="s">
        <v>2956</v>
      </c>
      <c r="AN409" t="s">
        <v>2957</v>
      </c>
      <c r="AO409" t="s">
        <v>4325</v>
      </c>
      <c r="AP409" t="s">
        <v>4326</v>
      </c>
      <c r="AQ409" t="s">
        <v>74</v>
      </c>
      <c r="AR409" t="s">
        <v>4327</v>
      </c>
      <c r="AS409" t="s">
        <v>4328</v>
      </c>
      <c r="AT409" t="s">
        <v>74</v>
      </c>
      <c r="AU409">
        <v>2011</v>
      </c>
      <c r="AV409">
        <v>7</v>
      </c>
      <c r="AW409">
        <v>2</v>
      </c>
      <c r="AX409" t="s">
        <v>74</v>
      </c>
      <c r="AY409" t="s">
        <v>74</v>
      </c>
      <c r="AZ409" t="s">
        <v>74</v>
      </c>
      <c r="BA409" t="s">
        <v>74</v>
      </c>
      <c r="BB409">
        <v>671</v>
      </c>
      <c r="BC409">
        <v>683</v>
      </c>
      <c r="BD409" t="s">
        <v>74</v>
      </c>
      <c r="BE409" t="s">
        <v>7571</v>
      </c>
      <c r="BF409" t="str">
        <f>HYPERLINK("http://dx.doi.org/10.5194/cp-7-671-2011","http://dx.doi.org/10.5194/cp-7-671-2011")</f>
        <v>http://dx.doi.org/10.5194/cp-7-671-2011</v>
      </c>
      <c r="BG409" t="s">
        <v>74</v>
      </c>
      <c r="BH409" t="s">
        <v>74</v>
      </c>
      <c r="BI409">
        <v>13</v>
      </c>
      <c r="BJ409" t="s">
        <v>4330</v>
      </c>
      <c r="BK409" t="s">
        <v>100</v>
      </c>
      <c r="BL409" t="s">
        <v>4331</v>
      </c>
      <c r="BM409" t="s">
        <v>7492</v>
      </c>
      <c r="BN409" t="s">
        <v>74</v>
      </c>
      <c r="BO409" t="s">
        <v>5848</v>
      </c>
      <c r="BP409" t="s">
        <v>74</v>
      </c>
      <c r="BQ409" t="s">
        <v>74</v>
      </c>
      <c r="BR409" t="s">
        <v>103</v>
      </c>
      <c r="BS409" t="s">
        <v>7572</v>
      </c>
      <c r="BT409" t="str">
        <f>HYPERLINK("https%3A%2F%2Fwww.webofscience.com%2Fwos%2Fwoscc%2Ffull-record%2FWOS:000292247800022","View Full Record in Web of Science")</f>
        <v>View Full Record in Web of Science</v>
      </c>
    </row>
    <row r="410" spans="1:72" x14ac:dyDescent="0.15">
      <c r="A410" t="s">
        <v>72</v>
      </c>
      <c r="B410" t="s">
        <v>7573</v>
      </c>
      <c r="C410" t="s">
        <v>74</v>
      </c>
      <c r="D410" t="s">
        <v>74</v>
      </c>
      <c r="E410" t="s">
        <v>74</v>
      </c>
      <c r="F410" t="s">
        <v>7574</v>
      </c>
      <c r="G410" t="s">
        <v>74</v>
      </c>
      <c r="H410" t="s">
        <v>74</v>
      </c>
      <c r="I410" t="s">
        <v>7575</v>
      </c>
      <c r="J410" t="s">
        <v>4313</v>
      </c>
      <c r="K410" t="s">
        <v>74</v>
      </c>
      <c r="L410" t="s">
        <v>74</v>
      </c>
      <c r="M410" t="s">
        <v>78</v>
      </c>
      <c r="N410" t="s">
        <v>79</v>
      </c>
      <c r="O410" t="s">
        <v>74</v>
      </c>
      <c r="P410" t="s">
        <v>74</v>
      </c>
      <c r="Q410" t="s">
        <v>74</v>
      </c>
      <c r="R410" t="s">
        <v>74</v>
      </c>
      <c r="S410" t="s">
        <v>74</v>
      </c>
      <c r="T410" t="s">
        <v>74</v>
      </c>
      <c r="U410" t="s">
        <v>7576</v>
      </c>
      <c r="V410" t="s">
        <v>7577</v>
      </c>
      <c r="W410" t="s">
        <v>7578</v>
      </c>
      <c r="X410" t="s">
        <v>7579</v>
      </c>
      <c r="Y410" t="s">
        <v>7580</v>
      </c>
      <c r="Z410" t="s">
        <v>7565</v>
      </c>
      <c r="AA410" t="s">
        <v>7581</v>
      </c>
      <c r="AB410" t="s">
        <v>7582</v>
      </c>
      <c r="AC410" t="s">
        <v>7583</v>
      </c>
      <c r="AD410" t="s">
        <v>7584</v>
      </c>
      <c r="AE410" t="s">
        <v>7585</v>
      </c>
      <c r="AF410" t="s">
        <v>74</v>
      </c>
      <c r="AG410">
        <v>70</v>
      </c>
      <c r="AH410">
        <v>23</v>
      </c>
      <c r="AI410">
        <v>24</v>
      </c>
      <c r="AJ410">
        <v>0</v>
      </c>
      <c r="AK410">
        <v>12</v>
      </c>
      <c r="AL410" t="s">
        <v>2955</v>
      </c>
      <c r="AM410" t="s">
        <v>2956</v>
      </c>
      <c r="AN410" t="s">
        <v>2957</v>
      </c>
      <c r="AO410" t="s">
        <v>4325</v>
      </c>
      <c r="AP410" t="s">
        <v>4326</v>
      </c>
      <c r="AQ410" t="s">
        <v>74</v>
      </c>
      <c r="AR410" t="s">
        <v>4327</v>
      </c>
      <c r="AS410" t="s">
        <v>4328</v>
      </c>
      <c r="AT410" t="s">
        <v>74</v>
      </c>
      <c r="AU410">
        <v>2011</v>
      </c>
      <c r="AV410">
        <v>7</v>
      </c>
      <c r="AW410">
        <v>3</v>
      </c>
      <c r="AX410" t="s">
        <v>74</v>
      </c>
      <c r="AY410" t="s">
        <v>74</v>
      </c>
      <c r="AZ410" t="s">
        <v>74</v>
      </c>
      <c r="BA410" t="s">
        <v>74</v>
      </c>
      <c r="BB410">
        <v>707</v>
      </c>
      <c r="BC410">
        <v>721</v>
      </c>
      <c r="BD410" t="s">
        <v>74</v>
      </c>
      <c r="BE410" t="s">
        <v>7586</v>
      </c>
      <c r="BF410" t="str">
        <f>HYPERLINK("http://dx.doi.org/10.5194/cp-7-707-2011","http://dx.doi.org/10.5194/cp-7-707-2011")</f>
        <v>http://dx.doi.org/10.5194/cp-7-707-2011</v>
      </c>
      <c r="BG410" t="s">
        <v>74</v>
      </c>
      <c r="BH410" t="s">
        <v>74</v>
      </c>
      <c r="BI410">
        <v>15</v>
      </c>
      <c r="BJ410" t="s">
        <v>4330</v>
      </c>
      <c r="BK410" t="s">
        <v>100</v>
      </c>
      <c r="BL410" t="s">
        <v>4331</v>
      </c>
      <c r="BM410" t="s">
        <v>7587</v>
      </c>
      <c r="BN410" t="s">
        <v>74</v>
      </c>
      <c r="BO410" t="s">
        <v>7588</v>
      </c>
      <c r="BP410" t="s">
        <v>74</v>
      </c>
      <c r="BQ410" t="s">
        <v>74</v>
      </c>
      <c r="BR410" t="s">
        <v>103</v>
      </c>
      <c r="BS410" t="s">
        <v>7589</v>
      </c>
      <c r="BT410" t="str">
        <f>HYPERLINK("https%3A%2F%2Fwww.webofscience.com%2Fwos%2Fwoscc%2Ffull-record%2FWOS:000295356800003","View Full Record in Web of Science")</f>
        <v>View Full Record in Web of Science</v>
      </c>
    </row>
    <row r="411" spans="1:72" x14ac:dyDescent="0.15">
      <c r="A411" t="s">
        <v>72</v>
      </c>
      <c r="B411" t="s">
        <v>7590</v>
      </c>
      <c r="C411" t="s">
        <v>74</v>
      </c>
      <c r="D411" t="s">
        <v>74</v>
      </c>
      <c r="E411" t="s">
        <v>74</v>
      </c>
      <c r="F411" t="s">
        <v>7591</v>
      </c>
      <c r="G411" t="s">
        <v>74</v>
      </c>
      <c r="H411" t="s">
        <v>74</v>
      </c>
      <c r="I411" t="s">
        <v>7592</v>
      </c>
      <c r="J411" t="s">
        <v>4313</v>
      </c>
      <c r="K411" t="s">
        <v>74</v>
      </c>
      <c r="L411" t="s">
        <v>74</v>
      </c>
      <c r="M411" t="s">
        <v>78</v>
      </c>
      <c r="N411" t="s">
        <v>79</v>
      </c>
      <c r="O411" t="s">
        <v>74</v>
      </c>
      <c r="P411" t="s">
        <v>74</v>
      </c>
      <c r="Q411" t="s">
        <v>74</v>
      </c>
      <c r="R411" t="s">
        <v>74</v>
      </c>
      <c r="S411" t="s">
        <v>74</v>
      </c>
      <c r="T411" t="s">
        <v>74</v>
      </c>
      <c r="U411" t="s">
        <v>7593</v>
      </c>
      <c r="V411" t="s">
        <v>7594</v>
      </c>
      <c r="W411" t="s">
        <v>7595</v>
      </c>
      <c r="X411" t="s">
        <v>7596</v>
      </c>
      <c r="Y411" t="s">
        <v>7597</v>
      </c>
      <c r="Z411" t="s">
        <v>7598</v>
      </c>
      <c r="AA411" t="s">
        <v>7599</v>
      </c>
      <c r="AB411" t="s">
        <v>7600</v>
      </c>
      <c r="AC411" t="s">
        <v>7601</v>
      </c>
      <c r="AD411" t="s">
        <v>7602</v>
      </c>
      <c r="AE411" t="s">
        <v>7603</v>
      </c>
      <c r="AF411" t="s">
        <v>74</v>
      </c>
      <c r="AG411">
        <v>85</v>
      </c>
      <c r="AH411">
        <v>39</v>
      </c>
      <c r="AI411">
        <v>46</v>
      </c>
      <c r="AJ411">
        <v>4</v>
      </c>
      <c r="AK411">
        <v>39</v>
      </c>
      <c r="AL411" t="s">
        <v>2955</v>
      </c>
      <c r="AM411" t="s">
        <v>2956</v>
      </c>
      <c r="AN411" t="s">
        <v>2957</v>
      </c>
      <c r="AO411" t="s">
        <v>4325</v>
      </c>
      <c r="AP411" t="s">
        <v>4326</v>
      </c>
      <c r="AQ411" t="s">
        <v>74</v>
      </c>
      <c r="AR411" t="s">
        <v>4327</v>
      </c>
      <c r="AS411" t="s">
        <v>4328</v>
      </c>
      <c r="AT411" t="s">
        <v>74</v>
      </c>
      <c r="AU411">
        <v>2011</v>
      </c>
      <c r="AV411">
        <v>7</v>
      </c>
      <c r="AW411">
        <v>3</v>
      </c>
      <c r="AX411" t="s">
        <v>74</v>
      </c>
      <c r="AY411" t="s">
        <v>74</v>
      </c>
      <c r="AZ411" t="s">
        <v>74</v>
      </c>
      <c r="BA411" t="s">
        <v>74</v>
      </c>
      <c r="BB411">
        <v>801</v>
      </c>
      <c r="BC411">
        <v>813</v>
      </c>
      <c r="BD411" t="s">
        <v>74</v>
      </c>
      <c r="BE411" t="s">
        <v>7604</v>
      </c>
      <c r="BF411" t="str">
        <f>HYPERLINK("http://dx.doi.org/10.5194/cp-7-801-2011","http://dx.doi.org/10.5194/cp-7-801-2011")</f>
        <v>http://dx.doi.org/10.5194/cp-7-801-2011</v>
      </c>
      <c r="BG411" t="s">
        <v>74</v>
      </c>
      <c r="BH411" t="s">
        <v>74</v>
      </c>
      <c r="BI411">
        <v>13</v>
      </c>
      <c r="BJ411" t="s">
        <v>4330</v>
      </c>
      <c r="BK411" t="s">
        <v>100</v>
      </c>
      <c r="BL411" t="s">
        <v>4331</v>
      </c>
      <c r="BM411" t="s">
        <v>7587</v>
      </c>
      <c r="BN411" t="s">
        <v>74</v>
      </c>
      <c r="BO411" t="s">
        <v>2456</v>
      </c>
      <c r="BP411" t="s">
        <v>74</v>
      </c>
      <c r="BQ411" t="s">
        <v>74</v>
      </c>
      <c r="BR411" t="s">
        <v>103</v>
      </c>
      <c r="BS411" t="s">
        <v>7605</v>
      </c>
      <c r="BT411" t="str">
        <f>HYPERLINK("https%3A%2F%2Fwww.webofscience.com%2Fwos%2Fwoscc%2Ffull-record%2FWOS:000295356800008","View Full Record in Web of Science")</f>
        <v>View Full Record in Web of Science</v>
      </c>
    </row>
    <row r="412" spans="1:72" x14ac:dyDescent="0.15">
      <c r="A412" t="s">
        <v>72</v>
      </c>
      <c r="B412" t="s">
        <v>7606</v>
      </c>
      <c r="C412" t="s">
        <v>74</v>
      </c>
      <c r="D412" t="s">
        <v>74</v>
      </c>
      <c r="E412" t="s">
        <v>74</v>
      </c>
      <c r="F412" t="s">
        <v>7607</v>
      </c>
      <c r="G412" t="s">
        <v>74</v>
      </c>
      <c r="H412" t="s">
        <v>74</v>
      </c>
      <c r="I412" t="s">
        <v>7608</v>
      </c>
      <c r="J412" t="s">
        <v>4313</v>
      </c>
      <c r="K412" t="s">
        <v>74</v>
      </c>
      <c r="L412" t="s">
        <v>74</v>
      </c>
      <c r="M412" t="s">
        <v>78</v>
      </c>
      <c r="N412" t="s">
        <v>79</v>
      </c>
      <c r="O412" t="s">
        <v>74</v>
      </c>
      <c r="P412" t="s">
        <v>74</v>
      </c>
      <c r="Q412" t="s">
        <v>74</v>
      </c>
      <c r="R412" t="s">
        <v>74</v>
      </c>
      <c r="S412" t="s">
        <v>74</v>
      </c>
      <c r="T412" t="s">
        <v>74</v>
      </c>
      <c r="U412" t="s">
        <v>7609</v>
      </c>
      <c r="V412" t="s">
        <v>7610</v>
      </c>
      <c r="W412" t="s">
        <v>7611</v>
      </c>
      <c r="X412" t="s">
        <v>7612</v>
      </c>
      <c r="Y412" t="s">
        <v>7613</v>
      </c>
      <c r="Z412" t="s">
        <v>7614</v>
      </c>
      <c r="AA412" t="s">
        <v>7615</v>
      </c>
      <c r="AB412" t="s">
        <v>7616</v>
      </c>
      <c r="AC412" t="s">
        <v>7617</v>
      </c>
      <c r="AD412" t="s">
        <v>7618</v>
      </c>
      <c r="AE412" t="s">
        <v>7619</v>
      </c>
      <c r="AF412" t="s">
        <v>74</v>
      </c>
      <c r="AG412">
        <v>47</v>
      </c>
      <c r="AH412">
        <v>77</v>
      </c>
      <c r="AI412">
        <v>84</v>
      </c>
      <c r="AJ412">
        <v>2</v>
      </c>
      <c r="AK412">
        <v>50</v>
      </c>
      <c r="AL412" t="s">
        <v>2955</v>
      </c>
      <c r="AM412" t="s">
        <v>2956</v>
      </c>
      <c r="AN412" t="s">
        <v>2957</v>
      </c>
      <c r="AO412" t="s">
        <v>4325</v>
      </c>
      <c r="AP412" t="s">
        <v>74</v>
      </c>
      <c r="AQ412" t="s">
        <v>74</v>
      </c>
      <c r="AR412" t="s">
        <v>4327</v>
      </c>
      <c r="AS412" t="s">
        <v>4328</v>
      </c>
      <c r="AT412" t="s">
        <v>74</v>
      </c>
      <c r="AU412">
        <v>2011</v>
      </c>
      <c r="AV412">
        <v>7</v>
      </c>
      <c r="AW412">
        <v>3</v>
      </c>
      <c r="AX412" t="s">
        <v>74</v>
      </c>
      <c r="AY412" t="s">
        <v>74</v>
      </c>
      <c r="AZ412" t="s">
        <v>74</v>
      </c>
      <c r="BA412" t="s">
        <v>74</v>
      </c>
      <c r="BB412">
        <v>869</v>
      </c>
      <c r="BC412">
        <v>880</v>
      </c>
      <c r="BD412" t="s">
        <v>74</v>
      </c>
      <c r="BE412" t="s">
        <v>7620</v>
      </c>
      <c r="BF412" t="str">
        <f>HYPERLINK("http://dx.doi.org/10.5194/cp-7-869-2011","http://dx.doi.org/10.5194/cp-7-869-2011")</f>
        <v>http://dx.doi.org/10.5194/cp-7-869-2011</v>
      </c>
      <c r="BG412" t="s">
        <v>74</v>
      </c>
      <c r="BH412" t="s">
        <v>74</v>
      </c>
      <c r="BI412">
        <v>12</v>
      </c>
      <c r="BJ412" t="s">
        <v>4330</v>
      </c>
      <c r="BK412" t="s">
        <v>100</v>
      </c>
      <c r="BL412" t="s">
        <v>4331</v>
      </c>
      <c r="BM412" t="s">
        <v>7587</v>
      </c>
      <c r="BN412" t="s">
        <v>74</v>
      </c>
      <c r="BO412" t="s">
        <v>5804</v>
      </c>
      <c r="BP412" t="s">
        <v>74</v>
      </c>
      <c r="BQ412" t="s">
        <v>74</v>
      </c>
      <c r="BR412" t="s">
        <v>103</v>
      </c>
      <c r="BS412" t="s">
        <v>7621</v>
      </c>
      <c r="BT412" t="str">
        <f>HYPERLINK("https%3A%2F%2Fwww.webofscience.com%2Fwos%2Fwoscc%2Ffull-record%2FWOS:000295356800012","View Full Record in Web of Science")</f>
        <v>View Full Record in Web of Science</v>
      </c>
    </row>
    <row r="413" spans="1:72" x14ac:dyDescent="0.15">
      <c r="A413" t="s">
        <v>72</v>
      </c>
      <c r="B413" t="s">
        <v>7622</v>
      </c>
      <c r="C413" t="s">
        <v>74</v>
      </c>
      <c r="D413" t="s">
        <v>74</v>
      </c>
      <c r="E413" t="s">
        <v>74</v>
      </c>
      <c r="F413" t="s">
        <v>7623</v>
      </c>
      <c r="G413" t="s">
        <v>74</v>
      </c>
      <c r="H413" t="s">
        <v>74</v>
      </c>
      <c r="I413" t="s">
        <v>7624</v>
      </c>
      <c r="J413" t="s">
        <v>4313</v>
      </c>
      <c r="K413" t="s">
        <v>74</v>
      </c>
      <c r="L413" t="s">
        <v>74</v>
      </c>
      <c r="M413" t="s">
        <v>78</v>
      </c>
      <c r="N413" t="s">
        <v>79</v>
      </c>
      <c r="O413" t="s">
        <v>74</v>
      </c>
      <c r="P413" t="s">
        <v>74</v>
      </c>
      <c r="Q413" t="s">
        <v>74</v>
      </c>
      <c r="R413" t="s">
        <v>74</v>
      </c>
      <c r="S413" t="s">
        <v>74</v>
      </c>
      <c r="T413" t="s">
        <v>74</v>
      </c>
      <c r="U413" t="s">
        <v>7625</v>
      </c>
      <c r="V413" t="s">
        <v>7626</v>
      </c>
      <c r="W413" t="s">
        <v>7627</v>
      </c>
      <c r="X413" t="s">
        <v>7628</v>
      </c>
      <c r="Y413" t="s">
        <v>7629</v>
      </c>
      <c r="Z413" t="s">
        <v>7630</v>
      </c>
      <c r="AA413" t="s">
        <v>7631</v>
      </c>
      <c r="AB413" t="s">
        <v>7632</v>
      </c>
      <c r="AC413" t="s">
        <v>7633</v>
      </c>
      <c r="AD413" t="s">
        <v>7634</v>
      </c>
      <c r="AE413" t="s">
        <v>7635</v>
      </c>
      <c r="AF413" t="s">
        <v>74</v>
      </c>
      <c r="AG413">
        <v>68</v>
      </c>
      <c r="AH413">
        <v>19</v>
      </c>
      <c r="AI413">
        <v>20</v>
      </c>
      <c r="AJ413">
        <v>0</v>
      </c>
      <c r="AK413">
        <v>10</v>
      </c>
      <c r="AL413" t="s">
        <v>2955</v>
      </c>
      <c r="AM413" t="s">
        <v>2956</v>
      </c>
      <c r="AN413" t="s">
        <v>2957</v>
      </c>
      <c r="AO413" t="s">
        <v>4325</v>
      </c>
      <c r="AP413" t="s">
        <v>4326</v>
      </c>
      <c r="AQ413" t="s">
        <v>74</v>
      </c>
      <c r="AR413" t="s">
        <v>4327</v>
      </c>
      <c r="AS413" t="s">
        <v>4328</v>
      </c>
      <c r="AT413" t="s">
        <v>74</v>
      </c>
      <c r="AU413">
        <v>2011</v>
      </c>
      <c r="AV413">
        <v>7</v>
      </c>
      <c r="AW413">
        <v>3</v>
      </c>
      <c r="AX413" t="s">
        <v>74</v>
      </c>
      <c r="AY413" t="s">
        <v>74</v>
      </c>
      <c r="AZ413" t="s">
        <v>74</v>
      </c>
      <c r="BA413" t="s">
        <v>74</v>
      </c>
      <c r="BB413">
        <v>957</v>
      </c>
      <c r="BC413">
        <v>974</v>
      </c>
      <c r="BD413" t="s">
        <v>74</v>
      </c>
      <c r="BE413" t="s">
        <v>7636</v>
      </c>
      <c r="BF413" t="str">
        <f>HYPERLINK("http://dx.doi.org/10.5194/cp-7-957-2011","http://dx.doi.org/10.5194/cp-7-957-2011")</f>
        <v>http://dx.doi.org/10.5194/cp-7-957-2011</v>
      </c>
      <c r="BG413" t="s">
        <v>74</v>
      </c>
      <c r="BH413" t="s">
        <v>74</v>
      </c>
      <c r="BI413">
        <v>18</v>
      </c>
      <c r="BJ413" t="s">
        <v>4330</v>
      </c>
      <c r="BK413" t="s">
        <v>100</v>
      </c>
      <c r="BL413" t="s">
        <v>4331</v>
      </c>
      <c r="BM413" t="s">
        <v>7587</v>
      </c>
      <c r="BN413" t="s">
        <v>74</v>
      </c>
      <c r="BO413" t="s">
        <v>2456</v>
      </c>
      <c r="BP413" t="s">
        <v>74</v>
      </c>
      <c r="BQ413" t="s">
        <v>74</v>
      </c>
      <c r="BR413" t="s">
        <v>103</v>
      </c>
      <c r="BS413" t="s">
        <v>7637</v>
      </c>
      <c r="BT413" t="str">
        <f>HYPERLINK("https%3A%2F%2Fwww.webofscience.com%2Fwos%2Fwoscc%2Ffull-record%2FWOS:000295356800018","View Full Record in Web of Science")</f>
        <v>View Full Record in Web of Science</v>
      </c>
    </row>
    <row r="414" spans="1:72" x14ac:dyDescent="0.15">
      <c r="A414" t="s">
        <v>72</v>
      </c>
      <c r="B414" t="s">
        <v>7638</v>
      </c>
      <c r="C414" t="s">
        <v>74</v>
      </c>
      <c r="D414" t="s">
        <v>74</v>
      </c>
      <c r="E414" t="s">
        <v>74</v>
      </c>
      <c r="F414" t="s">
        <v>7639</v>
      </c>
      <c r="G414" t="s">
        <v>74</v>
      </c>
      <c r="H414" t="s">
        <v>74</v>
      </c>
      <c r="I414" t="s">
        <v>7640</v>
      </c>
      <c r="J414" t="s">
        <v>4313</v>
      </c>
      <c r="K414" t="s">
        <v>74</v>
      </c>
      <c r="L414" t="s">
        <v>74</v>
      </c>
      <c r="M414" t="s">
        <v>78</v>
      </c>
      <c r="N414" t="s">
        <v>79</v>
      </c>
      <c r="O414" t="s">
        <v>74</v>
      </c>
      <c r="P414" t="s">
        <v>74</v>
      </c>
      <c r="Q414" t="s">
        <v>74</v>
      </c>
      <c r="R414" t="s">
        <v>74</v>
      </c>
      <c r="S414" t="s">
        <v>74</v>
      </c>
      <c r="T414" t="s">
        <v>74</v>
      </c>
      <c r="U414" t="s">
        <v>7641</v>
      </c>
      <c r="V414" t="s">
        <v>7642</v>
      </c>
      <c r="W414" t="s">
        <v>7643</v>
      </c>
      <c r="X414" t="s">
        <v>7644</v>
      </c>
      <c r="Y414" t="s">
        <v>7645</v>
      </c>
      <c r="Z414" t="s">
        <v>7502</v>
      </c>
      <c r="AA414" t="s">
        <v>7646</v>
      </c>
      <c r="AB414" t="s">
        <v>7647</v>
      </c>
      <c r="AC414" t="s">
        <v>7648</v>
      </c>
      <c r="AD414" t="s">
        <v>7649</v>
      </c>
      <c r="AE414" t="s">
        <v>7650</v>
      </c>
      <c r="AF414" t="s">
        <v>74</v>
      </c>
      <c r="AG414">
        <v>66</v>
      </c>
      <c r="AH414">
        <v>50</v>
      </c>
      <c r="AI414">
        <v>51</v>
      </c>
      <c r="AJ414">
        <v>1</v>
      </c>
      <c r="AK414">
        <v>32</v>
      </c>
      <c r="AL414" t="s">
        <v>2955</v>
      </c>
      <c r="AM414" t="s">
        <v>2956</v>
      </c>
      <c r="AN414" t="s">
        <v>2957</v>
      </c>
      <c r="AO414" t="s">
        <v>4325</v>
      </c>
      <c r="AP414" t="s">
        <v>4326</v>
      </c>
      <c r="AQ414" t="s">
        <v>74</v>
      </c>
      <c r="AR414" t="s">
        <v>4327</v>
      </c>
      <c r="AS414" t="s">
        <v>4328</v>
      </c>
      <c r="AT414" t="s">
        <v>74</v>
      </c>
      <c r="AU414">
        <v>2011</v>
      </c>
      <c r="AV414">
        <v>7</v>
      </c>
      <c r="AW414">
        <v>3</v>
      </c>
      <c r="AX414" t="s">
        <v>74</v>
      </c>
      <c r="AY414" t="s">
        <v>74</v>
      </c>
      <c r="AZ414" t="s">
        <v>74</v>
      </c>
      <c r="BA414" t="s">
        <v>74</v>
      </c>
      <c r="BB414">
        <v>1041</v>
      </c>
      <c r="BC414">
        <v>1059</v>
      </c>
      <c r="BD414" t="s">
        <v>74</v>
      </c>
      <c r="BE414" t="s">
        <v>7651</v>
      </c>
      <c r="BF414" t="str">
        <f>HYPERLINK("http://dx.doi.org/10.5194/cp-7-1041-2011","http://dx.doi.org/10.5194/cp-7-1041-2011")</f>
        <v>http://dx.doi.org/10.5194/cp-7-1041-2011</v>
      </c>
      <c r="BG414" t="s">
        <v>74</v>
      </c>
      <c r="BH414" t="s">
        <v>74</v>
      </c>
      <c r="BI414">
        <v>19</v>
      </c>
      <c r="BJ414" t="s">
        <v>4330</v>
      </c>
      <c r="BK414" t="s">
        <v>100</v>
      </c>
      <c r="BL414" t="s">
        <v>4331</v>
      </c>
      <c r="BM414" t="s">
        <v>7587</v>
      </c>
      <c r="BN414" t="s">
        <v>74</v>
      </c>
      <c r="BO414" t="s">
        <v>5804</v>
      </c>
      <c r="BP414" t="s">
        <v>74</v>
      </c>
      <c r="BQ414" t="s">
        <v>74</v>
      </c>
      <c r="BR414" t="s">
        <v>103</v>
      </c>
      <c r="BS414" t="s">
        <v>7652</v>
      </c>
      <c r="BT414" t="str">
        <f>HYPERLINK("https%3A%2F%2Fwww.webofscience.com%2Fwos%2Fwoscc%2Ffull-record%2FWOS:000295356800025","View Full Record in Web of Science")</f>
        <v>View Full Record in Web of Science</v>
      </c>
    </row>
    <row r="415" spans="1:72" x14ac:dyDescent="0.15">
      <c r="A415" t="s">
        <v>72</v>
      </c>
      <c r="B415" t="s">
        <v>7653</v>
      </c>
      <c r="C415" t="s">
        <v>74</v>
      </c>
      <c r="D415" t="s">
        <v>74</v>
      </c>
      <c r="E415" t="s">
        <v>74</v>
      </c>
      <c r="F415" t="s">
        <v>7654</v>
      </c>
      <c r="G415" t="s">
        <v>74</v>
      </c>
      <c r="H415" t="s">
        <v>74</v>
      </c>
      <c r="I415" t="s">
        <v>7655</v>
      </c>
      <c r="J415" t="s">
        <v>7656</v>
      </c>
      <c r="K415" t="s">
        <v>74</v>
      </c>
      <c r="L415" t="s">
        <v>74</v>
      </c>
      <c r="M415" t="s">
        <v>78</v>
      </c>
      <c r="N415" t="s">
        <v>79</v>
      </c>
      <c r="O415" t="s">
        <v>74</v>
      </c>
      <c r="P415" t="s">
        <v>74</v>
      </c>
      <c r="Q415" t="s">
        <v>74</v>
      </c>
      <c r="R415" t="s">
        <v>74</v>
      </c>
      <c r="S415" t="s">
        <v>74</v>
      </c>
      <c r="T415" t="s">
        <v>7657</v>
      </c>
      <c r="U415" t="s">
        <v>74</v>
      </c>
      <c r="V415" t="s">
        <v>7658</v>
      </c>
      <c r="W415" t="s">
        <v>7659</v>
      </c>
      <c r="X415" t="s">
        <v>7660</v>
      </c>
      <c r="Y415" t="s">
        <v>7661</v>
      </c>
      <c r="Z415" t="s">
        <v>7662</v>
      </c>
      <c r="AA415" t="s">
        <v>7663</v>
      </c>
      <c r="AB415" t="s">
        <v>74</v>
      </c>
      <c r="AC415" t="s">
        <v>7664</v>
      </c>
      <c r="AD415" t="s">
        <v>7665</v>
      </c>
      <c r="AE415" t="s">
        <v>7666</v>
      </c>
      <c r="AF415" t="s">
        <v>74</v>
      </c>
      <c r="AG415">
        <v>30</v>
      </c>
      <c r="AH415">
        <v>20</v>
      </c>
      <c r="AI415">
        <v>28</v>
      </c>
      <c r="AJ415">
        <v>0</v>
      </c>
      <c r="AK415">
        <v>3</v>
      </c>
      <c r="AL415" t="s">
        <v>7667</v>
      </c>
      <c r="AM415" t="s">
        <v>913</v>
      </c>
      <c r="AN415" t="s">
        <v>7668</v>
      </c>
      <c r="AO415" t="s">
        <v>7669</v>
      </c>
      <c r="AP415" t="s">
        <v>74</v>
      </c>
      <c r="AQ415" t="s">
        <v>74</v>
      </c>
      <c r="AR415" t="s">
        <v>7670</v>
      </c>
      <c r="AS415" t="s">
        <v>7671</v>
      </c>
      <c r="AT415" t="s">
        <v>74</v>
      </c>
      <c r="AU415">
        <v>2011</v>
      </c>
      <c r="AV415">
        <v>5</v>
      </c>
      <c r="AW415" t="s">
        <v>74</v>
      </c>
      <c r="AX415" t="s">
        <v>74</v>
      </c>
      <c r="AY415" t="s">
        <v>74</v>
      </c>
      <c r="AZ415" t="s">
        <v>74</v>
      </c>
      <c r="BA415" t="s">
        <v>74</v>
      </c>
      <c r="BB415">
        <v>27</v>
      </c>
      <c r="BC415">
        <v>35</v>
      </c>
      <c r="BD415" t="s">
        <v>74</v>
      </c>
      <c r="BE415" t="s">
        <v>7672</v>
      </c>
      <c r="BF415" t="str">
        <f>HYPERLINK("http://dx.doi.org/10.4137/CCRPM.S6882","http://dx.doi.org/10.4137/CCRPM.S6882")</f>
        <v>http://dx.doi.org/10.4137/CCRPM.S6882</v>
      </c>
      <c r="BG415" t="s">
        <v>74</v>
      </c>
      <c r="BH415" t="s">
        <v>74</v>
      </c>
      <c r="BI415">
        <v>9</v>
      </c>
      <c r="BJ415" t="s">
        <v>7673</v>
      </c>
      <c r="BK415" t="s">
        <v>6441</v>
      </c>
      <c r="BL415" t="s">
        <v>7673</v>
      </c>
      <c r="BM415" t="s">
        <v>7674</v>
      </c>
      <c r="BN415">
        <v>21695160</v>
      </c>
      <c r="BO415" t="s">
        <v>2181</v>
      </c>
      <c r="BP415" t="s">
        <v>74</v>
      </c>
      <c r="BQ415" t="s">
        <v>74</v>
      </c>
      <c r="BR415" t="s">
        <v>103</v>
      </c>
      <c r="BS415" t="s">
        <v>7675</v>
      </c>
      <c r="BT415" t="str">
        <f>HYPERLINK("https%3A%2F%2Fwww.webofscience.com%2Fwos%2Fwoscc%2Ffull-record%2FWOS:000215723800004","View Full Record in Web of Science")</f>
        <v>View Full Record in Web of Science</v>
      </c>
    </row>
    <row r="416" spans="1:72" x14ac:dyDescent="0.15">
      <c r="A416" t="s">
        <v>72</v>
      </c>
      <c r="B416" t="s">
        <v>7676</v>
      </c>
      <c r="C416" t="s">
        <v>74</v>
      </c>
      <c r="D416" t="s">
        <v>74</v>
      </c>
      <c r="E416" t="s">
        <v>74</v>
      </c>
      <c r="F416" t="s">
        <v>7677</v>
      </c>
      <c r="G416" t="s">
        <v>74</v>
      </c>
      <c r="H416" t="s">
        <v>74</v>
      </c>
      <c r="I416" t="s">
        <v>7678</v>
      </c>
      <c r="J416" t="s">
        <v>7679</v>
      </c>
      <c r="K416" t="s">
        <v>74</v>
      </c>
      <c r="L416" t="s">
        <v>74</v>
      </c>
      <c r="M416" t="s">
        <v>78</v>
      </c>
      <c r="N416" t="s">
        <v>79</v>
      </c>
      <c r="O416" t="s">
        <v>74</v>
      </c>
      <c r="P416" t="s">
        <v>74</v>
      </c>
      <c r="Q416" t="s">
        <v>74</v>
      </c>
      <c r="R416" t="s">
        <v>74</v>
      </c>
      <c r="S416" t="s">
        <v>74</v>
      </c>
      <c r="T416" t="s">
        <v>7680</v>
      </c>
      <c r="U416" t="s">
        <v>7681</v>
      </c>
      <c r="V416" t="s">
        <v>7682</v>
      </c>
      <c r="W416" t="s">
        <v>7683</v>
      </c>
      <c r="X416" t="s">
        <v>7684</v>
      </c>
      <c r="Y416" t="s">
        <v>7685</v>
      </c>
      <c r="Z416" t="s">
        <v>7686</v>
      </c>
      <c r="AA416" t="s">
        <v>74</v>
      </c>
      <c r="AB416" t="s">
        <v>7687</v>
      </c>
      <c r="AC416" t="s">
        <v>7688</v>
      </c>
      <c r="AD416" t="s">
        <v>7689</v>
      </c>
      <c r="AE416" t="s">
        <v>7690</v>
      </c>
      <c r="AF416" t="s">
        <v>74</v>
      </c>
      <c r="AG416">
        <v>17</v>
      </c>
      <c r="AH416">
        <v>0</v>
      </c>
      <c r="AI416">
        <v>0</v>
      </c>
      <c r="AJ416">
        <v>0</v>
      </c>
      <c r="AK416">
        <v>1</v>
      </c>
      <c r="AL416" t="s">
        <v>7691</v>
      </c>
      <c r="AM416" t="s">
        <v>7692</v>
      </c>
      <c r="AN416" t="s">
        <v>7693</v>
      </c>
      <c r="AO416" t="s">
        <v>7694</v>
      </c>
      <c r="AP416" t="s">
        <v>74</v>
      </c>
      <c r="AQ416" t="s">
        <v>74</v>
      </c>
      <c r="AR416" t="s">
        <v>7695</v>
      </c>
      <c r="AS416" t="s">
        <v>7696</v>
      </c>
      <c r="AT416" t="s">
        <v>74</v>
      </c>
      <c r="AU416">
        <v>2011</v>
      </c>
      <c r="AV416">
        <v>64</v>
      </c>
      <c r="AW416">
        <v>10</v>
      </c>
      <c r="AX416" t="s">
        <v>74</v>
      </c>
      <c r="AY416" t="s">
        <v>74</v>
      </c>
      <c r="AZ416" t="s">
        <v>74</v>
      </c>
      <c r="BA416" t="s">
        <v>74</v>
      </c>
      <c r="BB416">
        <v>1461</v>
      </c>
      <c r="BC416">
        <v>1468</v>
      </c>
      <c r="BD416" t="s">
        <v>74</v>
      </c>
      <c r="BE416" t="s">
        <v>74</v>
      </c>
      <c r="BF416" t="s">
        <v>74</v>
      </c>
      <c r="BG416" t="s">
        <v>74</v>
      </c>
      <c r="BH416" t="s">
        <v>74</v>
      </c>
      <c r="BI416">
        <v>8</v>
      </c>
      <c r="BJ416" t="s">
        <v>1669</v>
      </c>
      <c r="BK416" t="s">
        <v>100</v>
      </c>
      <c r="BL416" t="s">
        <v>1670</v>
      </c>
      <c r="BM416" t="s">
        <v>7697</v>
      </c>
      <c r="BN416" t="s">
        <v>74</v>
      </c>
      <c r="BO416" t="s">
        <v>74</v>
      </c>
      <c r="BP416" t="s">
        <v>74</v>
      </c>
      <c r="BQ416" t="s">
        <v>74</v>
      </c>
      <c r="BR416" t="s">
        <v>103</v>
      </c>
      <c r="BS416" t="s">
        <v>7698</v>
      </c>
      <c r="BT416" t="str">
        <f>HYPERLINK("https%3A%2F%2Fwww.webofscience.com%2Fwos%2Fwoscc%2Ffull-record%2FWOS:000297381300012","View Full Record in Web of Science")</f>
        <v>View Full Record in Web of Science</v>
      </c>
    </row>
    <row r="417" spans="1:72" x14ac:dyDescent="0.15">
      <c r="A417" t="s">
        <v>72</v>
      </c>
      <c r="B417" t="s">
        <v>7699</v>
      </c>
      <c r="C417" t="s">
        <v>74</v>
      </c>
      <c r="D417" t="s">
        <v>74</v>
      </c>
      <c r="E417" t="s">
        <v>74</v>
      </c>
      <c r="F417" t="s">
        <v>7700</v>
      </c>
      <c r="G417" t="s">
        <v>74</v>
      </c>
      <c r="H417" t="s">
        <v>74</v>
      </c>
      <c r="I417" t="s">
        <v>7701</v>
      </c>
      <c r="J417" t="s">
        <v>3286</v>
      </c>
      <c r="K417" t="s">
        <v>74</v>
      </c>
      <c r="L417" t="s">
        <v>74</v>
      </c>
      <c r="M417" t="s">
        <v>78</v>
      </c>
      <c r="N417" t="s">
        <v>79</v>
      </c>
      <c r="O417" t="s">
        <v>74</v>
      </c>
      <c r="P417" t="s">
        <v>74</v>
      </c>
      <c r="Q417" t="s">
        <v>74</v>
      </c>
      <c r="R417" t="s">
        <v>74</v>
      </c>
      <c r="S417" t="s">
        <v>74</v>
      </c>
      <c r="T417" t="s">
        <v>74</v>
      </c>
      <c r="U417" t="s">
        <v>7702</v>
      </c>
      <c r="V417" t="s">
        <v>7703</v>
      </c>
      <c r="W417" t="s">
        <v>7704</v>
      </c>
      <c r="X417" t="s">
        <v>7705</v>
      </c>
      <c r="Y417" t="s">
        <v>7706</v>
      </c>
      <c r="Z417" t="s">
        <v>7707</v>
      </c>
      <c r="AA417" t="s">
        <v>7708</v>
      </c>
      <c r="AB417" t="s">
        <v>7709</v>
      </c>
      <c r="AC417" t="s">
        <v>7710</v>
      </c>
      <c r="AD417" t="s">
        <v>7711</v>
      </c>
      <c r="AE417" t="s">
        <v>7712</v>
      </c>
      <c r="AF417" t="s">
        <v>74</v>
      </c>
      <c r="AG417">
        <v>57</v>
      </c>
      <c r="AH417">
        <v>29</v>
      </c>
      <c r="AI417">
        <v>35</v>
      </c>
      <c r="AJ417">
        <v>0</v>
      </c>
      <c r="AK417">
        <v>6</v>
      </c>
      <c r="AL417" t="s">
        <v>2955</v>
      </c>
      <c r="AM417" t="s">
        <v>2956</v>
      </c>
      <c r="AN417" t="s">
        <v>2957</v>
      </c>
      <c r="AO417" t="s">
        <v>3297</v>
      </c>
      <c r="AP417" t="s">
        <v>74</v>
      </c>
      <c r="AQ417" t="s">
        <v>74</v>
      </c>
      <c r="AR417" t="s">
        <v>3286</v>
      </c>
      <c r="AS417" t="s">
        <v>3299</v>
      </c>
      <c r="AT417" t="s">
        <v>74</v>
      </c>
      <c r="AU417">
        <v>2011</v>
      </c>
      <c r="AV417">
        <v>5</v>
      </c>
      <c r="AW417">
        <v>1</v>
      </c>
      <c r="AX417" t="s">
        <v>74</v>
      </c>
      <c r="AY417" t="s">
        <v>74</v>
      </c>
      <c r="AZ417" t="s">
        <v>74</v>
      </c>
      <c r="BA417" t="s">
        <v>74</v>
      </c>
      <c r="BB417">
        <v>95</v>
      </c>
      <c r="BC417">
        <v>106</v>
      </c>
      <c r="BD417" t="s">
        <v>74</v>
      </c>
      <c r="BE417" t="s">
        <v>7713</v>
      </c>
      <c r="BF417" t="str">
        <f>HYPERLINK("http://dx.doi.org/10.5194/tc-5-95-2011","http://dx.doi.org/10.5194/tc-5-95-2011")</f>
        <v>http://dx.doi.org/10.5194/tc-5-95-2011</v>
      </c>
      <c r="BG417" t="s">
        <v>74</v>
      </c>
      <c r="BH417" t="s">
        <v>74</v>
      </c>
      <c r="BI417">
        <v>12</v>
      </c>
      <c r="BJ417" t="s">
        <v>222</v>
      </c>
      <c r="BK417" t="s">
        <v>100</v>
      </c>
      <c r="BL417" t="s">
        <v>223</v>
      </c>
      <c r="BM417" t="s">
        <v>7714</v>
      </c>
      <c r="BN417" t="s">
        <v>74</v>
      </c>
      <c r="BO417" t="s">
        <v>5804</v>
      </c>
      <c r="BP417" t="s">
        <v>74</v>
      </c>
      <c r="BQ417" t="s">
        <v>74</v>
      </c>
      <c r="BR417" t="s">
        <v>103</v>
      </c>
      <c r="BS417" t="s">
        <v>7715</v>
      </c>
      <c r="BT417" t="str">
        <f>HYPERLINK("https%3A%2F%2Fwww.webofscience.com%2Fwos%2Fwoscc%2Ffull-record%2FWOS:000288988500008","View Full Record in Web of Science")</f>
        <v>View Full Record in Web of Science</v>
      </c>
    </row>
    <row r="418" spans="1:72" x14ac:dyDescent="0.15">
      <c r="A418" t="s">
        <v>72</v>
      </c>
      <c r="B418" t="s">
        <v>7716</v>
      </c>
      <c r="C418" t="s">
        <v>74</v>
      </c>
      <c r="D418" t="s">
        <v>74</v>
      </c>
      <c r="E418" t="s">
        <v>74</v>
      </c>
      <c r="F418" t="s">
        <v>7717</v>
      </c>
      <c r="G418" t="s">
        <v>74</v>
      </c>
      <c r="H418" t="s">
        <v>74</v>
      </c>
      <c r="I418" t="s">
        <v>7718</v>
      </c>
      <c r="J418" t="s">
        <v>3286</v>
      </c>
      <c r="K418" t="s">
        <v>74</v>
      </c>
      <c r="L418" t="s">
        <v>74</v>
      </c>
      <c r="M418" t="s">
        <v>78</v>
      </c>
      <c r="N418" t="s">
        <v>79</v>
      </c>
      <c r="O418" t="s">
        <v>74</v>
      </c>
      <c r="P418" t="s">
        <v>74</v>
      </c>
      <c r="Q418" t="s">
        <v>74</v>
      </c>
      <c r="R418" t="s">
        <v>74</v>
      </c>
      <c r="S418" t="s">
        <v>74</v>
      </c>
      <c r="T418" t="s">
        <v>74</v>
      </c>
      <c r="U418" t="s">
        <v>7719</v>
      </c>
      <c r="V418" t="s">
        <v>7720</v>
      </c>
      <c r="W418" t="s">
        <v>7721</v>
      </c>
      <c r="X418" t="s">
        <v>5325</v>
      </c>
      <c r="Y418" t="s">
        <v>5326</v>
      </c>
      <c r="Z418" t="s">
        <v>7722</v>
      </c>
      <c r="AA418" t="s">
        <v>74</v>
      </c>
      <c r="AB418" t="s">
        <v>74</v>
      </c>
      <c r="AC418" t="s">
        <v>7723</v>
      </c>
      <c r="AD418" t="s">
        <v>7724</v>
      </c>
      <c r="AE418" t="s">
        <v>7725</v>
      </c>
      <c r="AF418" t="s">
        <v>74</v>
      </c>
      <c r="AG418">
        <v>27</v>
      </c>
      <c r="AH418">
        <v>92</v>
      </c>
      <c r="AI418">
        <v>101</v>
      </c>
      <c r="AJ418">
        <v>0</v>
      </c>
      <c r="AK418">
        <v>26</v>
      </c>
      <c r="AL418" t="s">
        <v>2955</v>
      </c>
      <c r="AM418" t="s">
        <v>2956</v>
      </c>
      <c r="AN418" t="s">
        <v>2957</v>
      </c>
      <c r="AO418" t="s">
        <v>3297</v>
      </c>
      <c r="AP418" t="s">
        <v>3298</v>
      </c>
      <c r="AQ418" t="s">
        <v>74</v>
      </c>
      <c r="AR418" t="s">
        <v>3286</v>
      </c>
      <c r="AS418" t="s">
        <v>3299</v>
      </c>
      <c r="AT418" t="s">
        <v>74</v>
      </c>
      <c r="AU418">
        <v>2011</v>
      </c>
      <c r="AV418">
        <v>5</v>
      </c>
      <c r="AW418">
        <v>1</v>
      </c>
      <c r="AX418" t="s">
        <v>74</v>
      </c>
      <c r="AY418" t="s">
        <v>74</v>
      </c>
      <c r="AZ418" t="s">
        <v>74</v>
      </c>
      <c r="BA418" t="s">
        <v>74</v>
      </c>
      <c r="BB418">
        <v>125</v>
      </c>
      <c r="BC418">
        <v>134</v>
      </c>
      <c r="BD418" t="s">
        <v>74</v>
      </c>
      <c r="BE418" t="s">
        <v>7726</v>
      </c>
      <c r="BF418" t="str">
        <f>HYPERLINK("http://dx.doi.org/10.5194/tc-5-125-2011","http://dx.doi.org/10.5194/tc-5-125-2011")</f>
        <v>http://dx.doi.org/10.5194/tc-5-125-2011</v>
      </c>
      <c r="BG418" t="s">
        <v>74</v>
      </c>
      <c r="BH418" t="s">
        <v>74</v>
      </c>
      <c r="BI418">
        <v>10</v>
      </c>
      <c r="BJ418" t="s">
        <v>222</v>
      </c>
      <c r="BK418" t="s">
        <v>100</v>
      </c>
      <c r="BL418" t="s">
        <v>223</v>
      </c>
      <c r="BM418" t="s">
        <v>7714</v>
      </c>
      <c r="BN418" t="s">
        <v>74</v>
      </c>
      <c r="BO418" t="s">
        <v>5804</v>
      </c>
      <c r="BP418" t="s">
        <v>74</v>
      </c>
      <c r="BQ418" t="s">
        <v>74</v>
      </c>
      <c r="BR418" t="s">
        <v>103</v>
      </c>
      <c r="BS418" t="s">
        <v>7727</v>
      </c>
      <c r="BT418" t="str">
        <f>HYPERLINK("https%3A%2F%2Fwww.webofscience.com%2Fwos%2Fwoscc%2Ffull-record%2FWOS:000288988500010","View Full Record in Web of Science")</f>
        <v>View Full Record in Web of Science</v>
      </c>
    </row>
    <row r="419" spans="1:72" x14ac:dyDescent="0.15">
      <c r="A419" t="s">
        <v>72</v>
      </c>
      <c r="B419" t="s">
        <v>7728</v>
      </c>
      <c r="C419" t="s">
        <v>74</v>
      </c>
      <c r="D419" t="s">
        <v>74</v>
      </c>
      <c r="E419" t="s">
        <v>74</v>
      </c>
      <c r="F419" t="s">
        <v>7729</v>
      </c>
      <c r="G419" t="s">
        <v>74</v>
      </c>
      <c r="H419" t="s">
        <v>74</v>
      </c>
      <c r="I419" t="s">
        <v>7730</v>
      </c>
      <c r="J419" t="s">
        <v>3286</v>
      </c>
      <c r="K419" t="s">
        <v>74</v>
      </c>
      <c r="L419" t="s">
        <v>74</v>
      </c>
      <c r="M419" t="s">
        <v>78</v>
      </c>
      <c r="N419" t="s">
        <v>79</v>
      </c>
      <c r="O419" t="s">
        <v>74</v>
      </c>
      <c r="P419" t="s">
        <v>74</v>
      </c>
      <c r="Q419" t="s">
        <v>74</v>
      </c>
      <c r="R419" t="s">
        <v>74</v>
      </c>
      <c r="S419" t="s">
        <v>74</v>
      </c>
      <c r="T419" t="s">
        <v>74</v>
      </c>
      <c r="U419" t="s">
        <v>7731</v>
      </c>
      <c r="V419" t="s">
        <v>7732</v>
      </c>
      <c r="W419" t="s">
        <v>7733</v>
      </c>
      <c r="X419" t="s">
        <v>1386</v>
      </c>
      <c r="Y419" t="s">
        <v>7734</v>
      </c>
      <c r="Z419" t="s">
        <v>7735</v>
      </c>
      <c r="AA419" t="s">
        <v>7736</v>
      </c>
      <c r="AB419" t="s">
        <v>7737</v>
      </c>
      <c r="AC419" t="s">
        <v>7738</v>
      </c>
      <c r="AD419" t="s">
        <v>6569</v>
      </c>
      <c r="AE419" t="s">
        <v>7739</v>
      </c>
      <c r="AF419" t="s">
        <v>74</v>
      </c>
      <c r="AG419">
        <v>44</v>
      </c>
      <c r="AH419">
        <v>62</v>
      </c>
      <c r="AI419">
        <v>64</v>
      </c>
      <c r="AJ419">
        <v>0</v>
      </c>
      <c r="AK419">
        <v>16</v>
      </c>
      <c r="AL419" t="s">
        <v>2955</v>
      </c>
      <c r="AM419" t="s">
        <v>2956</v>
      </c>
      <c r="AN419" t="s">
        <v>2957</v>
      </c>
      <c r="AO419" t="s">
        <v>3297</v>
      </c>
      <c r="AP419" t="s">
        <v>3298</v>
      </c>
      <c r="AQ419" t="s">
        <v>74</v>
      </c>
      <c r="AR419" t="s">
        <v>3286</v>
      </c>
      <c r="AS419" t="s">
        <v>3299</v>
      </c>
      <c r="AT419" t="s">
        <v>74</v>
      </c>
      <c r="AU419">
        <v>2011</v>
      </c>
      <c r="AV419">
        <v>5</v>
      </c>
      <c r="AW419">
        <v>1</v>
      </c>
      <c r="AX419" t="s">
        <v>74</v>
      </c>
      <c r="AY419" t="s">
        <v>74</v>
      </c>
      <c r="AZ419" t="s">
        <v>74</v>
      </c>
      <c r="BA419" t="s">
        <v>74</v>
      </c>
      <c r="BB419">
        <v>259</v>
      </c>
      <c r="BC419">
        <v>270</v>
      </c>
      <c r="BD419" t="s">
        <v>74</v>
      </c>
      <c r="BE419" t="s">
        <v>7740</v>
      </c>
      <c r="BF419" t="str">
        <f>HYPERLINK("http://dx.doi.org/10.5194/tc-5-259-2011","http://dx.doi.org/10.5194/tc-5-259-2011")</f>
        <v>http://dx.doi.org/10.5194/tc-5-259-2011</v>
      </c>
      <c r="BG419" t="s">
        <v>74</v>
      </c>
      <c r="BH419" t="s">
        <v>74</v>
      </c>
      <c r="BI419">
        <v>12</v>
      </c>
      <c r="BJ419" t="s">
        <v>222</v>
      </c>
      <c r="BK419" t="s">
        <v>100</v>
      </c>
      <c r="BL419" t="s">
        <v>223</v>
      </c>
      <c r="BM419" t="s">
        <v>7714</v>
      </c>
      <c r="BN419" t="s">
        <v>74</v>
      </c>
      <c r="BO419" t="s">
        <v>7741</v>
      </c>
      <c r="BP419" t="s">
        <v>74</v>
      </c>
      <c r="BQ419" t="s">
        <v>74</v>
      </c>
      <c r="BR419" t="s">
        <v>103</v>
      </c>
      <c r="BS419" t="s">
        <v>7742</v>
      </c>
      <c r="BT419" t="str">
        <f>HYPERLINK("https%3A%2F%2Fwww.webofscience.com%2Fwos%2Fwoscc%2Ffull-record%2FWOS:000288988500020","View Full Record in Web of Science")</f>
        <v>View Full Record in Web of Science</v>
      </c>
    </row>
    <row r="420" spans="1:72" x14ac:dyDescent="0.15">
      <c r="A420" t="s">
        <v>72</v>
      </c>
      <c r="B420" t="s">
        <v>7743</v>
      </c>
      <c r="C420" t="s">
        <v>74</v>
      </c>
      <c r="D420" t="s">
        <v>74</v>
      </c>
      <c r="E420" t="s">
        <v>74</v>
      </c>
      <c r="F420" t="s">
        <v>7744</v>
      </c>
      <c r="G420" t="s">
        <v>74</v>
      </c>
      <c r="H420" t="s">
        <v>74</v>
      </c>
      <c r="I420" t="s">
        <v>7745</v>
      </c>
      <c r="J420" t="s">
        <v>3286</v>
      </c>
      <c r="K420" t="s">
        <v>74</v>
      </c>
      <c r="L420" t="s">
        <v>74</v>
      </c>
      <c r="M420" t="s">
        <v>78</v>
      </c>
      <c r="N420" t="s">
        <v>79</v>
      </c>
      <c r="O420" t="s">
        <v>74</v>
      </c>
      <c r="P420" t="s">
        <v>74</v>
      </c>
      <c r="Q420" t="s">
        <v>74</v>
      </c>
      <c r="R420" t="s">
        <v>74</v>
      </c>
      <c r="S420" t="s">
        <v>74</v>
      </c>
      <c r="T420" t="s">
        <v>74</v>
      </c>
      <c r="U420" t="s">
        <v>7746</v>
      </c>
      <c r="V420" t="s">
        <v>7747</v>
      </c>
      <c r="W420" t="s">
        <v>7748</v>
      </c>
      <c r="X420" t="s">
        <v>7749</v>
      </c>
      <c r="Y420" t="s">
        <v>7750</v>
      </c>
      <c r="Z420" t="s">
        <v>7751</v>
      </c>
      <c r="AA420" t="s">
        <v>7752</v>
      </c>
      <c r="AB420" t="s">
        <v>7753</v>
      </c>
      <c r="AC420" t="s">
        <v>7754</v>
      </c>
      <c r="AD420" t="s">
        <v>7755</v>
      </c>
      <c r="AE420" t="s">
        <v>7756</v>
      </c>
      <c r="AF420" t="s">
        <v>74</v>
      </c>
      <c r="AG420">
        <v>49</v>
      </c>
      <c r="AH420">
        <v>13</v>
      </c>
      <c r="AI420">
        <v>17</v>
      </c>
      <c r="AJ420">
        <v>0</v>
      </c>
      <c r="AK420">
        <v>11</v>
      </c>
      <c r="AL420" t="s">
        <v>2955</v>
      </c>
      <c r="AM420" t="s">
        <v>2956</v>
      </c>
      <c r="AN420" t="s">
        <v>2957</v>
      </c>
      <c r="AO420" t="s">
        <v>3297</v>
      </c>
      <c r="AP420" t="s">
        <v>74</v>
      </c>
      <c r="AQ420" t="s">
        <v>74</v>
      </c>
      <c r="AR420" t="s">
        <v>3286</v>
      </c>
      <c r="AS420" t="s">
        <v>3299</v>
      </c>
      <c r="AT420" t="s">
        <v>74</v>
      </c>
      <c r="AU420">
        <v>2011</v>
      </c>
      <c r="AV420">
        <v>5</v>
      </c>
      <c r="AW420">
        <v>2</v>
      </c>
      <c r="AX420" t="s">
        <v>74</v>
      </c>
      <c r="AY420" t="s">
        <v>74</v>
      </c>
      <c r="AZ420" t="s">
        <v>74</v>
      </c>
      <c r="BA420" t="s">
        <v>74</v>
      </c>
      <c r="BB420">
        <v>391</v>
      </c>
      <c r="BC420">
        <v>404</v>
      </c>
      <c r="BD420" t="s">
        <v>74</v>
      </c>
      <c r="BE420" t="s">
        <v>7757</v>
      </c>
      <c r="BF420" t="str">
        <f>HYPERLINK("http://dx.doi.org/10.5194/tc-5-391-2011","http://dx.doi.org/10.5194/tc-5-391-2011")</f>
        <v>http://dx.doi.org/10.5194/tc-5-391-2011</v>
      </c>
      <c r="BG420" t="s">
        <v>74</v>
      </c>
      <c r="BH420" t="s">
        <v>74</v>
      </c>
      <c r="BI420">
        <v>14</v>
      </c>
      <c r="BJ420" t="s">
        <v>222</v>
      </c>
      <c r="BK420" t="s">
        <v>100</v>
      </c>
      <c r="BL420" t="s">
        <v>223</v>
      </c>
      <c r="BM420" t="s">
        <v>7758</v>
      </c>
      <c r="BN420" t="s">
        <v>74</v>
      </c>
      <c r="BO420" t="s">
        <v>7759</v>
      </c>
      <c r="BP420" t="s">
        <v>74</v>
      </c>
      <c r="BQ420" t="s">
        <v>74</v>
      </c>
      <c r="BR420" t="s">
        <v>103</v>
      </c>
      <c r="BS420" t="s">
        <v>7760</v>
      </c>
      <c r="BT420" t="str">
        <f>HYPERLINK("https%3A%2F%2Fwww.webofscience.com%2Fwos%2Fwoscc%2Ffull-record%2FWOS:000292242500007","View Full Record in Web of Science")</f>
        <v>View Full Record in Web of Science</v>
      </c>
    </row>
    <row r="421" spans="1:72" x14ac:dyDescent="0.15">
      <c r="A421" t="s">
        <v>72</v>
      </c>
      <c r="B421" t="s">
        <v>7761</v>
      </c>
      <c r="C421" t="s">
        <v>74</v>
      </c>
      <c r="D421" t="s">
        <v>74</v>
      </c>
      <c r="E421" t="s">
        <v>74</v>
      </c>
      <c r="F421" t="s">
        <v>7762</v>
      </c>
      <c r="G421" t="s">
        <v>74</v>
      </c>
      <c r="H421" t="s">
        <v>74</v>
      </c>
      <c r="I421" t="s">
        <v>7763</v>
      </c>
      <c r="J421" t="s">
        <v>3286</v>
      </c>
      <c r="K421" t="s">
        <v>74</v>
      </c>
      <c r="L421" t="s">
        <v>74</v>
      </c>
      <c r="M421" t="s">
        <v>78</v>
      </c>
      <c r="N421" t="s">
        <v>79</v>
      </c>
      <c r="O421" t="s">
        <v>74</v>
      </c>
      <c r="P421" t="s">
        <v>74</v>
      </c>
      <c r="Q421" t="s">
        <v>74</v>
      </c>
      <c r="R421" t="s">
        <v>74</v>
      </c>
      <c r="S421" t="s">
        <v>74</v>
      </c>
      <c r="T421" t="s">
        <v>74</v>
      </c>
      <c r="U421" t="s">
        <v>7764</v>
      </c>
      <c r="V421" t="s">
        <v>7765</v>
      </c>
      <c r="W421" t="s">
        <v>7766</v>
      </c>
      <c r="X421" t="s">
        <v>7767</v>
      </c>
      <c r="Y421" t="s">
        <v>7768</v>
      </c>
      <c r="Z421" t="s">
        <v>7769</v>
      </c>
      <c r="AA421" t="s">
        <v>7770</v>
      </c>
      <c r="AB421" t="s">
        <v>7771</v>
      </c>
      <c r="AC421" t="s">
        <v>7772</v>
      </c>
      <c r="AD421" t="s">
        <v>7773</v>
      </c>
      <c r="AE421" t="s">
        <v>7774</v>
      </c>
      <c r="AF421" t="s">
        <v>74</v>
      </c>
      <c r="AG421">
        <v>23</v>
      </c>
      <c r="AH421">
        <v>31</v>
      </c>
      <c r="AI421">
        <v>31</v>
      </c>
      <c r="AJ421">
        <v>0</v>
      </c>
      <c r="AK421">
        <v>10</v>
      </c>
      <c r="AL421" t="s">
        <v>2955</v>
      </c>
      <c r="AM421" t="s">
        <v>2956</v>
      </c>
      <c r="AN421" t="s">
        <v>2957</v>
      </c>
      <c r="AO421" t="s">
        <v>3297</v>
      </c>
      <c r="AP421" t="s">
        <v>3298</v>
      </c>
      <c r="AQ421" t="s">
        <v>74</v>
      </c>
      <c r="AR421" t="s">
        <v>3286</v>
      </c>
      <c r="AS421" t="s">
        <v>3299</v>
      </c>
      <c r="AT421" t="s">
        <v>74</v>
      </c>
      <c r="AU421">
        <v>2011</v>
      </c>
      <c r="AV421">
        <v>5</v>
      </c>
      <c r="AW421">
        <v>3</v>
      </c>
      <c r="AX421" t="s">
        <v>74</v>
      </c>
      <c r="AY421" t="s">
        <v>74</v>
      </c>
      <c r="AZ421" t="s">
        <v>74</v>
      </c>
      <c r="BA421" t="s">
        <v>74</v>
      </c>
      <c r="BB421">
        <v>551</v>
      </c>
      <c r="BC421">
        <v>560</v>
      </c>
      <c r="BD421" t="s">
        <v>74</v>
      </c>
      <c r="BE421" t="s">
        <v>7775</v>
      </c>
      <c r="BF421" t="str">
        <f>HYPERLINK("http://dx.doi.org/10.5194/tc-5-551-2011","http://dx.doi.org/10.5194/tc-5-551-2011")</f>
        <v>http://dx.doi.org/10.5194/tc-5-551-2011</v>
      </c>
      <c r="BG421" t="s">
        <v>74</v>
      </c>
      <c r="BH421" t="s">
        <v>74</v>
      </c>
      <c r="BI421">
        <v>10</v>
      </c>
      <c r="BJ421" t="s">
        <v>222</v>
      </c>
      <c r="BK421" t="s">
        <v>100</v>
      </c>
      <c r="BL421" t="s">
        <v>223</v>
      </c>
      <c r="BM421" t="s">
        <v>3301</v>
      </c>
      <c r="BN421" t="s">
        <v>74</v>
      </c>
      <c r="BO421" t="s">
        <v>6771</v>
      </c>
      <c r="BP421" t="s">
        <v>74</v>
      </c>
      <c r="BQ421" t="s">
        <v>74</v>
      </c>
      <c r="BR421" t="s">
        <v>103</v>
      </c>
      <c r="BS421" t="s">
        <v>7776</v>
      </c>
      <c r="BT421" t="str">
        <f>HYPERLINK("https%3A%2F%2Fwww.webofscience.com%2Fwos%2Fwoscc%2Ffull-record%2FWOS:000295377900003","View Full Record in Web of Science")</f>
        <v>View Full Record in Web of Science</v>
      </c>
    </row>
    <row r="422" spans="1:72" x14ac:dyDescent="0.15">
      <c r="A422" t="s">
        <v>72</v>
      </c>
      <c r="B422" t="s">
        <v>7777</v>
      </c>
      <c r="C422" t="s">
        <v>74</v>
      </c>
      <c r="D422" t="s">
        <v>74</v>
      </c>
      <c r="E422" t="s">
        <v>74</v>
      </c>
      <c r="F422" t="s">
        <v>7778</v>
      </c>
      <c r="G422" t="s">
        <v>74</v>
      </c>
      <c r="H422" t="s">
        <v>74</v>
      </c>
      <c r="I422" t="s">
        <v>7779</v>
      </c>
      <c r="J422" t="s">
        <v>3286</v>
      </c>
      <c r="K422" t="s">
        <v>74</v>
      </c>
      <c r="L422" t="s">
        <v>74</v>
      </c>
      <c r="M422" t="s">
        <v>78</v>
      </c>
      <c r="N422" t="s">
        <v>79</v>
      </c>
      <c r="O422" t="s">
        <v>74</v>
      </c>
      <c r="P422" t="s">
        <v>74</v>
      </c>
      <c r="Q422" t="s">
        <v>74</v>
      </c>
      <c r="R422" t="s">
        <v>74</v>
      </c>
      <c r="S422" t="s">
        <v>74</v>
      </c>
      <c r="T422" t="s">
        <v>74</v>
      </c>
      <c r="U422" t="s">
        <v>7780</v>
      </c>
      <c r="V422" t="s">
        <v>7781</v>
      </c>
      <c r="W422" t="s">
        <v>7782</v>
      </c>
      <c r="X422" t="s">
        <v>7783</v>
      </c>
      <c r="Y422" t="s">
        <v>7784</v>
      </c>
      <c r="Z422" t="s">
        <v>7785</v>
      </c>
      <c r="AA422" t="s">
        <v>7786</v>
      </c>
      <c r="AB422" t="s">
        <v>7787</v>
      </c>
      <c r="AC422" t="s">
        <v>7788</v>
      </c>
      <c r="AD422" t="s">
        <v>7789</v>
      </c>
      <c r="AE422" t="s">
        <v>7790</v>
      </c>
      <c r="AF422" t="s">
        <v>74</v>
      </c>
      <c r="AG422">
        <v>33</v>
      </c>
      <c r="AH422">
        <v>7</v>
      </c>
      <c r="AI422">
        <v>8</v>
      </c>
      <c r="AJ422">
        <v>1</v>
      </c>
      <c r="AK422">
        <v>27</v>
      </c>
      <c r="AL422" t="s">
        <v>2955</v>
      </c>
      <c r="AM422" t="s">
        <v>2956</v>
      </c>
      <c r="AN422" t="s">
        <v>2957</v>
      </c>
      <c r="AO422" t="s">
        <v>3297</v>
      </c>
      <c r="AP422" t="s">
        <v>3298</v>
      </c>
      <c r="AQ422" t="s">
        <v>74</v>
      </c>
      <c r="AR422" t="s">
        <v>3286</v>
      </c>
      <c r="AS422" t="s">
        <v>3299</v>
      </c>
      <c r="AT422" t="s">
        <v>74</v>
      </c>
      <c r="AU422">
        <v>2011</v>
      </c>
      <c r="AV422">
        <v>5</v>
      </c>
      <c r="AW422">
        <v>3</v>
      </c>
      <c r="AX422" t="s">
        <v>74</v>
      </c>
      <c r="AY422" t="s">
        <v>74</v>
      </c>
      <c r="AZ422" t="s">
        <v>74</v>
      </c>
      <c r="BA422" t="s">
        <v>74</v>
      </c>
      <c r="BB422">
        <v>561</v>
      </c>
      <c r="BC422">
        <v>567</v>
      </c>
      <c r="BD422" t="s">
        <v>74</v>
      </c>
      <c r="BE422" t="s">
        <v>7791</v>
      </c>
      <c r="BF422" t="str">
        <f>HYPERLINK("http://dx.doi.org/10.5194/tc-5-561-2011","http://dx.doi.org/10.5194/tc-5-561-2011")</f>
        <v>http://dx.doi.org/10.5194/tc-5-561-2011</v>
      </c>
      <c r="BG422" t="s">
        <v>74</v>
      </c>
      <c r="BH422" t="s">
        <v>74</v>
      </c>
      <c r="BI422">
        <v>7</v>
      </c>
      <c r="BJ422" t="s">
        <v>222</v>
      </c>
      <c r="BK422" t="s">
        <v>100</v>
      </c>
      <c r="BL422" t="s">
        <v>223</v>
      </c>
      <c r="BM422" t="s">
        <v>3301</v>
      </c>
      <c r="BN422" t="s">
        <v>74</v>
      </c>
      <c r="BO422" t="s">
        <v>3703</v>
      </c>
      <c r="BP422" t="s">
        <v>74</v>
      </c>
      <c r="BQ422" t="s">
        <v>74</v>
      </c>
      <c r="BR422" t="s">
        <v>103</v>
      </c>
      <c r="BS422" t="s">
        <v>7792</v>
      </c>
      <c r="BT422" t="str">
        <f>HYPERLINK("https%3A%2F%2Fwww.webofscience.com%2Fwos%2Fwoscc%2Ffull-record%2FWOS:000295377900004","View Full Record in Web of Science")</f>
        <v>View Full Record in Web of Science</v>
      </c>
    </row>
    <row r="423" spans="1:72" x14ac:dyDescent="0.15">
      <c r="A423" t="s">
        <v>72</v>
      </c>
      <c r="B423" t="s">
        <v>7793</v>
      </c>
      <c r="C423" t="s">
        <v>74</v>
      </c>
      <c r="D423" t="s">
        <v>74</v>
      </c>
      <c r="E423" t="s">
        <v>74</v>
      </c>
      <c r="F423" t="s">
        <v>7794</v>
      </c>
      <c r="G423" t="s">
        <v>74</v>
      </c>
      <c r="H423" t="s">
        <v>74</v>
      </c>
      <c r="I423" t="s">
        <v>7795</v>
      </c>
      <c r="J423" t="s">
        <v>3286</v>
      </c>
      <c r="K423" t="s">
        <v>74</v>
      </c>
      <c r="L423" t="s">
        <v>74</v>
      </c>
      <c r="M423" t="s">
        <v>78</v>
      </c>
      <c r="N423" t="s">
        <v>79</v>
      </c>
      <c r="O423" t="s">
        <v>74</v>
      </c>
      <c r="P423" t="s">
        <v>74</v>
      </c>
      <c r="Q423" t="s">
        <v>74</v>
      </c>
      <c r="R423" t="s">
        <v>74</v>
      </c>
      <c r="S423" t="s">
        <v>74</v>
      </c>
      <c r="T423" t="s">
        <v>74</v>
      </c>
      <c r="U423" t="s">
        <v>7796</v>
      </c>
      <c r="V423" t="s">
        <v>7797</v>
      </c>
      <c r="W423" t="s">
        <v>7798</v>
      </c>
      <c r="X423" t="s">
        <v>7799</v>
      </c>
      <c r="Y423" t="s">
        <v>7800</v>
      </c>
      <c r="Z423" t="s">
        <v>7801</v>
      </c>
      <c r="AA423" t="s">
        <v>7802</v>
      </c>
      <c r="AB423" t="s">
        <v>7803</v>
      </c>
      <c r="AC423" t="s">
        <v>7804</v>
      </c>
      <c r="AD423" t="s">
        <v>7805</v>
      </c>
      <c r="AE423" t="s">
        <v>7806</v>
      </c>
      <c r="AF423" t="s">
        <v>74</v>
      </c>
      <c r="AG423">
        <v>35</v>
      </c>
      <c r="AH423">
        <v>182</v>
      </c>
      <c r="AI423">
        <v>203</v>
      </c>
      <c r="AJ423">
        <v>0</v>
      </c>
      <c r="AK423">
        <v>39</v>
      </c>
      <c r="AL423" t="s">
        <v>2955</v>
      </c>
      <c r="AM423" t="s">
        <v>2956</v>
      </c>
      <c r="AN423" t="s">
        <v>2957</v>
      </c>
      <c r="AO423" t="s">
        <v>3297</v>
      </c>
      <c r="AP423" t="s">
        <v>74</v>
      </c>
      <c r="AQ423" t="s">
        <v>74</v>
      </c>
      <c r="AR423" t="s">
        <v>3286</v>
      </c>
      <c r="AS423" t="s">
        <v>3299</v>
      </c>
      <c r="AT423" t="s">
        <v>74</v>
      </c>
      <c r="AU423">
        <v>2011</v>
      </c>
      <c r="AV423">
        <v>5</v>
      </c>
      <c r="AW423">
        <v>3</v>
      </c>
      <c r="AX423" t="s">
        <v>74</v>
      </c>
      <c r="AY423" t="s">
        <v>74</v>
      </c>
      <c r="AZ423" t="s">
        <v>74</v>
      </c>
      <c r="BA423" t="s">
        <v>74</v>
      </c>
      <c r="BB423">
        <v>569</v>
      </c>
      <c r="BC423">
        <v>588</v>
      </c>
      <c r="BD423" t="s">
        <v>74</v>
      </c>
      <c r="BE423" t="s">
        <v>7807</v>
      </c>
      <c r="BF423" t="str">
        <f>HYPERLINK("http://dx.doi.org/10.5194/tc-5-569-2011","http://dx.doi.org/10.5194/tc-5-569-2011")</f>
        <v>http://dx.doi.org/10.5194/tc-5-569-2011</v>
      </c>
      <c r="BG423" t="s">
        <v>74</v>
      </c>
      <c r="BH423" t="s">
        <v>74</v>
      </c>
      <c r="BI423">
        <v>20</v>
      </c>
      <c r="BJ423" t="s">
        <v>222</v>
      </c>
      <c r="BK423" t="s">
        <v>100</v>
      </c>
      <c r="BL423" t="s">
        <v>223</v>
      </c>
      <c r="BM423" t="s">
        <v>3301</v>
      </c>
      <c r="BN423" t="s">
        <v>74</v>
      </c>
      <c r="BO423" t="s">
        <v>6771</v>
      </c>
      <c r="BP423" t="s">
        <v>74</v>
      </c>
      <c r="BQ423" t="s">
        <v>74</v>
      </c>
      <c r="BR423" t="s">
        <v>103</v>
      </c>
      <c r="BS423" t="s">
        <v>7808</v>
      </c>
      <c r="BT423" t="str">
        <f>HYPERLINK("https%3A%2F%2Fwww.webofscience.com%2Fwos%2Fwoscc%2Ffull-record%2FWOS:000295377900005","View Full Record in Web of Science")</f>
        <v>View Full Record in Web of Science</v>
      </c>
    </row>
    <row r="424" spans="1:72" x14ac:dyDescent="0.15">
      <c r="A424" t="s">
        <v>72</v>
      </c>
      <c r="B424" t="s">
        <v>7809</v>
      </c>
      <c r="C424" t="s">
        <v>74</v>
      </c>
      <c r="D424" t="s">
        <v>74</v>
      </c>
      <c r="E424" t="s">
        <v>74</v>
      </c>
      <c r="F424" t="s">
        <v>7810</v>
      </c>
      <c r="G424" t="s">
        <v>74</v>
      </c>
      <c r="H424" t="s">
        <v>74</v>
      </c>
      <c r="I424" t="s">
        <v>7811</v>
      </c>
      <c r="J424" t="s">
        <v>3286</v>
      </c>
      <c r="K424" t="s">
        <v>74</v>
      </c>
      <c r="L424" t="s">
        <v>74</v>
      </c>
      <c r="M424" t="s">
        <v>78</v>
      </c>
      <c r="N424" t="s">
        <v>79</v>
      </c>
      <c r="O424" t="s">
        <v>74</v>
      </c>
      <c r="P424" t="s">
        <v>74</v>
      </c>
      <c r="Q424" t="s">
        <v>74</v>
      </c>
      <c r="R424" t="s">
        <v>74</v>
      </c>
      <c r="S424" t="s">
        <v>74</v>
      </c>
      <c r="T424" t="s">
        <v>74</v>
      </c>
      <c r="U424" t="s">
        <v>7812</v>
      </c>
      <c r="V424" t="s">
        <v>7813</v>
      </c>
      <c r="W424" t="s">
        <v>7814</v>
      </c>
      <c r="X424" t="s">
        <v>7815</v>
      </c>
      <c r="Y424" t="s">
        <v>7816</v>
      </c>
      <c r="Z424" t="s">
        <v>7817</v>
      </c>
      <c r="AA424" t="s">
        <v>7818</v>
      </c>
      <c r="AB424" t="s">
        <v>7819</v>
      </c>
      <c r="AC424" t="s">
        <v>7820</v>
      </c>
      <c r="AD424" t="s">
        <v>7821</v>
      </c>
      <c r="AE424" t="s">
        <v>7822</v>
      </c>
      <c r="AF424" t="s">
        <v>74</v>
      </c>
      <c r="AG424">
        <v>51</v>
      </c>
      <c r="AH424">
        <v>60</v>
      </c>
      <c r="AI424">
        <v>63</v>
      </c>
      <c r="AJ424">
        <v>0</v>
      </c>
      <c r="AK424">
        <v>15</v>
      </c>
      <c r="AL424" t="s">
        <v>2955</v>
      </c>
      <c r="AM424" t="s">
        <v>2956</v>
      </c>
      <c r="AN424" t="s">
        <v>2957</v>
      </c>
      <c r="AO424" t="s">
        <v>3297</v>
      </c>
      <c r="AP424" t="s">
        <v>3298</v>
      </c>
      <c r="AQ424" t="s">
        <v>74</v>
      </c>
      <c r="AR424" t="s">
        <v>3286</v>
      </c>
      <c r="AS424" t="s">
        <v>3299</v>
      </c>
      <c r="AT424" t="s">
        <v>74</v>
      </c>
      <c r="AU424">
        <v>2011</v>
      </c>
      <c r="AV424">
        <v>5</v>
      </c>
      <c r="AW424">
        <v>3</v>
      </c>
      <c r="AX424" t="s">
        <v>74</v>
      </c>
      <c r="AY424" t="s">
        <v>74</v>
      </c>
      <c r="AZ424" t="s">
        <v>74</v>
      </c>
      <c r="BA424" t="s">
        <v>74</v>
      </c>
      <c r="BB424">
        <v>687</v>
      </c>
      <c r="BC424">
        <v>699</v>
      </c>
      <c r="BD424" t="s">
        <v>74</v>
      </c>
      <c r="BE424" t="s">
        <v>7823</v>
      </c>
      <c r="BF424" t="str">
        <f>HYPERLINK("http://dx.doi.org/10.5194/tc-5-687-2011","http://dx.doi.org/10.5194/tc-5-687-2011")</f>
        <v>http://dx.doi.org/10.5194/tc-5-687-2011</v>
      </c>
      <c r="BG424" t="s">
        <v>74</v>
      </c>
      <c r="BH424" t="s">
        <v>74</v>
      </c>
      <c r="BI424">
        <v>13</v>
      </c>
      <c r="BJ424" t="s">
        <v>222</v>
      </c>
      <c r="BK424" t="s">
        <v>100</v>
      </c>
      <c r="BL424" t="s">
        <v>223</v>
      </c>
      <c r="BM424" t="s">
        <v>3301</v>
      </c>
      <c r="BN424" t="s">
        <v>74</v>
      </c>
      <c r="BO424" t="s">
        <v>7824</v>
      </c>
      <c r="BP424" t="s">
        <v>74</v>
      </c>
      <c r="BQ424" t="s">
        <v>74</v>
      </c>
      <c r="BR424" t="s">
        <v>103</v>
      </c>
      <c r="BS424" t="s">
        <v>7825</v>
      </c>
      <c r="BT424" t="str">
        <f>HYPERLINK("https%3A%2F%2Fwww.webofscience.com%2Fwos%2Fwoscc%2Ffull-record%2FWOS:000295377900013","View Full Record in Web of Science")</f>
        <v>View Full Record in Web of Science</v>
      </c>
    </row>
    <row r="425" spans="1:72" x14ac:dyDescent="0.15">
      <c r="A425" t="s">
        <v>72</v>
      </c>
      <c r="B425" t="s">
        <v>7826</v>
      </c>
      <c r="C425" t="s">
        <v>74</v>
      </c>
      <c r="D425" t="s">
        <v>74</v>
      </c>
      <c r="E425" t="s">
        <v>74</v>
      </c>
      <c r="F425" t="s">
        <v>7827</v>
      </c>
      <c r="G425" t="s">
        <v>74</v>
      </c>
      <c r="H425" t="s">
        <v>74</v>
      </c>
      <c r="I425" t="s">
        <v>7828</v>
      </c>
      <c r="J425" t="s">
        <v>3286</v>
      </c>
      <c r="K425" t="s">
        <v>74</v>
      </c>
      <c r="L425" t="s">
        <v>74</v>
      </c>
      <c r="M425" t="s">
        <v>78</v>
      </c>
      <c r="N425" t="s">
        <v>79</v>
      </c>
      <c r="O425" t="s">
        <v>74</v>
      </c>
      <c r="P425" t="s">
        <v>74</v>
      </c>
      <c r="Q425" t="s">
        <v>74</v>
      </c>
      <c r="R425" t="s">
        <v>74</v>
      </c>
      <c r="S425" t="s">
        <v>74</v>
      </c>
      <c r="T425" t="s">
        <v>74</v>
      </c>
      <c r="U425" t="s">
        <v>7829</v>
      </c>
      <c r="V425" t="s">
        <v>7830</v>
      </c>
      <c r="W425" t="s">
        <v>7831</v>
      </c>
      <c r="X425" t="s">
        <v>7832</v>
      </c>
      <c r="Y425" t="s">
        <v>7833</v>
      </c>
      <c r="Z425" t="s">
        <v>7834</v>
      </c>
      <c r="AA425" t="s">
        <v>7835</v>
      </c>
      <c r="AB425" t="s">
        <v>7836</v>
      </c>
      <c r="AC425" t="s">
        <v>7837</v>
      </c>
      <c r="AD425" t="s">
        <v>7838</v>
      </c>
      <c r="AE425" t="s">
        <v>7839</v>
      </c>
      <c r="AF425" t="s">
        <v>74</v>
      </c>
      <c r="AG425">
        <v>42</v>
      </c>
      <c r="AH425">
        <v>107</v>
      </c>
      <c r="AI425">
        <v>119</v>
      </c>
      <c r="AJ425">
        <v>0</v>
      </c>
      <c r="AK425">
        <v>21</v>
      </c>
      <c r="AL425" t="s">
        <v>2955</v>
      </c>
      <c r="AM425" t="s">
        <v>2956</v>
      </c>
      <c r="AN425" t="s">
        <v>2957</v>
      </c>
      <c r="AO425" t="s">
        <v>3297</v>
      </c>
      <c r="AP425" t="s">
        <v>3298</v>
      </c>
      <c r="AQ425" t="s">
        <v>74</v>
      </c>
      <c r="AR425" t="s">
        <v>3286</v>
      </c>
      <c r="AS425" t="s">
        <v>3299</v>
      </c>
      <c r="AT425" t="s">
        <v>74</v>
      </c>
      <c r="AU425">
        <v>2011</v>
      </c>
      <c r="AV425">
        <v>5</v>
      </c>
      <c r="AW425">
        <v>3</v>
      </c>
      <c r="AX425" t="s">
        <v>74</v>
      </c>
      <c r="AY425" t="s">
        <v>74</v>
      </c>
      <c r="AZ425" t="s">
        <v>74</v>
      </c>
      <c r="BA425" t="s">
        <v>74</v>
      </c>
      <c r="BB425">
        <v>727</v>
      </c>
      <c r="BC425">
        <v>740</v>
      </c>
      <c r="BD425" t="s">
        <v>74</v>
      </c>
      <c r="BE425" t="s">
        <v>7840</v>
      </c>
      <c r="BF425" t="str">
        <f>HYPERLINK("http://dx.doi.org/10.5194/tc-5-727-2011","http://dx.doi.org/10.5194/tc-5-727-2011")</f>
        <v>http://dx.doi.org/10.5194/tc-5-727-2011</v>
      </c>
      <c r="BG425" t="s">
        <v>74</v>
      </c>
      <c r="BH425" t="s">
        <v>74</v>
      </c>
      <c r="BI425">
        <v>14</v>
      </c>
      <c r="BJ425" t="s">
        <v>222</v>
      </c>
      <c r="BK425" t="s">
        <v>100</v>
      </c>
      <c r="BL425" t="s">
        <v>223</v>
      </c>
      <c r="BM425" t="s">
        <v>3301</v>
      </c>
      <c r="BN425" t="s">
        <v>74</v>
      </c>
      <c r="BO425" t="s">
        <v>2456</v>
      </c>
      <c r="BP425" t="s">
        <v>74</v>
      </c>
      <c r="BQ425" t="s">
        <v>74</v>
      </c>
      <c r="BR425" t="s">
        <v>103</v>
      </c>
      <c r="BS425" t="s">
        <v>7841</v>
      </c>
      <c r="BT425" t="str">
        <f>HYPERLINK("https%3A%2F%2Fwww.webofscience.com%2Fwos%2Fwoscc%2Ffull-record%2FWOS:000295377900016","View Full Record in Web of Science")</f>
        <v>View Full Record in Web of Science</v>
      </c>
    </row>
    <row r="426" spans="1:72" x14ac:dyDescent="0.15">
      <c r="A426" t="s">
        <v>72</v>
      </c>
      <c r="B426" t="s">
        <v>7842</v>
      </c>
      <c r="C426" t="s">
        <v>74</v>
      </c>
      <c r="D426" t="s">
        <v>74</v>
      </c>
      <c r="E426" t="s">
        <v>74</v>
      </c>
      <c r="F426" t="s">
        <v>7843</v>
      </c>
      <c r="G426" t="s">
        <v>74</v>
      </c>
      <c r="H426" t="s">
        <v>74</v>
      </c>
      <c r="I426" t="s">
        <v>7844</v>
      </c>
      <c r="J426" t="s">
        <v>3286</v>
      </c>
      <c r="K426" t="s">
        <v>74</v>
      </c>
      <c r="L426" t="s">
        <v>74</v>
      </c>
      <c r="M426" t="s">
        <v>78</v>
      </c>
      <c r="N426" t="s">
        <v>79</v>
      </c>
      <c r="O426" t="s">
        <v>74</v>
      </c>
      <c r="P426" t="s">
        <v>74</v>
      </c>
      <c r="Q426" t="s">
        <v>74</v>
      </c>
      <c r="R426" t="s">
        <v>74</v>
      </c>
      <c r="S426" t="s">
        <v>74</v>
      </c>
      <c r="T426" t="s">
        <v>74</v>
      </c>
      <c r="U426" t="s">
        <v>7845</v>
      </c>
      <c r="V426" t="s">
        <v>7846</v>
      </c>
      <c r="W426" t="s">
        <v>7847</v>
      </c>
      <c r="X426" t="s">
        <v>4341</v>
      </c>
      <c r="Y426" t="s">
        <v>7848</v>
      </c>
      <c r="Z426" t="s">
        <v>7849</v>
      </c>
      <c r="AA426" t="s">
        <v>7850</v>
      </c>
      <c r="AB426" t="s">
        <v>7851</v>
      </c>
      <c r="AC426" t="s">
        <v>7852</v>
      </c>
      <c r="AD426" t="s">
        <v>7853</v>
      </c>
      <c r="AE426" t="s">
        <v>7854</v>
      </c>
      <c r="AF426" t="s">
        <v>74</v>
      </c>
      <c r="AG426">
        <v>25</v>
      </c>
      <c r="AH426">
        <v>232</v>
      </c>
      <c r="AI426">
        <v>262</v>
      </c>
      <c r="AJ426">
        <v>1</v>
      </c>
      <c r="AK426">
        <v>39</v>
      </c>
      <c r="AL426" t="s">
        <v>2955</v>
      </c>
      <c r="AM426" t="s">
        <v>2956</v>
      </c>
      <c r="AN426" t="s">
        <v>2957</v>
      </c>
      <c r="AO426" t="s">
        <v>3297</v>
      </c>
      <c r="AP426" t="s">
        <v>3298</v>
      </c>
      <c r="AQ426" t="s">
        <v>74</v>
      </c>
      <c r="AR426" t="s">
        <v>3286</v>
      </c>
      <c r="AS426" t="s">
        <v>3299</v>
      </c>
      <c r="AT426" t="s">
        <v>74</v>
      </c>
      <c r="AU426">
        <v>2011</v>
      </c>
      <c r="AV426">
        <v>5</v>
      </c>
      <c r="AW426">
        <v>4</v>
      </c>
      <c r="AX426" t="s">
        <v>74</v>
      </c>
      <c r="AY426" t="s">
        <v>74</v>
      </c>
      <c r="AZ426" t="s">
        <v>74</v>
      </c>
      <c r="BA426" t="s">
        <v>74</v>
      </c>
      <c r="BB426">
        <v>809</v>
      </c>
      <c r="BC426">
        <v>819</v>
      </c>
      <c r="BD426" t="s">
        <v>74</v>
      </c>
      <c r="BE426" t="s">
        <v>7855</v>
      </c>
      <c r="BF426" t="str">
        <f>HYPERLINK("http://dx.doi.org/10.5194/tc-5-809-2011","http://dx.doi.org/10.5194/tc-5-809-2011")</f>
        <v>http://dx.doi.org/10.5194/tc-5-809-2011</v>
      </c>
      <c r="BG426" t="s">
        <v>74</v>
      </c>
      <c r="BH426" t="s">
        <v>74</v>
      </c>
      <c r="BI426">
        <v>11</v>
      </c>
      <c r="BJ426" t="s">
        <v>222</v>
      </c>
      <c r="BK426" t="s">
        <v>100</v>
      </c>
      <c r="BL426" t="s">
        <v>223</v>
      </c>
      <c r="BM426" t="s">
        <v>7856</v>
      </c>
      <c r="BN426" t="s">
        <v>74</v>
      </c>
      <c r="BO426" t="s">
        <v>2456</v>
      </c>
      <c r="BP426" t="s">
        <v>74</v>
      </c>
      <c r="BQ426" t="s">
        <v>74</v>
      </c>
      <c r="BR426" t="s">
        <v>103</v>
      </c>
      <c r="BS426" t="s">
        <v>7857</v>
      </c>
      <c r="BT426" t="str">
        <f>HYPERLINK("https%3A%2F%2Fwww.webofscience.com%2Fwos%2Fwoscc%2Ffull-record%2FWOS:000298494200001","View Full Record in Web of Science")</f>
        <v>View Full Record in Web of Science</v>
      </c>
    </row>
    <row r="427" spans="1:72" x14ac:dyDescent="0.15">
      <c r="A427" t="s">
        <v>72</v>
      </c>
      <c r="B427" t="s">
        <v>7858</v>
      </c>
      <c r="C427" t="s">
        <v>74</v>
      </c>
      <c r="D427" t="s">
        <v>74</v>
      </c>
      <c r="E427" t="s">
        <v>74</v>
      </c>
      <c r="F427" t="s">
        <v>7859</v>
      </c>
      <c r="G427" t="s">
        <v>74</v>
      </c>
      <c r="H427" t="s">
        <v>74</v>
      </c>
      <c r="I427" t="s">
        <v>7860</v>
      </c>
      <c r="J427" t="s">
        <v>3286</v>
      </c>
      <c r="K427" t="s">
        <v>74</v>
      </c>
      <c r="L427" t="s">
        <v>74</v>
      </c>
      <c r="M427" t="s">
        <v>78</v>
      </c>
      <c r="N427" t="s">
        <v>79</v>
      </c>
      <c r="O427" t="s">
        <v>74</v>
      </c>
      <c r="P427" t="s">
        <v>74</v>
      </c>
      <c r="Q427" t="s">
        <v>74</v>
      </c>
      <c r="R427" t="s">
        <v>74</v>
      </c>
      <c r="S427" t="s">
        <v>74</v>
      </c>
      <c r="T427" t="s">
        <v>74</v>
      </c>
      <c r="U427" t="s">
        <v>7861</v>
      </c>
      <c r="V427" t="s">
        <v>7862</v>
      </c>
      <c r="W427" t="s">
        <v>7863</v>
      </c>
      <c r="X427" t="s">
        <v>7864</v>
      </c>
      <c r="Y427" t="s">
        <v>7865</v>
      </c>
      <c r="Z427" t="s">
        <v>7866</v>
      </c>
      <c r="AA427" t="s">
        <v>7867</v>
      </c>
      <c r="AB427" t="s">
        <v>7868</v>
      </c>
      <c r="AC427" t="s">
        <v>7869</v>
      </c>
      <c r="AD427" t="s">
        <v>7870</v>
      </c>
      <c r="AE427" t="s">
        <v>7871</v>
      </c>
      <c r="AF427" t="s">
        <v>74</v>
      </c>
      <c r="AG427">
        <v>64</v>
      </c>
      <c r="AH427">
        <v>104</v>
      </c>
      <c r="AI427">
        <v>108</v>
      </c>
      <c r="AJ427">
        <v>8</v>
      </c>
      <c r="AK427">
        <v>80</v>
      </c>
      <c r="AL427" t="s">
        <v>2955</v>
      </c>
      <c r="AM427" t="s">
        <v>2956</v>
      </c>
      <c r="AN427" t="s">
        <v>2957</v>
      </c>
      <c r="AO427" t="s">
        <v>3297</v>
      </c>
      <c r="AP427" t="s">
        <v>3298</v>
      </c>
      <c r="AQ427" t="s">
        <v>74</v>
      </c>
      <c r="AR427" t="s">
        <v>3286</v>
      </c>
      <c r="AS427" t="s">
        <v>3299</v>
      </c>
      <c r="AT427" t="s">
        <v>74</v>
      </c>
      <c r="AU427">
        <v>2011</v>
      </c>
      <c r="AV427">
        <v>5</v>
      </c>
      <c r="AW427">
        <v>4</v>
      </c>
      <c r="AX427" t="s">
        <v>74</v>
      </c>
      <c r="AY427" t="s">
        <v>74</v>
      </c>
      <c r="AZ427" t="s">
        <v>74</v>
      </c>
      <c r="BA427" t="s">
        <v>74</v>
      </c>
      <c r="BB427">
        <v>849</v>
      </c>
      <c r="BC427">
        <v>867</v>
      </c>
      <c r="BD427" t="s">
        <v>74</v>
      </c>
      <c r="BE427" t="s">
        <v>7872</v>
      </c>
      <c r="BF427" t="str">
        <f>HYPERLINK("http://dx.doi.org/10.5194/tc-5-849-2011","http://dx.doi.org/10.5194/tc-5-849-2011")</f>
        <v>http://dx.doi.org/10.5194/tc-5-849-2011</v>
      </c>
      <c r="BG427" t="s">
        <v>74</v>
      </c>
      <c r="BH427" t="s">
        <v>74</v>
      </c>
      <c r="BI427">
        <v>19</v>
      </c>
      <c r="BJ427" t="s">
        <v>222</v>
      </c>
      <c r="BK427" t="s">
        <v>100</v>
      </c>
      <c r="BL427" t="s">
        <v>223</v>
      </c>
      <c r="BM427" t="s">
        <v>7856</v>
      </c>
      <c r="BN427" t="s">
        <v>74</v>
      </c>
      <c r="BO427" t="s">
        <v>2456</v>
      </c>
      <c r="BP427" t="s">
        <v>74</v>
      </c>
      <c r="BQ427" t="s">
        <v>74</v>
      </c>
      <c r="BR427" t="s">
        <v>103</v>
      </c>
      <c r="BS427" t="s">
        <v>7873</v>
      </c>
      <c r="BT427" t="str">
        <f>HYPERLINK("https%3A%2F%2Fwww.webofscience.com%2Fwos%2Fwoscc%2Ffull-record%2FWOS:000298494200004","View Full Record in Web of Science")</f>
        <v>View Full Record in Web of Science</v>
      </c>
    </row>
    <row r="428" spans="1:72" x14ac:dyDescent="0.15">
      <c r="A428" t="s">
        <v>72</v>
      </c>
      <c r="B428" t="s">
        <v>7874</v>
      </c>
      <c r="C428" t="s">
        <v>74</v>
      </c>
      <c r="D428" t="s">
        <v>74</v>
      </c>
      <c r="E428" t="s">
        <v>74</v>
      </c>
      <c r="F428" t="s">
        <v>7875</v>
      </c>
      <c r="G428" t="s">
        <v>74</v>
      </c>
      <c r="H428" t="s">
        <v>74</v>
      </c>
      <c r="I428" t="s">
        <v>7876</v>
      </c>
      <c r="J428" t="s">
        <v>3286</v>
      </c>
      <c r="K428" t="s">
        <v>74</v>
      </c>
      <c r="L428" t="s">
        <v>74</v>
      </c>
      <c r="M428" t="s">
        <v>78</v>
      </c>
      <c r="N428" t="s">
        <v>79</v>
      </c>
      <c r="O428" t="s">
        <v>74</v>
      </c>
      <c r="P428" t="s">
        <v>74</v>
      </c>
      <c r="Q428" t="s">
        <v>74</v>
      </c>
      <c r="R428" t="s">
        <v>74</v>
      </c>
      <c r="S428" t="s">
        <v>74</v>
      </c>
      <c r="T428" t="s">
        <v>74</v>
      </c>
      <c r="U428" t="s">
        <v>7877</v>
      </c>
      <c r="V428" t="s">
        <v>7878</v>
      </c>
      <c r="W428" t="s">
        <v>7733</v>
      </c>
      <c r="X428" t="s">
        <v>1386</v>
      </c>
      <c r="Y428" t="s">
        <v>7879</v>
      </c>
      <c r="Z428" t="s">
        <v>7880</v>
      </c>
      <c r="AA428" t="s">
        <v>74</v>
      </c>
      <c r="AB428" t="s">
        <v>74</v>
      </c>
      <c r="AC428" t="s">
        <v>7881</v>
      </c>
      <c r="AD428" t="s">
        <v>1687</v>
      </c>
      <c r="AE428" t="s">
        <v>74</v>
      </c>
      <c r="AF428" t="s">
        <v>74</v>
      </c>
      <c r="AG428">
        <v>29</v>
      </c>
      <c r="AH428">
        <v>16</v>
      </c>
      <c r="AI428">
        <v>19</v>
      </c>
      <c r="AJ428">
        <v>0</v>
      </c>
      <c r="AK428">
        <v>8</v>
      </c>
      <c r="AL428" t="s">
        <v>2955</v>
      </c>
      <c r="AM428" t="s">
        <v>2956</v>
      </c>
      <c r="AN428" t="s">
        <v>2957</v>
      </c>
      <c r="AO428" t="s">
        <v>3297</v>
      </c>
      <c r="AP428" t="s">
        <v>74</v>
      </c>
      <c r="AQ428" t="s">
        <v>74</v>
      </c>
      <c r="AR428" t="s">
        <v>3286</v>
      </c>
      <c r="AS428" t="s">
        <v>3299</v>
      </c>
      <c r="AT428" t="s">
        <v>74</v>
      </c>
      <c r="AU428">
        <v>2011</v>
      </c>
      <c r="AV428">
        <v>5</v>
      </c>
      <c r="AW428">
        <v>4</v>
      </c>
      <c r="AX428" t="s">
        <v>74</v>
      </c>
      <c r="AY428" t="s">
        <v>74</v>
      </c>
      <c r="AZ428" t="s">
        <v>74</v>
      </c>
      <c r="BA428" t="s">
        <v>74</v>
      </c>
      <c r="BB428">
        <v>907</v>
      </c>
      <c r="BC428">
        <v>916</v>
      </c>
      <c r="BD428" t="s">
        <v>74</v>
      </c>
      <c r="BE428" t="s">
        <v>7882</v>
      </c>
      <c r="BF428" t="str">
        <f>HYPERLINK("http://dx.doi.org/10.5194/tc-5-907-2011","http://dx.doi.org/10.5194/tc-5-907-2011")</f>
        <v>http://dx.doi.org/10.5194/tc-5-907-2011</v>
      </c>
      <c r="BG428" t="s">
        <v>74</v>
      </c>
      <c r="BH428" t="s">
        <v>74</v>
      </c>
      <c r="BI428">
        <v>10</v>
      </c>
      <c r="BJ428" t="s">
        <v>222</v>
      </c>
      <c r="BK428" t="s">
        <v>100</v>
      </c>
      <c r="BL428" t="s">
        <v>223</v>
      </c>
      <c r="BM428" t="s">
        <v>7856</v>
      </c>
      <c r="BN428" t="s">
        <v>74</v>
      </c>
      <c r="BO428" t="s">
        <v>3703</v>
      </c>
      <c r="BP428" t="s">
        <v>74</v>
      </c>
      <c r="BQ428" t="s">
        <v>74</v>
      </c>
      <c r="BR428" t="s">
        <v>103</v>
      </c>
      <c r="BS428" t="s">
        <v>7883</v>
      </c>
      <c r="BT428" t="str">
        <f>HYPERLINK("https%3A%2F%2Fwww.webofscience.com%2Fwos%2Fwoscc%2Ffull-record%2FWOS:000298494200007","View Full Record in Web of Science")</f>
        <v>View Full Record in Web of Science</v>
      </c>
    </row>
    <row r="429" spans="1:72" x14ac:dyDescent="0.15">
      <c r="A429" t="s">
        <v>72</v>
      </c>
      <c r="B429" t="s">
        <v>7884</v>
      </c>
      <c r="C429" t="s">
        <v>74</v>
      </c>
      <c r="D429" t="s">
        <v>74</v>
      </c>
      <c r="E429" t="s">
        <v>74</v>
      </c>
      <c r="F429" t="s">
        <v>7885</v>
      </c>
      <c r="G429" t="s">
        <v>74</v>
      </c>
      <c r="H429" t="s">
        <v>74</v>
      </c>
      <c r="I429" t="s">
        <v>7886</v>
      </c>
      <c r="J429" t="s">
        <v>3286</v>
      </c>
      <c r="K429" t="s">
        <v>74</v>
      </c>
      <c r="L429" t="s">
        <v>74</v>
      </c>
      <c r="M429" t="s">
        <v>78</v>
      </c>
      <c r="N429" t="s">
        <v>79</v>
      </c>
      <c r="O429" t="s">
        <v>74</v>
      </c>
      <c r="P429" t="s">
        <v>74</v>
      </c>
      <c r="Q429" t="s">
        <v>74</v>
      </c>
      <c r="R429" t="s">
        <v>74</v>
      </c>
      <c r="S429" t="s">
        <v>74</v>
      </c>
      <c r="T429" t="s">
        <v>74</v>
      </c>
      <c r="U429" t="s">
        <v>7887</v>
      </c>
      <c r="V429" t="s">
        <v>7888</v>
      </c>
      <c r="W429" t="s">
        <v>7889</v>
      </c>
      <c r="X429" t="s">
        <v>7890</v>
      </c>
      <c r="Y429" t="s">
        <v>7891</v>
      </c>
      <c r="Z429" t="s">
        <v>7892</v>
      </c>
      <c r="AA429" t="s">
        <v>7893</v>
      </c>
      <c r="AB429" t="s">
        <v>7894</v>
      </c>
      <c r="AC429" t="s">
        <v>7895</v>
      </c>
      <c r="AD429" t="s">
        <v>7896</v>
      </c>
      <c r="AE429" t="s">
        <v>7897</v>
      </c>
      <c r="AF429" t="s">
        <v>74</v>
      </c>
      <c r="AG429">
        <v>89</v>
      </c>
      <c r="AH429">
        <v>62</v>
      </c>
      <c r="AI429">
        <v>67</v>
      </c>
      <c r="AJ429">
        <v>1</v>
      </c>
      <c r="AK429">
        <v>43</v>
      </c>
      <c r="AL429" t="s">
        <v>2955</v>
      </c>
      <c r="AM429" t="s">
        <v>2956</v>
      </c>
      <c r="AN429" t="s">
        <v>2957</v>
      </c>
      <c r="AO429" t="s">
        <v>3297</v>
      </c>
      <c r="AP429" t="s">
        <v>3298</v>
      </c>
      <c r="AQ429" t="s">
        <v>74</v>
      </c>
      <c r="AR429" t="s">
        <v>3286</v>
      </c>
      <c r="AS429" t="s">
        <v>3299</v>
      </c>
      <c r="AT429" t="s">
        <v>74</v>
      </c>
      <c r="AU429">
        <v>2011</v>
      </c>
      <c r="AV429">
        <v>5</v>
      </c>
      <c r="AW429">
        <v>4</v>
      </c>
      <c r="AX429" t="s">
        <v>74</v>
      </c>
      <c r="AY429" t="s">
        <v>74</v>
      </c>
      <c r="AZ429" t="s">
        <v>74</v>
      </c>
      <c r="BA429" t="s">
        <v>74</v>
      </c>
      <c r="BB429">
        <v>1057</v>
      </c>
      <c r="BC429">
        <v>1081</v>
      </c>
      <c r="BD429" t="s">
        <v>74</v>
      </c>
      <c r="BE429" t="s">
        <v>7898</v>
      </c>
      <c r="BF429" t="str">
        <f>HYPERLINK("http://dx.doi.org/10.5194/tc-5-1057-2011","http://dx.doi.org/10.5194/tc-5-1057-2011")</f>
        <v>http://dx.doi.org/10.5194/tc-5-1057-2011</v>
      </c>
      <c r="BG429" t="s">
        <v>74</v>
      </c>
      <c r="BH429" t="s">
        <v>74</v>
      </c>
      <c r="BI429">
        <v>25</v>
      </c>
      <c r="BJ429" t="s">
        <v>222</v>
      </c>
      <c r="BK429" t="s">
        <v>100</v>
      </c>
      <c r="BL429" t="s">
        <v>223</v>
      </c>
      <c r="BM429" t="s">
        <v>7856</v>
      </c>
      <c r="BN429" t="s">
        <v>74</v>
      </c>
      <c r="BO429" t="s">
        <v>2456</v>
      </c>
      <c r="BP429" t="s">
        <v>74</v>
      </c>
      <c r="BQ429" t="s">
        <v>74</v>
      </c>
      <c r="BR429" t="s">
        <v>103</v>
      </c>
      <c r="BS429" t="s">
        <v>7899</v>
      </c>
      <c r="BT429" t="str">
        <f>HYPERLINK("https%3A%2F%2Fwww.webofscience.com%2Fwos%2Fwoscc%2Ffull-record%2FWOS:000298494200017","View Full Record in Web of Science")</f>
        <v>View Full Record in Web of Science</v>
      </c>
    </row>
    <row r="430" spans="1:72" x14ac:dyDescent="0.15">
      <c r="A430" t="s">
        <v>72</v>
      </c>
      <c r="B430" t="s">
        <v>7900</v>
      </c>
      <c r="C430" t="s">
        <v>74</v>
      </c>
      <c r="D430" t="s">
        <v>74</v>
      </c>
      <c r="E430" t="s">
        <v>74</v>
      </c>
      <c r="F430" t="s">
        <v>7901</v>
      </c>
      <c r="G430" t="s">
        <v>74</v>
      </c>
      <c r="H430" t="s">
        <v>74</v>
      </c>
      <c r="I430" t="s">
        <v>7902</v>
      </c>
      <c r="J430" t="s">
        <v>7903</v>
      </c>
      <c r="K430" t="s">
        <v>74</v>
      </c>
      <c r="L430" t="s">
        <v>74</v>
      </c>
      <c r="M430" t="s">
        <v>7904</v>
      </c>
      <c r="N430" t="s">
        <v>79</v>
      </c>
      <c r="O430" t="s">
        <v>74</v>
      </c>
      <c r="P430" t="s">
        <v>74</v>
      </c>
      <c r="Q430" t="s">
        <v>74</v>
      </c>
      <c r="R430" t="s">
        <v>74</v>
      </c>
      <c r="S430" t="s">
        <v>74</v>
      </c>
      <c r="T430" t="s">
        <v>74</v>
      </c>
      <c r="U430" t="s">
        <v>7905</v>
      </c>
      <c r="V430" t="s">
        <v>74</v>
      </c>
      <c r="W430" t="s">
        <v>7906</v>
      </c>
      <c r="X430" t="s">
        <v>7907</v>
      </c>
      <c r="Y430" t="s">
        <v>7908</v>
      </c>
      <c r="Z430" t="s">
        <v>7909</v>
      </c>
      <c r="AA430" t="s">
        <v>7910</v>
      </c>
      <c r="AB430" t="s">
        <v>74</v>
      </c>
      <c r="AC430" t="s">
        <v>74</v>
      </c>
      <c r="AD430" t="s">
        <v>74</v>
      </c>
      <c r="AE430" t="s">
        <v>74</v>
      </c>
      <c r="AF430" t="s">
        <v>74</v>
      </c>
      <c r="AG430">
        <v>71</v>
      </c>
      <c r="AH430">
        <v>7</v>
      </c>
      <c r="AI430">
        <v>8</v>
      </c>
      <c r="AJ430">
        <v>0</v>
      </c>
      <c r="AK430">
        <v>0</v>
      </c>
      <c r="AL430" t="s">
        <v>7911</v>
      </c>
      <c r="AM430" t="s">
        <v>7912</v>
      </c>
      <c r="AN430" t="s">
        <v>7913</v>
      </c>
      <c r="AO430" t="s">
        <v>7914</v>
      </c>
      <c r="AP430" t="s">
        <v>74</v>
      </c>
      <c r="AQ430" t="s">
        <v>74</v>
      </c>
      <c r="AR430" t="s">
        <v>7915</v>
      </c>
      <c r="AS430" t="s">
        <v>7916</v>
      </c>
      <c r="AT430" t="s">
        <v>74</v>
      </c>
      <c r="AU430">
        <v>2011</v>
      </c>
      <c r="AV430">
        <v>25</v>
      </c>
      <c r="AW430" t="s">
        <v>2089</v>
      </c>
      <c r="AX430" t="s">
        <v>74</v>
      </c>
      <c r="AY430" t="s">
        <v>74</v>
      </c>
      <c r="AZ430" t="s">
        <v>74</v>
      </c>
      <c r="BA430" t="s">
        <v>74</v>
      </c>
      <c r="BB430">
        <v>21</v>
      </c>
      <c r="BC430">
        <v>44</v>
      </c>
      <c r="BD430" t="s">
        <v>74</v>
      </c>
      <c r="BE430" t="s">
        <v>74</v>
      </c>
      <c r="BF430" t="s">
        <v>74</v>
      </c>
      <c r="BG430" t="s">
        <v>74</v>
      </c>
      <c r="BH430" t="s">
        <v>74</v>
      </c>
      <c r="BI430">
        <v>24</v>
      </c>
      <c r="BJ430" t="s">
        <v>397</v>
      </c>
      <c r="BK430" t="s">
        <v>6441</v>
      </c>
      <c r="BL430" t="s">
        <v>397</v>
      </c>
      <c r="BM430" t="s">
        <v>7917</v>
      </c>
      <c r="BN430" t="s">
        <v>74</v>
      </c>
      <c r="BO430" t="s">
        <v>74</v>
      </c>
      <c r="BP430" t="s">
        <v>74</v>
      </c>
      <c r="BQ430" t="s">
        <v>74</v>
      </c>
      <c r="BR430" t="s">
        <v>103</v>
      </c>
      <c r="BS430" t="s">
        <v>7918</v>
      </c>
      <c r="BT430" t="str">
        <f>HYPERLINK("https%3A%2F%2Fwww.webofscience.com%2Fwos%2Fwoscc%2Ffull-record%2FWOS:000215017500003","View Full Record in Web of Science")</f>
        <v>View Full Record in Web of Science</v>
      </c>
    </row>
    <row r="431" spans="1:72" x14ac:dyDescent="0.15">
      <c r="A431" t="s">
        <v>72</v>
      </c>
      <c r="B431" t="s">
        <v>7919</v>
      </c>
      <c r="C431" t="s">
        <v>74</v>
      </c>
      <c r="D431" t="s">
        <v>74</v>
      </c>
      <c r="E431" t="s">
        <v>74</v>
      </c>
      <c r="F431" t="s">
        <v>7920</v>
      </c>
      <c r="G431" t="s">
        <v>74</v>
      </c>
      <c r="H431" t="s">
        <v>74</v>
      </c>
      <c r="I431" t="s">
        <v>7921</v>
      </c>
      <c r="J431" t="s">
        <v>731</v>
      </c>
      <c r="K431" t="s">
        <v>74</v>
      </c>
      <c r="L431" t="s">
        <v>74</v>
      </c>
      <c r="M431" t="s">
        <v>78</v>
      </c>
      <c r="N431" t="s">
        <v>403</v>
      </c>
      <c r="O431" t="s">
        <v>74</v>
      </c>
      <c r="P431" t="s">
        <v>74</v>
      </c>
      <c r="Q431" t="s">
        <v>74</v>
      </c>
      <c r="R431" t="s">
        <v>74</v>
      </c>
      <c r="S431" t="s">
        <v>74</v>
      </c>
      <c r="T431" t="s">
        <v>74</v>
      </c>
      <c r="U431" t="s">
        <v>7922</v>
      </c>
      <c r="V431" t="s">
        <v>74</v>
      </c>
      <c r="W431" t="s">
        <v>7923</v>
      </c>
      <c r="X431" t="s">
        <v>7924</v>
      </c>
      <c r="Y431" t="s">
        <v>7925</v>
      </c>
      <c r="Z431" t="s">
        <v>7926</v>
      </c>
      <c r="AA431" t="s">
        <v>7927</v>
      </c>
      <c r="AB431" t="s">
        <v>7928</v>
      </c>
      <c r="AC431" t="s">
        <v>74</v>
      </c>
      <c r="AD431" t="s">
        <v>74</v>
      </c>
      <c r="AE431" t="s">
        <v>74</v>
      </c>
      <c r="AF431" t="s">
        <v>74</v>
      </c>
      <c r="AG431">
        <v>30</v>
      </c>
      <c r="AH431">
        <v>7</v>
      </c>
      <c r="AI431">
        <v>8</v>
      </c>
      <c r="AJ431">
        <v>0</v>
      </c>
      <c r="AK431">
        <v>24</v>
      </c>
      <c r="AL431" t="s">
        <v>718</v>
      </c>
      <c r="AM431" t="s">
        <v>719</v>
      </c>
      <c r="AN431" t="s">
        <v>720</v>
      </c>
      <c r="AO431" t="s">
        <v>744</v>
      </c>
      <c r="AP431" t="s">
        <v>745</v>
      </c>
      <c r="AQ431" t="s">
        <v>74</v>
      </c>
      <c r="AR431" t="s">
        <v>746</v>
      </c>
      <c r="AS431" t="s">
        <v>747</v>
      </c>
      <c r="AT431" t="s">
        <v>3935</v>
      </c>
      <c r="AU431">
        <v>2011</v>
      </c>
      <c r="AV431">
        <v>58</v>
      </c>
      <c r="AW431" t="s">
        <v>2089</v>
      </c>
      <c r="AX431" t="s">
        <v>74</v>
      </c>
      <c r="AY431" t="s">
        <v>74</v>
      </c>
      <c r="AZ431" t="s">
        <v>967</v>
      </c>
      <c r="BA431" t="s">
        <v>74</v>
      </c>
      <c r="BB431">
        <v>1</v>
      </c>
      <c r="BC431">
        <v>4</v>
      </c>
      <c r="BD431" t="s">
        <v>74</v>
      </c>
      <c r="BE431" t="s">
        <v>7929</v>
      </c>
      <c r="BF431" t="str">
        <f>HYPERLINK("http://dx.doi.org/10.1016/j.dsr2.2010.11.002","http://dx.doi.org/10.1016/j.dsr2.2010.11.002")</f>
        <v>http://dx.doi.org/10.1016/j.dsr2.2010.11.002</v>
      </c>
      <c r="BG431" t="s">
        <v>74</v>
      </c>
      <c r="BH431" t="s">
        <v>74</v>
      </c>
      <c r="BI431">
        <v>4</v>
      </c>
      <c r="BJ431" t="s">
        <v>250</v>
      </c>
      <c r="BK431" t="s">
        <v>100</v>
      </c>
      <c r="BL431" t="s">
        <v>250</v>
      </c>
      <c r="BM431" t="s">
        <v>4423</v>
      </c>
      <c r="BN431" t="s">
        <v>74</v>
      </c>
      <c r="BO431" t="s">
        <v>74</v>
      </c>
      <c r="BP431" t="s">
        <v>74</v>
      </c>
      <c r="BQ431" t="s">
        <v>74</v>
      </c>
      <c r="BR431" t="s">
        <v>103</v>
      </c>
      <c r="BS431" t="s">
        <v>7930</v>
      </c>
      <c r="BT431" t="str">
        <f>HYPERLINK("https%3A%2F%2Fwww.webofscience.com%2Fwos%2Fwoscc%2Ffull-record%2FWOS:000288470800001","View Full Record in Web of Science")</f>
        <v>View Full Record in Web of Science</v>
      </c>
    </row>
    <row r="432" spans="1:72" x14ac:dyDescent="0.15">
      <c r="A432" t="s">
        <v>72</v>
      </c>
      <c r="B432" t="s">
        <v>7931</v>
      </c>
      <c r="C432" t="s">
        <v>74</v>
      </c>
      <c r="D432" t="s">
        <v>74</v>
      </c>
      <c r="E432" t="s">
        <v>74</v>
      </c>
      <c r="F432" t="s">
        <v>7932</v>
      </c>
      <c r="G432" t="s">
        <v>74</v>
      </c>
      <c r="H432" t="s">
        <v>7933</v>
      </c>
      <c r="I432" t="s">
        <v>7934</v>
      </c>
      <c r="J432" t="s">
        <v>731</v>
      </c>
      <c r="K432" t="s">
        <v>74</v>
      </c>
      <c r="L432" t="s">
        <v>74</v>
      </c>
      <c r="M432" t="s">
        <v>78</v>
      </c>
      <c r="N432" t="s">
        <v>2000</v>
      </c>
      <c r="O432" t="s">
        <v>4410</v>
      </c>
      <c r="P432" t="s">
        <v>4411</v>
      </c>
      <c r="Q432" t="s">
        <v>4412</v>
      </c>
      <c r="R432" t="s">
        <v>74</v>
      </c>
      <c r="S432" t="s">
        <v>74</v>
      </c>
      <c r="T432" t="s">
        <v>7935</v>
      </c>
      <c r="U432" t="s">
        <v>7936</v>
      </c>
      <c r="V432" t="s">
        <v>7937</v>
      </c>
      <c r="W432" t="s">
        <v>7938</v>
      </c>
      <c r="X432" t="s">
        <v>7939</v>
      </c>
      <c r="Y432" t="s">
        <v>7940</v>
      </c>
      <c r="Z432" t="s">
        <v>7941</v>
      </c>
      <c r="AA432" t="s">
        <v>7942</v>
      </c>
      <c r="AB432" t="s">
        <v>7943</v>
      </c>
      <c r="AC432" t="s">
        <v>74</v>
      </c>
      <c r="AD432" t="s">
        <v>74</v>
      </c>
      <c r="AE432" t="s">
        <v>74</v>
      </c>
      <c r="AF432" t="s">
        <v>74</v>
      </c>
      <c r="AG432">
        <v>72</v>
      </c>
      <c r="AH432">
        <v>109</v>
      </c>
      <c r="AI432">
        <v>111</v>
      </c>
      <c r="AJ432">
        <v>4</v>
      </c>
      <c r="AK432">
        <v>104</v>
      </c>
      <c r="AL432" t="s">
        <v>718</v>
      </c>
      <c r="AM432" t="s">
        <v>719</v>
      </c>
      <c r="AN432" t="s">
        <v>720</v>
      </c>
      <c r="AO432" t="s">
        <v>744</v>
      </c>
      <c r="AP432" t="s">
        <v>745</v>
      </c>
      <c r="AQ432" t="s">
        <v>74</v>
      </c>
      <c r="AR432" t="s">
        <v>746</v>
      </c>
      <c r="AS432" t="s">
        <v>747</v>
      </c>
      <c r="AT432" t="s">
        <v>3935</v>
      </c>
      <c r="AU432">
        <v>2011</v>
      </c>
      <c r="AV432">
        <v>58</v>
      </c>
      <c r="AW432" t="s">
        <v>2089</v>
      </c>
      <c r="AX432" t="s">
        <v>74</v>
      </c>
      <c r="AY432" t="s">
        <v>74</v>
      </c>
      <c r="AZ432" t="s">
        <v>967</v>
      </c>
      <c r="BA432" t="s">
        <v>74</v>
      </c>
      <c r="BB432">
        <v>5</v>
      </c>
      <c r="BC432">
        <v>17</v>
      </c>
      <c r="BD432" t="s">
        <v>74</v>
      </c>
      <c r="BE432" t="s">
        <v>7944</v>
      </c>
      <c r="BF432" t="str">
        <f>HYPERLINK("http://dx.doi.org/10.1016/j.dsr2.2010.10.007","http://dx.doi.org/10.1016/j.dsr2.2010.10.007")</f>
        <v>http://dx.doi.org/10.1016/j.dsr2.2010.10.007</v>
      </c>
      <c r="BG432" t="s">
        <v>74</v>
      </c>
      <c r="BH432" t="s">
        <v>74</v>
      </c>
      <c r="BI432">
        <v>13</v>
      </c>
      <c r="BJ432" t="s">
        <v>250</v>
      </c>
      <c r="BK432" t="s">
        <v>2022</v>
      </c>
      <c r="BL432" t="s">
        <v>250</v>
      </c>
      <c r="BM432" t="s">
        <v>4423</v>
      </c>
      <c r="BN432" t="s">
        <v>74</v>
      </c>
      <c r="BO432" t="s">
        <v>74</v>
      </c>
      <c r="BP432" t="s">
        <v>74</v>
      </c>
      <c r="BQ432" t="s">
        <v>74</v>
      </c>
      <c r="BR432" t="s">
        <v>103</v>
      </c>
      <c r="BS432" t="s">
        <v>7945</v>
      </c>
      <c r="BT432" t="str">
        <f>HYPERLINK("https%3A%2F%2Fwww.webofscience.com%2Fwos%2Fwoscc%2Ffull-record%2FWOS:000288470800002","View Full Record in Web of Science")</f>
        <v>View Full Record in Web of Science</v>
      </c>
    </row>
    <row r="433" spans="1:72" x14ac:dyDescent="0.15">
      <c r="A433" t="s">
        <v>72</v>
      </c>
      <c r="B433" t="s">
        <v>7946</v>
      </c>
      <c r="C433" t="s">
        <v>74</v>
      </c>
      <c r="D433" t="s">
        <v>74</v>
      </c>
      <c r="E433" t="s">
        <v>74</v>
      </c>
      <c r="F433" t="s">
        <v>7947</v>
      </c>
      <c r="G433" t="s">
        <v>74</v>
      </c>
      <c r="H433" t="s">
        <v>74</v>
      </c>
      <c r="I433" t="s">
        <v>7948</v>
      </c>
      <c r="J433" t="s">
        <v>731</v>
      </c>
      <c r="K433" t="s">
        <v>74</v>
      </c>
      <c r="L433" t="s">
        <v>74</v>
      </c>
      <c r="M433" t="s">
        <v>78</v>
      </c>
      <c r="N433" t="s">
        <v>2000</v>
      </c>
      <c r="O433" t="s">
        <v>4410</v>
      </c>
      <c r="P433" t="s">
        <v>4411</v>
      </c>
      <c r="Q433" t="s">
        <v>4412</v>
      </c>
      <c r="R433" t="s">
        <v>74</v>
      </c>
      <c r="S433" t="s">
        <v>74</v>
      </c>
      <c r="T433" t="s">
        <v>7949</v>
      </c>
      <c r="U433" t="s">
        <v>7950</v>
      </c>
      <c r="V433" t="s">
        <v>7951</v>
      </c>
      <c r="W433" t="s">
        <v>7952</v>
      </c>
      <c r="X433" t="s">
        <v>7953</v>
      </c>
      <c r="Y433" t="s">
        <v>7954</v>
      </c>
      <c r="Z433" t="s">
        <v>7955</v>
      </c>
      <c r="AA433" t="s">
        <v>7956</v>
      </c>
      <c r="AB433" t="s">
        <v>7957</v>
      </c>
      <c r="AC433" t="s">
        <v>7958</v>
      </c>
      <c r="AD433" t="s">
        <v>1215</v>
      </c>
      <c r="AE433" t="s">
        <v>74</v>
      </c>
      <c r="AF433" t="s">
        <v>74</v>
      </c>
      <c r="AG433">
        <v>46</v>
      </c>
      <c r="AH433">
        <v>44</v>
      </c>
      <c r="AI433">
        <v>47</v>
      </c>
      <c r="AJ433">
        <v>1</v>
      </c>
      <c r="AK433">
        <v>33</v>
      </c>
      <c r="AL433" t="s">
        <v>718</v>
      </c>
      <c r="AM433" t="s">
        <v>719</v>
      </c>
      <c r="AN433" t="s">
        <v>720</v>
      </c>
      <c r="AO433" t="s">
        <v>744</v>
      </c>
      <c r="AP433" t="s">
        <v>745</v>
      </c>
      <c r="AQ433" t="s">
        <v>74</v>
      </c>
      <c r="AR433" t="s">
        <v>746</v>
      </c>
      <c r="AS433" t="s">
        <v>747</v>
      </c>
      <c r="AT433" t="s">
        <v>3935</v>
      </c>
      <c r="AU433">
        <v>2011</v>
      </c>
      <c r="AV433">
        <v>58</v>
      </c>
      <c r="AW433" t="s">
        <v>2089</v>
      </c>
      <c r="AX433" t="s">
        <v>74</v>
      </c>
      <c r="AY433" t="s">
        <v>74</v>
      </c>
      <c r="AZ433" t="s">
        <v>967</v>
      </c>
      <c r="BA433" t="s">
        <v>74</v>
      </c>
      <c r="BB433">
        <v>18</v>
      </c>
      <c r="BC433">
        <v>29</v>
      </c>
      <c r="BD433" t="s">
        <v>74</v>
      </c>
      <c r="BE433" t="s">
        <v>7959</v>
      </c>
      <c r="BF433" t="str">
        <f>HYPERLINK("http://dx.doi.org/10.1016/j.dsr2.2010.10.008","http://dx.doi.org/10.1016/j.dsr2.2010.10.008")</f>
        <v>http://dx.doi.org/10.1016/j.dsr2.2010.10.008</v>
      </c>
      <c r="BG433" t="s">
        <v>74</v>
      </c>
      <c r="BH433" t="s">
        <v>74</v>
      </c>
      <c r="BI433">
        <v>12</v>
      </c>
      <c r="BJ433" t="s">
        <v>250</v>
      </c>
      <c r="BK433" t="s">
        <v>2022</v>
      </c>
      <c r="BL433" t="s">
        <v>250</v>
      </c>
      <c r="BM433" t="s">
        <v>4423</v>
      </c>
      <c r="BN433" t="s">
        <v>74</v>
      </c>
      <c r="BO433" t="s">
        <v>74</v>
      </c>
      <c r="BP433" t="s">
        <v>74</v>
      </c>
      <c r="BQ433" t="s">
        <v>74</v>
      </c>
      <c r="BR433" t="s">
        <v>103</v>
      </c>
      <c r="BS433" t="s">
        <v>7960</v>
      </c>
      <c r="BT433" t="str">
        <f>HYPERLINK("https%3A%2F%2Fwww.webofscience.com%2Fwos%2Fwoscc%2Ffull-record%2FWOS:000288470800003","View Full Record in Web of Science")</f>
        <v>View Full Record in Web of Science</v>
      </c>
    </row>
    <row r="434" spans="1:72" x14ac:dyDescent="0.15">
      <c r="A434" t="s">
        <v>72</v>
      </c>
      <c r="B434" t="s">
        <v>7961</v>
      </c>
      <c r="C434" t="s">
        <v>74</v>
      </c>
      <c r="D434" t="s">
        <v>74</v>
      </c>
      <c r="E434" t="s">
        <v>74</v>
      </c>
      <c r="F434" t="s">
        <v>7962</v>
      </c>
      <c r="G434" t="s">
        <v>74</v>
      </c>
      <c r="H434" t="s">
        <v>74</v>
      </c>
      <c r="I434" t="s">
        <v>7963</v>
      </c>
      <c r="J434" t="s">
        <v>731</v>
      </c>
      <c r="K434" t="s">
        <v>74</v>
      </c>
      <c r="L434" t="s">
        <v>74</v>
      </c>
      <c r="M434" t="s">
        <v>78</v>
      </c>
      <c r="N434" t="s">
        <v>2000</v>
      </c>
      <c r="O434" t="s">
        <v>4410</v>
      </c>
      <c r="P434" t="s">
        <v>4411</v>
      </c>
      <c r="Q434" t="s">
        <v>4412</v>
      </c>
      <c r="R434" t="s">
        <v>74</v>
      </c>
      <c r="S434" t="s">
        <v>74</v>
      </c>
      <c r="T434" t="s">
        <v>7964</v>
      </c>
      <c r="U434" t="s">
        <v>7965</v>
      </c>
      <c r="V434" t="s">
        <v>7966</v>
      </c>
      <c r="W434" t="s">
        <v>7967</v>
      </c>
      <c r="X434" t="s">
        <v>7968</v>
      </c>
      <c r="Y434" t="s">
        <v>7969</v>
      </c>
      <c r="Z434" t="s">
        <v>7970</v>
      </c>
      <c r="AA434" t="s">
        <v>7971</v>
      </c>
      <c r="AB434" t="s">
        <v>7972</v>
      </c>
      <c r="AC434" t="s">
        <v>74</v>
      </c>
      <c r="AD434" t="s">
        <v>74</v>
      </c>
      <c r="AE434" t="s">
        <v>74</v>
      </c>
      <c r="AF434" t="s">
        <v>74</v>
      </c>
      <c r="AG434">
        <v>151</v>
      </c>
      <c r="AH434">
        <v>75</v>
      </c>
      <c r="AI434">
        <v>79</v>
      </c>
      <c r="AJ434">
        <v>1</v>
      </c>
      <c r="AK434">
        <v>46</v>
      </c>
      <c r="AL434" t="s">
        <v>718</v>
      </c>
      <c r="AM434" t="s">
        <v>719</v>
      </c>
      <c r="AN434" t="s">
        <v>720</v>
      </c>
      <c r="AO434" t="s">
        <v>744</v>
      </c>
      <c r="AP434" t="s">
        <v>745</v>
      </c>
      <c r="AQ434" t="s">
        <v>74</v>
      </c>
      <c r="AR434" t="s">
        <v>746</v>
      </c>
      <c r="AS434" t="s">
        <v>747</v>
      </c>
      <c r="AT434" t="s">
        <v>3935</v>
      </c>
      <c r="AU434">
        <v>2011</v>
      </c>
      <c r="AV434">
        <v>58</v>
      </c>
      <c r="AW434" t="s">
        <v>2089</v>
      </c>
      <c r="AX434" t="s">
        <v>74</v>
      </c>
      <c r="AY434" t="s">
        <v>74</v>
      </c>
      <c r="AZ434" t="s">
        <v>967</v>
      </c>
      <c r="BA434" t="s">
        <v>74</v>
      </c>
      <c r="BB434">
        <v>30</v>
      </c>
      <c r="BC434">
        <v>48</v>
      </c>
      <c r="BD434" t="s">
        <v>74</v>
      </c>
      <c r="BE434" t="s">
        <v>7973</v>
      </c>
      <c r="BF434" t="str">
        <f>HYPERLINK("http://dx.doi.org/10.1016/j.dsr2.2010.09.005","http://dx.doi.org/10.1016/j.dsr2.2010.09.005")</f>
        <v>http://dx.doi.org/10.1016/j.dsr2.2010.09.005</v>
      </c>
      <c r="BG434" t="s">
        <v>74</v>
      </c>
      <c r="BH434" t="s">
        <v>74</v>
      </c>
      <c r="BI434">
        <v>19</v>
      </c>
      <c r="BJ434" t="s">
        <v>250</v>
      </c>
      <c r="BK434" t="s">
        <v>2022</v>
      </c>
      <c r="BL434" t="s">
        <v>250</v>
      </c>
      <c r="BM434" t="s">
        <v>4423</v>
      </c>
      <c r="BN434" t="s">
        <v>74</v>
      </c>
      <c r="BO434" t="s">
        <v>74</v>
      </c>
      <c r="BP434" t="s">
        <v>74</v>
      </c>
      <c r="BQ434" t="s">
        <v>74</v>
      </c>
      <c r="BR434" t="s">
        <v>103</v>
      </c>
      <c r="BS434" t="s">
        <v>7974</v>
      </c>
      <c r="BT434" t="str">
        <f>HYPERLINK("https%3A%2F%2Fwww.webofscience.com%2Fwos%2Fwoscc%2Ffull-record%2FWOS:000288470800004","View Full Record in Web of Science")</f>
        <v>View Full Record in Web of Science</v>
      </c>
    </row>
    <row r="435" spans="1:72" x14ac:dyDescent="0.15">
      <c r="A435" t="s">
        <v>72</v>
      </c>
      <c r="B435" t="s">
        <v>7975</v>
      </c>
      <c r="C435" t="s">
        <v>74</v>
      </c>
      <c r="D435" t="s">
        <v>74</v>
      </c>
      <c r="E435" t="s">
        <v>74</v>
      </c>
      <c r="F435" t="s">
        <v>7976</v>
      </c>
      <c r="G435" t="s">
        <v>74</v>
      </c>
      <c r="H435" t="s">
        <v>74</v>
      </c>
      <c r="I435" t="s">
        <v>7977</v>
      </c>
      <c r="J435" t="s">
        <v>731</v>
      </c>
      <c r="K435" t="s">
        <v>74</v>
      </c>
      <c r="L435" t="s">
        <v>74</v>
      </c>
      <c r="M435" t="s">
        <v>78</v>
      </c>
      <c r="N435" t="s">
        <v>2000</v>
      </c>
      <c r="O435" t="s">
        <v>4410</v>
      </c>
      <c r="P435" t="s">
        <v>4411</v>
      </c>
      <c r="Q435" t="s">
        <v>4412</v>
      </c>
      <c r="R435" t="s">
        <v>74</v>
      </c>
      <c r="S435" t="s">
        <v>74</v>
      </c>
      <c r="T435" t="s">
        <v>7978</v>
      </c>
      <c r="U435" t="s">
        <v>7979</v>
      </c>
      <c r="V435" t="s">
        <v>7980</v>
      </c>
      <c r="W435" t="s">
        <v>7981</v>
      </c>
      <c r="X435" t="s">
        <v>74</v>
      </c>
      <c r="Y435" t="s">
        <v>7982</v>
      </c>
      <c r="Z435" t="s">
        <v>7983</v>
      </c>
      <c r="AA435" t="s">
        <v>74</v>
      </c>
      <c r="AB435" t="s">
        <v>74</v>
      </c>
      <c r="AC435" t="s">
        <v>74</v>
      </c>
      <c r="AD435" t="s">
        <v>74</v>
      </c>
      <c r="AE435" t="s">
        <v>74</v>
      </c>
      <c r="AF435" t="s">
        <v>74</v>
      </c>
      <c r="AG435">
        <v>39</v>
      </c>
      <c r="AH435">
        <v>16</v>
      </c>
      <c r="AI435">
        <v>17</v>
      </c>
      <c r="AJ435">
        <v>2</v>
      </c>
      <c r="AK435">
        <v>32</v>
      </c>
      <c r="AL435" t="s">
        <v>718</v>
      </c>
      <c r="AM435" t="s">
        <v>719</v>
      </c>
      <c r="AN435" t="s">
        <v>720</v>
      </c>
      <c r="AO435" t="s">
        <v>744</v>
      </c>
      <c r="AP435" t="s">
        <v>74</v>
      </c>
      <c r="AQ435" t="s">
        <v>74</v>
      </c>
      <c r="AR435" t="s">
        <v>746</v>
      </c>
      <c r="AS435" t="s">
        <v>747</v>
      </c>
      <c r="AT435" t="s">
        <v>3935</v>
      </c>
      <c r="AU435">
        <v>2011</v>
      </c>
      <c r="AV435">
        <v>58</v>
      </c>
      <c r="AW435" t="s">
        <v>2089</v>
      </c>
      <c r="AX435" t="s">
        <v>74</v>
      </c>
      <c r="AY435" t="s">
        <v>74</v>
      </c>
      <c r="AZ435" t="s">
        <v>967</v>
      </c>
      <c r="BA435" t="s">
        <v>74</v>
      </c>
      <c r="BB435">
        <v>49</v>
      </c>
      <c r="BC435">
        <v>57</v>
      </c>
      <c r="BD435" t="s">
        <v>74</v>
      </c>
      <c r="BE435" t="s">
        <v>7984</v>
      </c>
      <c r="BF435" t="str">
        <f>HYPERLINK("http://dx.doi.org/10.1016/j.dsr2.2010.10.009","http://dx.doi.org/10.1016/j.dsr2.2010.10.009")</f>
        <v>http://dx.doi.org/10.1016/j.dsr2.2010.10.009</v>
      </c>
      <c r="BG435" t="s">
        <v>74</v>
      </c>
      <c r="BH435" t="s">
        <v>74</v>
      </c>
      <c r="BI435">
        <v>9</v>
      </c>
      <c r="BJ435" t="s">
        <v>250</v>
      </c>
      <c r="BK435" t="s">
        <v>2022</v>
      </c>
      <c r="BL435" t="s">
        <v>250</v>
      </c>
      <c r="BM435" t="s">
        <v>4423</v>
      </c>
      <c r="BN435" t="s">
        <v>74</v>
      </c>
      <c r="BO435" t="s">
        <v>74</v>
      </c>
      <c r="BP435" t="s">
        <v>74</v>
      </c>
      <c r="BQ435" t="s">
        <v>74</v>
      </c>
      <c r="BR435" t="s">
        <v>103</v>
      </c>
      <c r="BS435" t="s">
        <v>7985</v>
      </c>
      <c r="BT435" t="str">
        <f>HYPERLINK("https%3A%2F%2Fwww.webofscience.com%2Fwos%2Fwoscc%2Ffull-record%2FWOS:000288470800005","View Full Record in Web of Science")</f>
        <v>View Full Record in Web of Science</v>
      </c>
    </row>
    <row r="436" spans="1:72" x14ac:dyDescent="0.15">
      <c r="A436" t="s">
        <v>72</v>
      </c>
      <c r="B436" t="s">
        <v>7986</v>
      </c>
      <c r="C436" t="s">
        <v>74</v>
      </c>
      <c r="D436" t="s">
        <v>74</v>
      </c>
      <c r="E436" t="s">
        <v>74</v>
      </c>
      <c r="F436" t="s">
        <v>7987</v>
      </c>
      <c r="G436" t="s">
        <v>74</v>
      </c>
      <c r="H436" t="s">
        <v>74</v>
      </c>
      <c r="I436" t="s">
        <v>7988</v>
      </c>
      <c r="J436" t="s">
        <v>731</v>
      </c>
      <c r="K436" t="s">
        <v>74</v>
      </c>
      <c r="L436" t="s">
        <v>74</v>
      </c>
      <c r="M436" t="s">
        <v>78</v>
      </c>
      <c r="N436" t="s">
        <v>2000</v>
      </c>
      <c r="O436" t="s">
        <v>4410</v>
      </c>
      <c r="P436" t="s">
        <v>4411</v>
      </c>
      <c r="Q436" t="s">
        <v>4412</v>
      </c>
      <c r="R436" t="s">
        <v>74</v>
      </c>
      <c r="S436" t="s">
        <v>74</v>
      </c>
      <c r="T436" t="s">
        <v>7989</v>
      </c>
      <c r="U436" t="s">
        <v>7990</v>
      </c>
      <c r="V436" t="s">
        <v>7991</v>
      </c>
      <c r="W436" t="s">
        <v>7992</v>
      </c>
      <c r="X436" t="s">
        <v>7993</v>
      </c>
      <c r="Y436" t="s">
        <v>7994</v>
      </c>
      <c r="Z436" t="s">
        <v>7995</v>
      </c>
      <c r="AA436" t="s">
        <v>74</v>
      </c>
      <c r="AB436" t="s">
        <v>74</v>
      </c>
      <c r="AC436" t="s">
        <v>74</v>
      </c>
      <c r="AD436" t="s">
        <v>74</v>
      </c>
      <c r="AE436" t="s">
        <v>74</v>
      </c>
      <c r="AF436" t="s">
        <v>74</v>
      </c>
      <c r="AG436">
        <v>42</v>
      </c>
      <c r="AH436">
        <v>22</v>
      </c>
      <c r="AI436">
        <v>25</v>
      </c>
      <c r="AJ436">
        <v>0</v>
      </c>
      <c r="AK436">
        <v>18</v>
      </c>
      <c r="AL436" t="s">
        <v>718</v>
      </c>
      <c r="AM436" t="s">
        <v>719</v>
      </c>
      <c r="AN436" t="s">
        <v>720</v>
      </c>
      <c r="AO436" t="s">
        <v>744</v>
      </c>
      <c r="AP436" t="s">
        <v>745</v>
      </c>
      <c r="AQ436" t="s">
        <v>74</v>
      </c>
      <c r="AR436" t="s">
        <v>746</v>
      </c>
      <c r="AS436" t="s">
        <v>747</v>
      </c>
      <c r="AT436" t="s">
        <v>3935</v>
      </c>
      <c r="AU436">
        <v>2011</v>
      </c>
      <c r="AV436">
        <v>58</v>
      </c>
      <c r="AW436" t="s">
        <v>2089</v>
      </c>
      <c r="AX436" t="s">
        <v>74</v>
      </c>
      <c r="AY436" t="s">
        <v>74</v>
      </c>
      <c r="AZ436" t="s">
        <v>967</v>
      </c>
      <c r="BA436" t="s">
        <v>74</v>
      </c>
      <c r="BB436">
        <v>58</v>
      </c>
      <c r="BC436">
        <v>67</v>
      </c>
      <c r="BD436" t="s">
        <v>74</v>
      </c>
      <c r="BE436" t="s">
        <v>7996</v>
      </c>
      <c r="BF436" t="str">
        <f>HYPERLINK("http://dx.doi.org/10.1016/j.dsr2.2010.05.022","http://dx.doi.org/10.1016/j.dsr2.2010.05.022")</f>
        <v>http://dx.doi.org/10.1016/j.dsr2.2010.05.022</v>
      </c>
      <c r="BG436" t="s">
        <v>74</v>
      </c>
      <c r="BH436" t="s">
        <v>74</v>
      </c>
      <c r="BI436">
        <v>10</v>
      </c>
      <c r="BJ436" t="s">
        <v>250</v>
      </c>
      <c r="BK436" t="s">
        <v>2022</v>
      </c>
      <c r="BL436" t="s">
        <v>250</v>
      </c>
      <c r="BM436" t="s">
        <v>4423</v>
      </c>
      <c r="BN436" t="s">
        <v>74</v>
      </c>
      <c r="BO436" t="s">
        <v>74</v>
      </c>
      <c r="BP436" t="s">
        <v>74</v>
      </c>
      <c r="BQ436" t="s">
        <v>74</v>
      </c>
      <c r="BR436" t="s">
        <v>103</v>
      </c>
      <c r="BS436" t="s">
        <v>7997</v>
      </c>
      <c r="BT436" t="str">
        <f>HYPERLINK("https%3A%2F%2Fwww.webofscience.com%2Fwos%2Fwoscc%2Ffull-record%2FWOS:000288470800006","View Full Record in Web of Science")</f>
        <v>View Full Record in Web of Science</v>
      </c>
    </row>
    <row r="437" spans="1:72" x14ac:dyDescent="0.15">
      <c r="A437" t="s">
        <v>72</v>
      </c>
      <c r="B437" t="s">
        <v>7998</v>
      </c>
      <c r="C437" t="s">
        <v>74</v>
      </c>
      <c r="D437" t="s">
        <v>74</v>
      </c>
      <c r="E437" t="s">
        <v>74</v>
      </c>
      <c r="F437" t="s">
        <v>7999</v>
      </c>
      <c r="G437" t="s">
        <v>74</v>
      </c>
      <c r="H437" t="s">
        <v>74</v>
      </c>
      <c r="I437" t="s">
        <v>8000</v>
      </c>
      <c r="J437" t="s">
        <v>731</v>
      </c>
      <c r="K437" t="s">
        <v>74</v>
      </c>
      <c r="L437" t="s">
        <v>74</v>
      </c>
      <c r="M437" t="s">
        <v>78</v>
      </c>
      <c r="N437" t="s">
        <v>2000</v>
      </c>
      <c r="O437" t="s">
        <v>4410</v>
      </c>
      <c r="P437" t="s">
        <v>4411</v>
      </c>
      <c r="Q437" t="s">
        <v>4412</v>
      </c>
      <c r="R437" t="s">
        <v>74</v>
      </c>
      <c r="S437" t="s">
        <v>74</v>
      </c>
      <c r="T437" t="s">
        <v>8001</v>
      </c>
      <c r="U437" t="s">
        <v>8002</v>
      </c>
      <c r="V437" t="s">
        <v>8003</v>
      </c>
      <c r="W437" t="s">
        <v>8004</v>
      </c>
      <c r="X437" t="s">
        <v>194</v>
      </c>
      <c r="Y437" t="s">
        <v>8005</v>
      </c>
      <c r="Z437" t="s">
        <v>8006</v>
      </c>
      <c r="AA437" t="s">
        <v>74</v>
      </c>
      <c r="AB437" t="s">
        <v>74</v>
      </c>
      <c r="AC437" t="s">
        <v>74</v>
      </c>
      <c r="AD437" t="s">
        <v>74</v>
      </c>
      <c r="AE437" t="s">
        <v>74</v>
      </c>
      <c r="AF437" t="s">
        <v>74</v>
      </c>
      <c r="AG437">
        <v>54</v>
      </c>
      <c r="AH437">
        <v>4</v>
      </c>
      <c r="AI437">
        <v>5</v>
      </c>
      <c r="AJ437">
        <v>0</v>
      </c>
      <c r="AK437">
        <v>8</v>
      </c>
      <c r="AL437" t="s">
        <v>718</v>
      </c>
      <c r="AM437" t="s">
        <v>719</v>
      </c>
      <c r="AN437" t="s">
        <v>720</v>
      </c>
      <c r="AO437" t="s">
        <v>744</v>
      </c>
      <c r="AP437" t="s">
        <v>745</v>
      </c>
      <c r="AQ437" t="s">
        <v>74</v>
      </c>
      <c r="AR437" t="s">
        <v>746</v>
      </c>
      <c r="AS437" t="s">
        <v>747</v>
      </c>
      <c r="AT437" t="s">
        <v>3935</v>
      </c>
      <c r="AU437">
        <v>2011</v>
      </c>
      <c r="AV437">
        <v>58</v>
      </c>
      <c r="AW437" t="s">
        <v>2089</v>
      </c>
      <c r="AX437" t="s">
        <v>74</v>
      </c>
      <c r="AY437" t="s">
        <v>74</v>
      </c>
      <c r="AZ437" t="s">
        <v>967</v>
      </c>
      <c r="BA437" t="s">
        <v>74</v>
      </c>
      <c r="BB437">
        <v>68</v>
      </c>
      <c r="BC437">
        <v>73</v>
      </c>
      <c r="BD437" t="s">
        <v>74</v>
      </c>
      <c r="BE437" t="s">
        <v>8007</v>
      </c>
      <c r="BF437" t="str">
        <f>HYPERLINK("http://dx.doi.org/10.1016/j.dsr2.2010.10.010","http://dx.doi.org/10.1016/j.dsr2.2010.10.010")</f>
        <v>http://dx.doi.org/10.1016/j.dsr2.2010.10.010</v>
      </c>
      <c r="BG437" t="s">
        <v>74</v>
      </c>
      <c r="BH437" t="s">
        <v>74</v>
      </c>
      <c r="BI437">
        <v>6</v>
      </c>
      <c r="BJ437" t="s">
        <v>250</v>
      </c>
      <c r="BK437" t="s">
        <v>2022</v>
      </c>
      <c r="BL437" t="s">
        <v>250</v>
      </c>
      <c r="BM437" t="s">
        <v>4423</v>
      </c>
      <c r="BN437" t="s">
        <v>74</v>
      </c>
      <c r="BO437" t="s">
        <v>74</v>
      </c>
      <c r="BP437" t="s">
        <v>74</v>
      </c>
      <c r="BQ437" t="s">
        <v>74</v>
      </c>
      <c r="BR437" t="s">
        <v>103</v>
      </c>
      <c r="BS437" t="s">
        <v>8008</v>
      </c>
      <c r="BT437" t="str">
        <f>HYPERLINK("https%3A%2F%2Fwww.webofscience.com%2Fwos%2Fwoscc%2Ffull-record%2FWOS:000288470800007","View Full Record in Web of Science")</f>
        <v>View Full Record in Web of Science</v>
      </c>
    </row>
    <row r="438" spans="1:72" x14ac:dyDescent="0.15">
      <c r="A438" t="s">
        <v>72</v>
      </c>
      <c r="B438" t="s">
        <v>8009</v>
      </c>
      <c r="C438" t="s">
        <v>74</v>
      </c>
      <c r="D438" t="s">
        <v>74</v>
      </c>
      <c r="E438" t="s">
        <v>74</v>
      </c>
      <c r="F438" t="s">
        <v>8010</v>
      </c>
      <c r="G438" t="s">
        <v>74</v>
      </c>
      <c r="H438" t="s">
        <v>74</v>
      </c>
      <c r="I438" t="s">
        <v>8011</v>
      </c>
      <c r="J438" t="s">
        <v>731</v>
      </c>
      <c r="K438" t="s">
        <v>74</v>
      </c>
      <c r="L438" t="s">
        <v>74</v>
      </c>
      <c r="M438" t="s">
        <v>78</v>
      </c>
      <c r="N438" t="s">
        <v>2000</v>
      </c>
      <c r="O438" t="s">
        <v>4410</v>
      </c>
      <c r="P438" t="s">
        <v>4411</v>
      </c>
      <c r="Q438" t="s">
        <v>4412</v>
      </c>
      <c r="R438" t="s">
        <v>74</v>
      </c>
      <c r="S438" t="s">
        <v>74</v>
      </c>
      <c r="T438" t="s">
        <v>8012</v>
      </c>
      <c r="U438" t="s">
        <v>8013</v>
      </c>
      <c r="V438" t="s">
        <v>8014</v>
      </c>
      <c r="W438" t="s">
        <v>8015</v>
      </c>
      <c r="X438" t="s">
        <v>8016</v>
      </c>
      <c r="Y438" t="s">
        <v>8017</v>
      </c>
      <c r="Z438" t="s">
        <v>8018</v>
      </c>
      <c r="AA438" t="s">
        <v>8019</v>
      </c>
      <c r="AB438" t="s">
        <v>8020</v>
      </c>
      <c r="AC438" t="s">
        <v>7283</v>
      </c>
      <c r="AD438" t="s">
        <v>1687</v>
      </c>
      <c r="AE438" t="s">
        <v>74</v>
      </c>
      <c r="AF438" t="s">
        <v>74</v>
      </c>
      <c r="AG438">
        <v>55</v>
      </c>
      <c r="AH438">
        <v>99</v>
      </c>
      <c r="AI438">
        <v>113</v>
      </c>
      <c r="AJ438">
        <v>2</v>
      </c>
      <c r="AK438">
        <v>101</v>
      </c>
      <c r="AL438" t="s">
        <v>718</v>
      </c>
      <c r="AM438" t="s">
        <v>719</v>
      </c>
      <c r="AN438" t="s">
        <v>720</v>
      </c>
      <c r="AO438" t="s">
        <v>744</v>
      </c>
      <c r="AP438" t="s">
        <v>745</v>
      </c>
      <c r="AQ438" t="s">
        <v>74</v>
      </c>
      <c r="AR438" t="s">
        <v>746</v>
      </c>
      <c r="AS438" t="s">
        <v>747</v>
      </c>
      <c r="AT438" t="s">
        <v>3935</v>
      </c>
      <c r="AU438">
        <v>2011</v>
      </c>
      <c r="AV438">
        <v>58</v>
      </c>
      <c r="AW438" t="s">
        <v>2089</v>
      </c>
      <c r="AX438" t="s">
        <v>74</v>
      </c>
      <c r="AY438" t="s">
        <v>74</v>
      </c>
      <c r="AZ438" t="s">
        <v>967</v>
      </c>
      <c r="BA438" t="s">
        <v>74</v>
      </c>
      <c r="BB438">
        <v>74</v>
      </c>
      <c r="BC438">
        <v>83</v>
      </c>
      <c r="BD438" t="s">
        <v>74</v>
      </c>
      <c r="BE438" t="s">
        <v>8021</v>
      </c>
      <c r="BF438" t="str">
        <f>HYPERLINK("http://dx.doi.org/10.1016/j.dsr2.2010.05.024","http://dx.doi.org/10.1016/j.dsr2.2010.05.024")</f>
        <v>http://dx.doi.org/10.1016/j.dsr2.2010.05.024</v>
      </c>
      <c r="BG438" t="s">
        <v>74</v>
      </c>
      <c r="BH438" t="s">
        <v>74</v>
      </c>
      <c r="BI438">
        <v>10</v>
      </c>
      <c r="BJ438" t="s">
        <v>250</v>
      </c>
      <c r="BK438" t="s">
        <v>2022</v>
      </c>
      <c r="BL438" t="s">
        <v>250</v>
      </c>
      <c r="BM438" t="s">
        <v>4423</v>
      </c>
      <c r="BN438" t="s">
        <v>74</v>
      </c>
      <c r="BO438" t="s">
        <v>138</v>
      </c>
      <c r="BP438" t="s">
        <v>74</v>
      </c>
      <c r="BQ438" t="s">
        <v>74</v>
      </c>
      <c r="BR438" t="s">
        <v>103</v>
      </c>
      <c r="BS438" t="s">
        <v>8022</v>
      </c>
      <c r="BT438" t="str">
        <f>HYPERLINK("https%3A%2F%2Fwww.webofscience.com%2Fwos%2Fwoscc%2Ffull-record%2FWOS:000288470800008","View Full Record in Web of Science")</f>
        <v>View Full Record in Web of Science</v>
      </c>
    </row>
    <row r="439" spans="1:72" x14ac:dyDescent="0.15">
      <c r="A439" t="s">
        <v>72</v>
      </c>
      <c r="B439" t="s">
        <v>8023</v>
      </c>
      <c r="C439" t="s">
        <v>74</v>
      </c>
      <c r="D439" t="s">
        <v>74</v>
      </c>
      <c r="E439" t="s">
        <v>74</v>
      </c>
      <c r="F439" t="s">
        <v>8024</v>
      </c>
      <c r="G439" t="s">
        <v>74</v>
      </c>
      <c r="H439" t="s">
        <v>74</v>
      </c>
      <c r="I439" t="s">
        <v>8025</v>
      </c>
      <c r="J439" t="s">
        <v>731</v>
      </c>
      <c r="K439" t="s">
        <v>74</v>
      </c>
      <c r="L439" t="s">
        <v>74</v>
      </c>
      <c r="M439" t="s">
        <v>78</v>
      </c>
      <c r="N439" t="s">
        <v>2000</v>
      </c>
      <c r="O439" t="s">
        <v>4410</v>
      </c>
      <c r="P439" t="s">
        <v>4411</v>
      </c>
      <c r="Q439" t="s">
        <v>4412</v>
      </c>
      <c r="R439" t="s">
        <v>74</v>
      </c>
      <c r="S439" t="s">
        <v>74</v>
      </c>
      <c r="T439" t="s">
        <v>8026</v>
      </c>
      <c r="U439" t="s">
        <v>8027</v>
      </c>
      <c r="V439" t="s">
        <v>8028</v>
      </c>
      <c r="W439" t="s">
        <v>8029</v>
      </c>
      <c r="X439" t="s">
        <v>8030</v>
      </c>
      <c r="Y439" t="s">
        <v>8031</v>
      </c>
      <c r="Z439" t="s">
        <v>8032</v>
      </c>
      <c r="AA439" t="s">
        <v>8033</v>
      </c>
      <c r="AB439" t="s">
        <v>8034</v>
      </c>
      <c r="AC439" t="s">
        <v>74</v>
      </c>
      <c r="AD439" t="s">
        <v>74</v>
      </c>
      <c r="AE439" t="s">
        <v>74</v>
      </c>
      <c r="AF439" t="s">
        <v>74</v>
      </c>
      <c r="AG439">
        <v>45</v>
      </c>
      <c r="AH439">
        <v>13</v>
      </c>
      <c r="AI439">
        <v>13</v>
      </c>
      <c r="AJ439">
        <v>0</v>
      </c>
      <c r="AK439">
        <v>11</v>
      </c>
      <c r="AL439" t="s">
        <v>718</v>
      </c>
      <c r="AM439" t="s">
        <v>719</v>
      </c>
      <c r="AN439" t="s">
        <v>720</v>
      </c>
      <c r="AO439" t="s">
        <v>744</v>
      </c>
      <c r="AP439" t="s">
        <v>74</v>
      </c>
      <c r="AQ439" t="s">
        <v>74</v>
      </c>
      <c r="AR439" t="s">
        <v>746</v>
      </c>
      <c r="AS439" t="s">
        <v>747</v>
      </c>
      <c r="AT439" t="s">
        <v>3935</v>
      </c>
      <c r="AU439">
        <v>2011</v>
      </c>
      <c r="AV439">
        <v>58</v>
      </c>
      <c r="AW439" t="s">
        <v>2089</v>
      </c>
      <c r="AX439" t="s">
        <v>74</v>
      </c>
      <c r="AY439" t="s">
        <v>74</v>
      </c>
      <c r="AZ439" t="s">
        <v>967</v>
      </c>
      <c r="BA439" t="s">
        <v>74</v>
      </c>
      <c r="BB439">
        <v>84</v>
      </c>
      <c r="BC439">
        <v>90</v>
      </c>
      <c r="BD439" t="s">
        <v>74</v>
      </c>
      <c r="BE439" t="s">
        <v>8035</v>
      </c>
      <c r="BF439" t="str">
        <f>HYPERLINK("http://dx.doi.org/10.1016/j.dsr2.2010.05.025","http://dx.doi.org/10.1016/j.dsr2.2010.05.025")</f>
        <v>http://dx.doi.org/10.1016/j.dsr2.2010.05.025</v>
      </c>
      <c r="BG439" t="s">
        <v>74</v>
      </c>
      <c r="BH439" t="s">
        <v>74</v>
      </c>
      <c r="BI439">
        <v>7</v>
      </c>
      <c r="BJ439" t="s">
        <v>250</v>
      </c>
      <c r="BK439" t="s">
        <v>2022</v>
      </c>
      <c r="BL439" t="s">
        <v>250</v>
      </c>
      <c r="BM439" t="s">
        <v>4423</v>
      </c>
      <c r="BN439" t="s">
        <v>74</v>
      </c>
      <c r="BO439" t="s">
        <v>74</v>
      </c>
      <c r="BP439" t="s">
        <v>74</v>
      </c>
      <c r="BQ439" t="s">
        <v>74</v>
      </c>
      <c r="BR439" t="s">
        <v>103</v>
      </c>
      <c r="BS439" t="s">
        <v>8036</v>
      </c>
      <c r="BT439" t="str">
        <f>HYPERLINK("https%3A%2F%2Fwww.webofscience.com%2Fwos%2Fwoscc%2Ffull-record%2FWOS:000288470800009","View Full Record in Web of Science")</f>
        <v>View Full Record in Web of Science</v>
      </c>
    </row>
    <row r="440" spans="1:72" x14ac:dyDescent="0.15">
      <c r="A440" t="s">
        <v>72</v>
      </c>
      <c r="B440" t="s">
        <v>8037</v>
      </c>
      <c r="C440" t="s">
        <v>74</v>
      </c>
      <c r="D440" t="s">
        <v>74</v>
      </c>
      <c r="E440" t="s">
        <v>74</v>
      </c>
      <c r="F440" t="s">
        <v>8038</v>
      </c>
      <c r="G440" t="s">
        <v>74</v>
      </c>
      <c r="H440" t="s">
        <v>74</v>
      </c>
      <c r="I440" t="s">
        <v>8039</v>
      </c>
      <c r="J440" t="s">
        <v>731</v>
      </c>
      <c r="K440" t="s">
        <v>74</v>
      </c>
      <c r="L440" t="s">
        <v>74</v>
      </c>
      <c r="M440" t="s">
        <v>78</v>
      </c>
      <c r="N440" t="s">
        <v>2000</v>
      </c>
      <c r="O440" t="s">
        <v>4410</v>
      </c>
      <c r="P440" t="s">
        <v>4411</v>
      </c>
      <c r="Q440" t="s">
        <v>4412</v>
      </c>
      <c r="R440" t="s">
        <v>74</v>
      </c>
      <c r="S440" t="s">
        <v>74</v>
      </c>
      <c r="T440" t="s">
        <v>8040</v>
      </c>
      <c r="U440" t="s">
        <v>8041</v>
      </c>
      <c r="V440" t="s">
        <v>8042</v>
      </c>
      <c r="W440" t="s">
        <v>8043</v>
      </c>
      <c r="X440" t="s">
        <v>8044</v>
      </c>
      <c r="Y440" t="s">
        <v>8045</v>
      </c>
      <c r="Z440" t="s">
        <v>8046</v>
      </c>
      <c r="AA440" t="s">
        <v>8047</v>
      </c>
      <c r="AB440" t="s">
        <v>8048</v>
      </c>
      <c r="AC440" t="s">
        <v>7958</v>
      </c>
      <c r="AD440" t="s">
        <v>1215</v>
      </c>
      <c r="AE440" t="s">
        <v>74</v>
      </c>
      <c r="AF440" t="s">
        <v>74</v>
      </c>
      <c r="AG440">
        <v>97</v>
      </c>
      <c r="AH440">
        <v>28</v>
      </c>
      <c r="AI440">
        <v>29</v>
      </c>
      <c r="AJ440">
        <v>0</v>
      </c>
      <c r="AK440">
        <v>45</v>
      </c>
      <c r="AL440" t="s">
        <v>718</v>
      </c>
      <c r="AM440" t="s">
        <v>719</v>
      </c>
      <c r="AN440" t="s">
        <v>720</v>
      </c>
      <c r="AO440" t="s">
        <v>744</v>
      </c>
      <c r="AP440" t="s">
        <v>745</v>
      </c>
      <c r="AQ440" t="s">
        <v>74</v>
      </c>
      <c r="AR440" t="s">
        <v>746</v>
      </c>
      <c r="AS440" t="s">
        <v>747</v>
      </c>
      <c r="AT440" t="s">
        <v>3935</v>
      </c>
      <c r="AU440">
        <v>2011</v>
      </c>
      <c r="AV440">
        <v>58</v>
      </c>
      <c r="AW440" t="s">
        <v>2089</v>
      </c>
      <c r="AX440" t="s">
        <v>74</v>
      </c>
      <c r="AY440" t="s">
        <v>74</v>
      </c>
      <c r="AZ440" t="s">
        <v>967</v>
      </c>
      <c r="BA440" t="s">
        <v>74</v>
      </c>
      <c r="BB440">
        <v>91</v>
      </c>
      <c r="BC440">
        <v>104</v>
      </c>
      <c r="BD440" t="s">
        <v>74</v>
      </c>
      <c r="BE440" t="s">
        <v>8049</v>
      </c>
      <c r="BF440" t="str">
        <f>HYPERLINK("http://dx.doi.org/10.1016/j.dsr2.2010.05.017","http://dx.doi.org/10.1016/j.dsr2.2010.05.017")</f>
        <v>http://dx.doi.org/10.1016/j.dsr2.2010.05.017</v>
      </c>
      <c r="BG440" t="s">
        <v>74</v>
      </c>
      <c r="BH440" t="s">
        <v>74</v>
      </c>
      <c r="BI440">
        <v>14</v>
      </c>
      <c r="BJ440" t="s">
        <v>250</v>
      </c>
      <c r="BK440" t="s">
        <v>2022</v>
      </c>
      <c r="BL440" t="s">
        <v>250</v>
      </c>
      <c r="BM440" t="s">
        <v>4423</v>
      </c>
      <c r="BN440" t="s">
        <v>74</v>
      </c>
      <c r="BO440" t="s">
        <v>74</v>
      </c>
      <c r="BP440" t="s">
        <v>74</v>
      </c>
      <c r="BQ440" t="s">
        <v>74</v>
      </c>
      <c r="BR440" t="s">
        <v>103</v>
      </c>
      <c r="BS440" t="s">
        <v>8050</v>
      </c>
      <c r="BT440" t="str">
        <f>HYPERLINK("https%3A%2F%2Fwww.webofscience.com%2Fwos%2Fwoscc%2Ffull-record%2FWOS:000288470800010","View Full Record in Web of Science")</f>
        <v>View Full Record in Web of Science</v>
      </c>
    </row>
    <row r="441" spans="1:72" x14ac:dyDescent="0.15">
      <c r="A441" t="s">
        <v>72</v>
      </c>
      <c r="B441" t="s">
        <v>8051</v>
      </c>
      <c r="C441" t="s">
        <v>74</v>
      </c>
      <c r="D441" t="s">
        <v>74</v>
      </c>
      <c r="E441" t="s">
        <v>74</v>
      </c>
      <c r="F441" t="s">
        <v>8052</v>
      </c>
      <c r="G441" t="s">
        <v>74</v>
      </c>
      <c r="H441" t="s">
        <v>74</v>
      </c>
      <c r="I441" t="s">
        <v>8053</v>
      </c>
      <c r="J441" t="s">
        <v>731</v>
      </c>
      <c r="K441" t="s">
        <v>74</v>
      </c>
      <c r="L441" t="s">
        <v>74</v>
      </c>
      <c r="M441" t="s">
        <v>78</v>
      </c>
      <c r="N441" t="s">
        <v>2000</v>
      </c>
      <c r="O441" t="s">
        <v>4410</v>
      </c>
      <c r="P441" t="s">
        <v>4411</v>
      </c>
      <c r="Q441" t="s">
        <v>4412</v>
      </c>
      <c r="R441" t="s">
        <v>74</v>
      </c>
      <c r="S441" t="s">
        <v>74</v>
      </c>
      <c r="T441" t="s">
        <v>8054</v>
      </c>
      <c r="U441" t="s">
        <v>8055</v>
      </c>
      <c r="V441" t="s">
        <v>8056</v>
      </c>
      <c r="W441" t="s">
        <v>8057</v>
      </c>
      <c r="X441" t="s">
        <v>8058</v>
      </c>
      <c r="Y441" t="s">
        <v>8059</v>
      </c>
      <c r="Z441" t="s">
        <v>8060</v>
      </c>
      <c r="AA441" t="s">
        <v>74</v>
      </c>
      <c r="AB441" t="s">
        <v>8061</v>
      </c>
      <c r="AC441" t="s">
        <v>74</v>
      </c>
      <c r="AD441" t="s">
        <v>74</v>
      </c>
      <c r="AE441" t="s">
        <v>74</v>
      </c>
      <c r="AF441" t="s">
        <v>74</v>
      </c>
      <c r="AG441">
        <v>58</v>
      </c>
      <c r="AH441">
        <v>45</v>
      </c>
      <c r="AI441">
        <v>47</v>
      </c>
      <c r="AJ441">
        <v>0</v>
      </c>
      <c r="AK441">
        <v>36</v>
      </c>
      <c r="AL441" t="s">
        <v>718</v>
      </c>
      <c r="AM441" t="s">
        <v>719</v>
      </c>
      <c r="AN441" t="s">
        <v>720</v>
      </c>
      <c r="AO441" t="s">
        <v>744</v>
      </c>
      <c r="AP441" t="s">
        <v>745</v>
      </c>
      <c r="AQ441" t="s">
        <v>74</v>
      </c>
      <c r="AR441" t="s">
        <v>746</v>
      </c>
      <c r="AS441" t="s">
        <v>747</v>
      </c>
      <c r="AT441" t="s">
        <v>3935</v>
      </c>
      <c r="AU441">
        <v>2011</v>
      </c>
      <c r="AV441">
        <v>58</v>
      </c>
      <c r="AW441" t="s">
        <v>2089</v>
      </c>
      <c r="AX441" t="s">
        <v>74</v>
      </c>
      <c r="AY441" t="s">
        <v>74</v>
      </c>
      <c r="AZ441" t="s">
        <v>967</v>
      </c>
      <c r="BA441" t="s">
        <v>74</v>
      </c>
      <c r="BB441">
        <v>105</v>
      </c>
      <c r="BC441">
        <v>118</v>
      </c>
      <c r="BD441" t="s">
        <v>74</v>
      </c>
      <c r="BE441" t="s">
        <v>8062</v>
      </c>
      <c r="BF441" t="str">
        <f>HYPERLINK("http://dx.doi.org/10.1016/j.dsr2.2010.05.020","http://dx.doi.org/10.1016/j.dsr2.2010.05.020")</f>
        <v>http://dx.doi.org/10.1016/j.dsr2.2010.05.020</v>
      </c>
      <c r="BG441" t="s">
        <v>74</v>
      </c>
      <c r="BH441" t="s">
        <v>74</v>
      </c>
      <c r="BI441">
        <v>14</v>
      </c>
      <c r="BJ441" t="s">
        <v>250</v>
      </c>
      <c r="BK441" t="s">
        <v>2022</v>
      </c>
      <c r="BL441" t="s">
        <v>250</v>
      </c>
      <c r="BM441" t="s">
        <v>4423</v>
      </c>
      <c r="BN441" t="s">
        <v>74</v>
      </c>
      <c r="BO441" t="s">
        <v>74</v>
      </c>
      <c r="BP441" t="s">
        <v>74</v>
      </c>
      <c r="BQ441" t="s">
        <v>74</v>
      </c>
      <c r="BR441" t="s">
        <v>103</v>
      </c>
      <c r="BS441" t="s">
        <v>8063</v>
      </c>
      <c r="BT441" t="str">
        <f>HYPERLINK("https%3A%2F%2Fwww.webofscience.com%2Fwos%2Fwoscc%2Ffull-record%2FWOS:000288470800011","View Full Record in Web of Science")</f>
        <v>View Full Record in Web of Science</v>
      </c>
    </row>
    <row r="442" spans="1:72" x14ac:dyDescent="0.15">
      <c r="A442" t="s">
        <v>72</v>
      </c>
      <c r="B442" t="s">
        <v>8064</v>
      </c>
      <c r="C442" t="s">
        <v>74</v>
      </c>
      <c r="D442" t="s">
        <v>74</v>
      </c>
      <c r="E442" t="s">
        <v>74</v>
      </c>
      <c r="F442" t="s">
        <v>8065</v>
      </c>
      <c r="G442" t="s">
        <v>74</v>
      </c>
      <c r="H442" t="s">
        <v>74</v>
      </c>
      <c r="I442" t="s">
        <v>8066</v>
      </c>
      <c r="J442" t="s">
        <v>731</v>
      </c>
      <c r="K442" t="s">
        <v>74</v>
      </c>
      <c r="L442" t="s">
        <v>74</v>
      </c>
      <c r="M442" t="s">
        <v>78</v>
      </c>
      <c r="N442" t="s">
        <v>2000</v>
      </c>
      <c r="O442" t="s">
        <v>4410</v>
      </c>
      <c r="P442" t="s">
        <v>4411</v>
      </c>
      <c r="Q442" t="s">
        <v>4412</v>
      </c>
      <c r="R442" t="s">
        <v>74</v>
      </c>
      <c r="S442" t="s">
        <v>74</v>
      </c>
      <c r="T442" t="s">
        <v>8067</v>
      </c>
      <c r="U442" t="s">
        <v>8068</v>
      </c>
      <c r="V442" t="s">
        <v>8069</v>
      </c>
      <c r="W442" t="s">
        <v>8070</v>
      </c>
      <c r="X442" t="s">
        <v>8071</v>
      </c>
      <c r="Y442" t="s">
        <v>8072</v>
      </c>
      <c r="Z442" t="s">
        <v>8073</v>
      </c>
      <c r="AA442" t="s">
        <v>8074</v>
      </c>
      <c r="AB442" t="s">
        <v>8075</v>
      </c>
      <c r="AC442" t="s">
        <v>74</v>
      </c>
      <c r="AD442" t="s">
        <v>74</v>
      </c>
      <c r="AE442" t="s">
        <v>74</v>
      </c>
      <c r="AF442" t="s">
        <v>74</v>
      </c>
      <c r="AG442">
        <v>48</v>
      </c>
      <c r="AH442">
        <v>58</v>
      </c>
      <c r="AI442">
        <v>63</v>
      </c>
      <c r="AJ442">
        <v>0</v>
      </c>
      <c r="AK442">
        <v>12</v>
      </c>
      <c r="AL442" t="s">
        <v>718</v>
      </c>
      <c r="AM442" t="s">
        <v>719</v>
      </c>
      <c r="AN442" t="s">
        <v>720</v>
      </c>
      <c r="AO442" t="s">
        <v>744</v>
      </c>
      <c r="AP442" t="s">
        <v>74</v>
      </c>
      <c r="AQ442" t="s">
        <v>74</v>
      </c>
      <c r="AR442" t="s">
        <v>746</v>
      </c>
      <c r="AS442" t="s">
        <v>747</v>
      </c>
      <c r="AT442" t="s">
        <v>3935</v>
      </c>
      <c r="AU442">
        <v>2011</v>
      </c>
      <c r="AV442">
        <v>58</v>
      </c>
      <c r="AW442" t="s">
        <v>2089</v>
      </c>
      <c r="AX442" t="s">
        <v>74</v>
      </c>
      <c r="AY442" t="s">
        <v>74</v>
      </c>
      <c r="AZ442" t="s">
        <v>967</v>
      </c>
      <c r="BA442" t="s">
        <v>74</v>
      </c>
      <c r="BB442">
        <v>119</v>
      </c>
      <c r="BC442">
        <v>127</v>
      </c>
      <c r="BD442" t="s">
        <v>74</v>
      </c>
      <c r="BE442" t="s">
        <v>8076</v>
      </c>
      <c r="BF442" t="str">
        <f>HYPERLINK("http://dx.doi.org/10.1016/j.dsr2.2010.09.006","http://dx.doi.org/10.1016/j.dsr2.2010.09.006")</f>
        <v>http://dx.doi.org/10.1016/j.dsr2.2010.09.006</v>
      </c>
      <c r="BG442" t="s">
        <v>74</v>
      </c>
      <c r="BH442" t="s">
        <v>74</v>
      </c>
      <c r="BI442">
        <v>9</v>
      </c>
      <c r="BJ442" t="s">
        <v>250</v>
      </c>
      <c r="BK442" t="s">
        <v>2022</v>
      </c>
      <c r="BL442" t="s">
        <v>250</v>
      </c>
      <c r="BM442" t="s">
        <v>4423</v>
      </c>
      <c r="BN442" t="s">
        <v>74</v>
      </c>
      <c r="BO442" t="s">
        <v>74</v>
      </c>
      <c r="BP442" t="s">
        <v>74</v>
      </c>
      <c r="BQ442" t="s">
        <v>74</v>
      </c>
      <c r="BR442" t="s">
        <v>103</v>
      </c>
      <c r="BS442" t="s">
        <v>8077</v>
      </c>
      <c r="BT442" t="str">
        <f>HYPERLINK("https%3A%2F%2Fwww.webofscience.com%2Fwos%2Fwoscc%2Ffull-record%2FWOS:000288470800012","View Full Record in Web of Science")</f>
        <v>View Full Record in Web of Science</v>
      </c>
    </row>
    <row r="443" spans="1:72" x14ac:dyDescent="0.15">
      <c r="A443" t="s">
        <v>72</v>
      </c>
      <c r="B443" t="s">
        <v>8078</v>
      </c>
      <c r="C443" t="s">
        <v>74</v>
      </c>
      <c r="D443" t="s">
        <v>74</v>
      </c>
      <c r="E443" t="s">
        <v>74</v>
      </c>
      <c r="F443" t="s">
        <v>8079</v>
      </c>
      <c r="G443" t="s">
        <v>74</v>
      </c>
      <c r="H443" t="s">
        <v>74</v>
      </c>
      <c r="I443" t="s">
        <v>8080</v>
      </c>
      <c r="J443" t="s">
        <v>731</v>
      </c>
      <c r="K443" t="s">
        <v>74</v>
      </c>
      <c r="L443" t="s">
        <v>74</v>
      </c>
      <c r="M443" t="s">
        <v>78</v>
      </c>
      <c r="N443" t="s">
        <v>2000</v>
      </c>
      <c r="O443" t="s">
        <v>4410</v>
      </c>
      <c r="P443" t="s">
        <v>4411</v>
      </c>
      <c r="Q443" t="s">
        <v>4412</v>
      </c>
      <c r="R443" t="s">
        <v>74</v>
      </c>
      <c r="S443" t="s">
        <v>74</v>
      </c>
      <c r="T443" t="s">
        <v>8081</v>
      </c>
      <c r="U443" t="s">
        <v>8082</v>
      </c>
      <c r="V443" t="s">
        <v>8083</v>
      </c>
      <c r="W443" t="s">
        <v>8084</v>
      </c>
      <c r="X443" t="s">
        <v>8085</v>
      </c>
      <c r="Y443" t="s">
        <v>8086</v>
      </c>
      <c r="Z443" t="s">
        <v>8087</v>
      </c>
      <c r="AA443" t="s">
        <v>74</v>
      </c>
      <c r="AB443" t="s">
        <v>74</v>
      </c>
      <c r="AC443" t="s">
        <v>74</v>
      </c>
      <c r="AD443" t="s">
        <v>74</v>
      </c>
      <c r="AE443" t="s">
        <v>74</v>
      </c>
      <c r="AF443" t="s">
        <v>74</v>
      </c>
      <c r="AG443">
        <v>79</v>
      </c>
      <c r="AH443">
        <v>32</v>
      </c>
      <c r="AI443">
        <v>35</v>
      </c>
      <c r="AJ443">
        <v>0</v>
      </c>
      <c r="AK443">
        <v>29</v>
      </c>
      <c r="AL443" t="s">
        <v>718</v>
      </c>
      <c r="AM443" t="s">
        <v>719</v>
      </c>
      <c r="AN443" t="s">
        <v>720</v>
      </c>
      <c r="AO443" t="s">
        <v>744</v>
      </c>
      <c r="AP443" t="s">
        <v>745</v>
      </c>
      <c r="AQ443" t="s">
        <v>74</v>
      </c>
      <c r="AR443" t="s">
        <v>746</v>
      </c>
      <c r="AS443" t="s">
        <v>747</v>
      </c>
      <c r="AT443" t="s">
        <v>3935</v>
      </c>
      <c r="AU443">
        <v>2011</v>
      </c>
      <c r="AV443">
        <v>58</v>
      </c>
      <c r="AW443" t="s">
        <v>2089</v>
      </c>
      <c r="AX443" t="s">
        <v>74</v>
      </c>
      <c r="AY443" t="s">
        <v>74</v>
      </c>
      <c r="AZ443" t="s">
        <v>967</v>
      </c>
      <c r="BA443" t="s">
        <v>74</v>
      </c>
      <c r="BB443">
        <v>139</v>
      </c>
      <c r="BC443">
        <v>152</v>
      </c>
      <c r="BD443" t="s">
        <v>74</v>
      </c>
      <c r="BE443" t="s">
        <v>8088</v>
      </c>
      <c r="BF443" t="str">
        <f>HYPERLINK("http://dx.doi.org/10.1016/j.dsr2.2010.09.031","http://dx.doi.org/10.1016/j.dsr2.2010.09.031")</f>
        <v>http://dx.doi.org/10.1016/j.dsr2.2010.09.031</v>
      </c>
      <c r="BG443" t="s">
        <v>74</v>
      </c>
      <c r="BH443" t="s">
        <v>74</v>
      </c>
      <c r="BI443">
        <v>14</v>
      </c>
      <c r="BJ443" t="s">
        <v>250</v>
      </c>
      <c r="BK443" t="s">
        <v>2022</v>
      </c>
      <c r="BL443" t="s">
        <v>250</v>
      </c>
      <c r="BM443" t="s">
        <v>4423</v>
      </c>
      <c r="BN443" t="s">
        <v>74</v>
      </c>
      <c r="BO443" t="s">
        <v>74</v>
      </c>
      <c r="BP443" t="s">
        <v>74</v>
      </c>
      <c r="BQ443" t="s">
        <v>74</v>
      </c>
      <c r="BR443" t="s">
        <v>103</v>
      </c>
      <c r="BS443" t="s">
        <v>8089</v>
      </c>
      <c r="BT443" t="str">
        <f>HYPERLINK("https%3A%2F%2Fwww.webofscience.com%2Fwos%2Fwoscc%2Ffull-record%2FWOS:000288470800014","View Full Record in Web of Science")</f>
        <v>View Full Record in Web of Science</v>
      </c>
    </row>
    <row r="444" spans="1:72" x14ac:dyDescent="0.15">
      <c r="A444" t="s">
        <v>72</v>
      </c>
      <c r="B444" t="s">
        <v>8090</v>
      </c>
      <c r="C444" t="s">
        <v>74</v>
      </c>
      <c r="D444" t="s">
        <v>74</v>
      </c>
      <c r="E444" t="s">
        <v>74</v>
      </c>
      <c r="F444" t="s">
        <v>8091</v>
      </c>
      <c r="G444" t="s">
        <v>74</v>
      </c>
      <c r="H444" t="s">
        <v>74</v>
      </c>
      <c r="I444" t="s">
        <v>8092</v>
      </c>
      <c r="J444" t="s">
        <v>731</v>
      </c>
      <c r="K444" t="s">
        <v>74</v>
      </c>
      <c r="L444" t="s">
        <v>74</v>
      </c>
      <c r="M444" t="s">
        <v>78</v>
      </c>
      <c r="N444" t="s">
        <v>2000</v>
      </c>
      <c r="O444" t="s">
        <v>4410</v>
      </c>
      <c r="P444" t="s">
        <v>4411</v>
      </c>
      <c r="Q444" t="s">
        <v>4412</v>
      </c>
      <c r="R444" t="s">
        <v>74</v>
      </c>
      <c r="S444" t="s">
        <v>74</v>
      </c>
      <c r="T444" t="s">
        <v>8093</v>
      </c>
      <c r="U444" t="s">
        <v>8094</v>
      </c>
      <c r="V444" t="s">
        <v>8095</v>
      </c>
      <c r="W444" t="s">
        <v>8096</v>
      </c>
      <c r="X444" t="s">
        <v>8097</v>
      </c>
      <c r="Y444" t="s">
        <v>8098</v>
      </c>
      <c r="Z444" t="s">
        <v>8099</v>
      </c>
      <c r="AA444" t="s">
        <v>8100</v>
      </c>
      <c r="AB444" t="s">
        <v>8101</v>
      </c>
      <c r="AC444" t="s">
        <v>74</v>
      </c>
      <c r="AD444" t="s">
        <v>74</v>
      </c>
      <c r="AE444" t="s">
        <v>74</v>
      </c>
      <c r="AF444" t="s">
        <v>74</v>
      </c>
      <c r="AG444">
        <v>94</v>
      </c>
      <c r="AH444">
        <v>47</v>
      </c>
      <c r="AI444">
        <v>51</v>
      </c>
      <c r="AJ444">
        <v>1</v>
      </c>
      <c r="AK444">
        <v>30</v>
      </c>
      <c r="AL444" t="s">
        <v>718</v>
      </c>
      <c r="AM444" t="s">
        <v>719</v>
      </c>
      <c r="AN444" t="s">
        <v>720</v>
      </c>
      <c r="AO444" t="s">
        <v>744</v>
      </c>
      <c r="AP444" t="s">
        <v>745</v>
      </c>
      <c r="AQ444" t="s">
        <v>74</v>
      </c>
      <c r="AR444" t="s">
        <v>746</v>
      </c>
      <c r="AS444" t="s">
        <v>747</v>
      </c>
      <c r="AT444" t="s">
        <v>3935</v>
      </c>
      <c r="AU444">
        <v>2011</v>
      </c>
      <c r="AV444">
        <v>58</v>
      </c>
      <c r="AW444" t="s">
        <v>2089</v>
      </c>
      <c r="AX444" t="s">
        <v>74</v>
      </c>
      <c r="AY444" t="s">
        <v>74</v>
      </c>
      <c r="AZ444" t="s">
        <v>967</v>
      </c>
      <c r="BA444" t="s">
        <v>74</v>
      </c>
      <c r="BB444">
        <v>153</v>
      </c>
      <c r="BC444">
        <v>162</v>
      </c>
      <c r="BD444" t="s">
        <v>74</v>
      </c>
      <c r="BE444" t="s">
        <v>8102</v>
      </c>
      <c r="BF444" t="str">
        <f>HYPERLINK("http://dx.doi.org/10.1016/j.dsr2.2010.10.014","http://dx.doi.org/10.1016/j.dsr2.2010.10.014")</f>
        <v>http://dx.doi.org/10.1016/j.dsr2.2010.10.014</v>
      </c>
      <c r="BG444" t="s">
        <v>74</v>
      </c>
      <c r="BH444" t="s">
        <v>74</v>
      </c>
      <c r="BI444">
        <v>10</v>
      </c>
      <c r="BJ444" t="s">
        <v>250</v>
      </c>
      <c r="BK444" t="s">
        <v>2022</v>
      </c>
      <c r="BL444" t="s">
        <v>250</v>
      </c>
      <c r="BM444" t="s">
        <v>4423</v>
      </c>
      <c r="BN444" t="s">
        <v>74</v>
      </c>
      <c r="BO444" t="s">
        <v>74</v>
      </c>
      <c r="BP444" t="s">
        <v>74</v>
      </c>
      <c r="BQ444" t="s">
        <v>74</v>
      </c>
      <c r="BR444" t="s">
        <v>103</v>
      </c>
      <c r="BS444" t="s">
        <v>8103</v>
      </c>
      <c r="BT444" t="str">
        <f>HYPERLINK("https%3A%2F%2Fwww.webofscience.com%2Fwos%2Fwoscc%2Ffull-record%2FWOS:000288470800015","View Full Record in Web of Science")</f>
        <v>View Full Record in Web of Science</v>
      </c>
    </row>
    <row r="445" spans="1:72" x14ac:dyDescent="0.15">
      <c r="A445" t="s">
        <v>72</v>
      </c>
      <c r="B445" t="s">
        <v>8104</v>
      </c>
      <c r="C445" t="s">
        <v>74</v>
      </c>
      <c r="D445" t="s">
        <v>74</v>
      </c>
      <c r="E445" t="s">
        <v>74</v>
      </c>
      <c r="F445" t="s">
        <v>8105</v>
      </c>
      <c r="G445" t="s">
        <v>74</v>
      </c>
      <c r="H445" t="s">
        <v>74</v>
      </c>
      <c r="I445" t="s">
        <v>8106</v>
      </c>
      <c r="J445" t="s">
        <v>731</v>
      </c>
      <c r="K445" t="s">
        <v>74</v>
      </c>
      <c r="L445" t="s">
        <v>74</v>
      </c>
      <c r="M445" t="s">
        <v>78</v>
      </c>
      <c r="N445" t="s">
        <v>2000</v>
      </c>
      <c r="O445" t="s">
        <v>4410</v>
      </c>
      <c r="P445" t="s">
        <v>4411</v>
      </c>
      <c r="Q445" t="s">
        <v>4412</v>
      </c>
      <c r="R445" t="s">
        <v>74</v>
      </c>
      <c r="S445" t="s">
        <v>74</v>
      </c>
      <c r="T445" t="s">
        <v>8107</v>
      </c>
      <c r="U445" t="s">
        <v>8108</v>
      </c>
      <c r="V445" t="s">
        <v>8109</v>
      </c>
      <c r="W445" t="s">
        <v>8110</v>
      </c>
      <c r="X445" t="s">
        <v>8111</v>
      </c>
      <c r="Y445" t="s">
        <v>8112</v>
      </c>
      <c r="Z445" t="s">
        <v>8113</v>
      </c>
      <c r="AA445" t="s">
        <v>8114</v>
      </c>
      <c r="AB445" t="s">
        <v>8115</v>
      </c>
      <c r="AC445" t="s">
        <v>7958</v>
      </c>
      <c r="AD445" t="s">
        <v>1215</v>
      </c>
      <c r="AE445" t="s">
        <v>74</v>
      </c>
      <c r="AF445" t="s">
        <v>74</v>
      </c>
      <c r="AG445">
        <v>40</v>
      </c>
      <c r="AH445">
        <v>9</v>
      </c>
      <c r="AI445">
        <v>10</v>
      </c>
      <c r="AJ445">
        <v>0</v>
      </c>
      <c r="AK445">
        <v>12</v>
      </c>
      <c r="AL445" t="s">
        <v>718</v>
      </c>
      <c r="AM445" t="s">
        <v>719</v>
      </c>
      <c r="AN445" t="s">
        <v>720</v>
      </c>
      <c r="AO445" t="s">
        <v>744</v>
      </c>
      <c r="AP445" t="s">
        <v>745</v>
      </c>
      <c r="AQ445" t="s">
        <v>74</v>
      </c>
      <c r="AR445" t="s">
        <v>746</v>
      </c>
      <c r="AS445" t="s">
        <v>747</v>
      </c>
      <c r="AT445" t="s">
        <v>3935</v>
      </c>
      <c r="AU445">
        <v>2011</v>
      </c>
      <c r="AV445">
        <v>58</v>
      </c>
      <c r="AW445" t="s">
        <v>2089</v>
      </c>
      <c r="AX445" t="s">
        <v>74</v>
      </c>
      <c r="AY445" t="s">
        <v>74</v>
      </c>
      <c r="AZ445" t="s">
        <v>967</v>
      </c>
      <c r="BA445" t="s">
        <v>74</v>
      </c>
      <c r="BB445">
        <v>163</v>
      </c>
      <c r="BC445">
        <v>169</v>
      </c>
      <c r="BD445" t="s">
        <v>74</v>
      </c>
      <c r="BE445" t="s">
        <v>8116</v>
      </c>
      <c r="BF445" t="str">
        <f>HYPERLINK("http://dx.doi.org/10.1016/j.dsr2.2010.05.023","http://dx.doi.org/10.1016/j.dsr2.2010.05.023")</f>
        <v>http://dx.doi.org/10.1016/j.dsr2.2010.05.023</v>
      </c>
      <c r="BG445" t="s">
        <v>74</v>
      </c>
      <c r="BH445" t="s">
        <v>74</v>
      </c>
      <c r="BI445">
        <v>7</v>
      </c>
      <c r="BJ445" t="s">
        <v>250</v>
      </c>
      <c r="BK445" t="s">
        <v>2022</v>
      </c>
      <c r="BL445" t="s">
        <v>250</v>
      </c>
      <c r="BM445" t="s">
        <v>4423</v>
      </c>
      <c r="BN445" t="s">
        <v>74</v>
      </c>
      <c r="BO445" t="s">
        <v>74</v>
      </c>
      <c r="BP445" t="s">
        <v>74</v>
      </c>
      <c r="BQ445" t="s">
        <v>74</v>
      </c>
      <c r="BR445" t="s">
        <v>103</v>
      </c>
      <c r="BS445" t="s">
        <v>8117</v>
      </c>
      <c r="BT445" t="str">
        <f>HYPERLINK("https%3A%2F%2Fwww.webofscience.com%2Fwos%2Fwoscc%2Ffull-record%2FWOS:000288470800016","View Full Record in Web of Science")</f>
        <v>View Full Record in Web of Science</v>
      </c>
    </row>
    <row r="446" spans="1:72" x14ac:dyDescent="0.15">
      <c r="A446" t="s">
        <v>72</v>
      </c>
      <c r="B446" t="s">
        <v>8118</v>
      </c>
      <c r="C446" t="s">
        <v>74</v>
      </c>
      <c r="D446" t="s">
        <v>74</v>
      </c>
      <c r="E446" t="s">
        <v>74</v>
      </c>
      <c r="F446" t="s">
        <v>8119</v>
      </c>
      <c r="G446" t="s">
        <v>74</v>
      </c>
      <c r="H446" t="s">
        <v>74</v>
      </c>
      <c r="I446" t="s">
        <v>8120</v>
      </c>
      <c r="J446" t="s">
        <v>731</v>
      </c>
      <c r="K446" t="s">
        <v>74</v>
      </c>
      <c r="L446" t="s">
        <v>74</v>
      </c>
      <c r="M446" t="s">
        <v>78</v>
      </c>
      <c r="N446" t="s">
        <v>2000</v>
      </c>
      <c r="O446" t="s">
        <v>4410</v>
      </c>
      <c r="P446" t="s">
        <v>4411</v>
      </c>
      <c r="Q446" t="s">
        <v>4412</v>
      </c>
      <c r="R446" t="s">
        <v>74</v>
      </c>
      <c r="S446" t="s">
        <v>74</v>
      </c>
      <c r="T446" t="s">
        <v>8121</v>
      </c>
      <c r="U446" t="s">
        <v>8122</v>
      </c>
      <c r="V446" t="s">
        <v>8123</v>
      </c>
      <c r="W446" t="s">
        <v>8124</v>
      </c>
      <c r="X446" t="s">
        <v>8125</v>
      </c>
      <c r="Y446" t="s">
        <v>8126</v>
      </c>
      <c r="Z446" t="s">
        <v>8127</v>
      </c>
      <c r="AA446" t="s">
        <v>8128</v>
      </c>
      <c r="AB446" t="s">
        <v>74</v>
      </c>
      <c r="AC446" t="s">
        <v>74</v>
      </c>
      <c r="AD446" t="s">
        <v>74</v>
      </c>
      <c r="AE446" t="s">
        <v>74</v>
      </c>
      <c r="AF446" t="s">
        <v>74</v>
      </c>
      <c r="AG446">
        <v>48</v>
      </c>
      <c r="AH446">
        <v>64</v>
      </c>
      <c r="AI446">
        <v>68</v>
      </c>
      <c r="AJ446">
        <v>4</v>
      </c>
      <c r="AK446">
        <v>43</v>
      </c>
      <c r="AL446" t="s">
        <v>718</v>
      </c>
      <c r="AM446" t="s">
        <v>719</v>
      </c>
      <c r="AN446" t="s">
        <v>720</v>
      </c>
      <c r="AO446" t="s">
        <v>744</v>
      </c>
      <c r="AP446" t="s">
        <v>745</v>
      </c>
      <c r="AQ446" t="s">
        <v>74</v>
      </c>
      <c r="AR446" t="s">
        <v>746</v>
      </c>
      <c r="AS446" t="s">
        <v>747</v>
      </c>
      <c r="AT446" t="s">
        <v>3935</v>
      </c>
      <c r="AU446">
        <v>2011</v>
      </c>
      <c r="AV446">
        <v>58</v>
      </c>
      <c r="AW446" t="s">
        <v>2089</v>
      </c>
      <c r="AX446" t="s">
        <v>74</v>
      </c>
      <c r="AY446" t="s">
        <v>74</v>
      </c>
      <c r="AZ446" t="s">
        <v>967</v>
      </c>
      <c r="BA446" t="s">
        <v>74</v>
      </c>
      <c r="BB446">
        <v>170</v>
      </c>
      <c r="BC446">
        <v>180</v>
      </c>
      <c r="BD446" t="s">
        <v>74</v>
      </c>
      <c r="BE446" t="s">
        <v>8129</v>
      </c>
      <c r="BF446" t="str">
        <f>HYPERLINK("http://dx.doi.org/10.1016/j.dsr2.2010.09.007","http://dx.doi.org/10.1016/j.dsr2.2010.09.007")</f>
        <v>http://dx.doi.org/10.1016/j.dsr2.2010.09.007</v>
      </c>
      <c r="BG446" t="s">
        <v>74</v>
      </c>
      <c r="BH446" t="s">
        <v>74</v>
      </c>
      <c r="BI446">
        <v>11</v>
      </c>
      <c r="BJ446" t="s">
        <v>250</v>
      </c>
      <c r="BK446" t="s">
        <v>2022</v>
      </c>
      <c r="BL446" t="s">
        <v>250</v>
      </c>
      <c r="BM446" t="s">
        <v>4423</v>
      </c>
      <c r="BN446" t="s">
        <v>74</v>
      </c>
      <c r="BO446" t="s">
        <v>74</v>
      </c>
      <c r="BP446" t="s">
        <v>74</v>
      </c>
      <c r="BQ446" t="s">
        <v>74</v>
      </c>
      <c r="BR446" t="s">
        <v>103</v>
      </c>
      <c r="BS446" t="s">
        <v>8130</v>
      </c>
      <c r="BT446" t="str">
        <f>HYPERLINK("https%3A%2F%2Fwww.webofscience.com%2Fwos%2Fwoscc%2Ffull-record%2FWOS:000288470800017","View Full Record in Web of Science")</f>
        <v>View Full Record in Web of Science</v>
      </c>
    </row>
    <row r="447" spans="1:72" x14ac:dyDescent="0.15">
      <c r="A447" t="s">
        <v>72</v>
      </c>
      <c r="B447" t="s">
        <v>8131</v>
      </c>
      <c r="C447" t="s">
        <v>74</v>
      </c>
      <c r="D447" t="s">
        <v>74</v>
      </c>
      <c r="E447" t="s">
        <v>74</v>
      </c>
      <c r="F447" t="s">
        <v>8132</v>
      </c>
      <c r="G447" t="s">
        <v>74</v>
      </c>
      <c r="H447" t="s">
        <v>74</v>
      </c>
      <c r="I447" t="s">
        <v>8133</v>
      </c>
      <c r="J447" t="s">
        <v>731</v>
      </c>
      <c r="K447" t="s">
        <v>74</v>
      </c>
      <c r="L447" t="s">
        <v>74</v>
      </c>
      <c r="M447" t="s">
        <v>78</v>
      </c>
      <c r="N447" t="s">
        <v>2000</v>
      </c>
      <c r="O447" t="s">
        <v>4410</v>
      </c>
      <c r="P447" t="s">
        <v>4411</v>
      </c>
      <c r="Q447" t="s">
        <v>4412</v>
      </c>
      <c r="R447" t="s">
        <v>74</v>
      </c>
      <c r="S447" t="s">
        <v>74</v>
      </c>
      <c r="T447" t="s">
        <v>8134</v>
      </c>
      <c r="U447" t="s">
        <v>8135</v>
      </c>
      <c r="V447" t="s">
        <v>8136</v>
      </c>
      <c r="W447" t="s">
        <v>8137</v>
      </c>
      <c r="X447" t="s">
        <v>8138</v>
      </c>
      <c r="Y447" t="s">
        <v>8139</v>
      </c>
      <c r="Z447" t="s">
        <v>8140</v>
      </c>
      <c r="AA447" t="s">
        <v>8141</v>
      </c>
      <c r="AB447" t="s">
        <v>8142</v>
      </c>
      <c r="AC447" t="s">
        <v>7283</v>
      </c>
      <c r="AD447" t="s">
        <v>1687</v>
      </c>
      <c r="AE447" t="s">
        <v>74</v>
      </c>
      <c r="AF447" t="s">
        <v>74</v>
      </c>
      <c r="AG447">
        <v>56</v>
      </c>
      <c r="AH447">
        <v>45</v>
      </c>
      <c r="AI447">
        <v>46</v>
      </c>
      <c r="AJ447">
        <v>0</v>
      </c>
      <c r="AK447">
        <v>22</v>
      </c>
      <c r="AL447" t="s">
        <v>718</v>
      </c>
      <c r="AM447" t="s">
        <v>719</v>
      </c>
      <c r="AN447" t="s">
        <v>720</v>
      </c>
      <c r="AO447" t="s">
        <v>744</v>
      </c>
      <c r="AP447" t="s">
        <v>745</v>
      </c>
      <c r="AQ447" t="s">
        <v>74</v>
      </c>
      <c r="AR447" t="s">
        <v>746</v>
      </c>
      <c r="AS447" t="s">
        <v>747</v>
      </c>
      <c r="AT447" t="s">
        <v>3935</v>
      </c>
      <c r="AU447">
        <v>2011</v>
      </c>
      <c r="AV447">
        <v>58</v>
      </c>
      <c r="AW447" t="s">
        <v>2089</v>
      </c>
      <c r="AX447" t="s">
        <v>74</v>
      </c>
      <c r="AY447" t="s">
        <v>74</v>
      </c>
      <c r="AZ447" t="s">
        <v>967</v>
      </c>
      <c r="BA447" t="s">
        <v>74</v>
      </c>
      <c r="BB447">
        <v>196</v>
      </c>
      <c r="BC447">
        <v>204</v>
      </c>
      <c r="BD447" t="s">
        <v>74</v>
      </c>
      <c r="BE447" t="s">
        <v>8143</v>
      </c>
      <c r="BF447" t="str">
        <f>HYPERLINK("http://dx.doi.org/10.1016/j.dsr2.2010.05.015","http://dx.doi.org/10.1016/j.dsr2.2010.05.015")</f>
        <v>http://dx.doi.org/10.1016/j.dsr2.2010.05.015</v>
      </c>
      <c r="BG447" t="s">
        <v>74</v>
      </c>
      <c r="BH447" t="s">
        <v>74</v>
      </c>
      <c r="BI447">
        <v>9</v>
      </c>
      <c r="BJ447" t="s">
        <v>250</v>
      </c>
      <c r="BK447" t="s">
        <v>2022</v>
      </c>
      <c r="BL447" t="s">
        <v>250</v>
      </c>
      <c r="BM447" t="s">
        <v>4423</v>
      </c>
      <c r="BN447" t="s">
        <v>74</v>
      </c>
      <c r="BO447" t="s">
        <v>74</v>
      </c>
      <c r="BP447" t="s">
        <v>74</v>
      </c>
      <c r="BQ447" t="s">
        <v>74</v>
      </c>
      <c r="BR447" t="s">
        <v>103</v>
      </c>
      <c r="BS447" t="s">
        <v>8144</v>
      </c>
      <c r="BT447" t="str">
        <f>HYPERLINK("https%3A%2F%2Fwww.webofscience.com%2Fwos%2Fwoscc%2Ffull-record%2FWOS:000288470800019","View Full Record in Web of Science")</f>
        <v>View Full Record in Web of Science</v>
      </c>
    </row>
    <row r="448" spans="1:72" x14ac:dyDescent="0.15">
      <c r="A448" t="s">
        <v>72</v>
      </c>
      <c r="B448" t="s">
        <v>8145</v>
      </c>
      <c r="C448" t="s">
        <v>74</v>
      </c>
      <c r="D448" t="s">
        <v>74</v>
      </c>
      <c r="E448" t="s">
        <v>74</v>
      </c>
      <c r="F448" t="s">
        <v>8146</v>
      </c>
      <c r="G448" t="s">
        <v>74</v>
      </c>
      <c r="H448" t="s">
        <v>74</v>
      </c>
      <c r="I448" t="s">
        <v>8147</v>
      </c>
      <c r="J448" t="s">
        <v>731</v>
      </c>
      <c r="K448" t="s">
        <v>74</v>
      </c>
      <c r="L448" t="s">
        <v>74</v>
      </c>
      <c r="M448" t="s">
        <v>78</v>
      </c>
      <c r="N448" t="s">
        <v>2000</v>
      </c>
      <c r="O448" t="s">
        <v>4410</v>
      </c>
      <c r="P448" t="s">
        <v>4411</v>
      </c>
      <c r="Q448" t="s">
        <v>4412</v>
      </c>
      <c r="R448" t="s">
        <v>74</v>
      </c>
      <c r="S448" t="s">
        <v>74</v>
      </c>
      <c r="T448" t="s">
        <v>8148</v>
      </c>
      <c r="U448" t="s">
        <v>8149</v>
      </c>
      <c r="V448" t="s">
        <v>8150</v>
      </c>
      <c r="W448" t="s">
        <v>8151</v>
      </c>
      <c r="X448" t="s">
        <v>8152</v>
      </c>
      <c r="Y448" t="s">
        <v>8153</v>
      </c>
      <c r="Z448" t="s">
        <v>8154</v>
      </c>
      <c r="AA448" t="s">
        <v>8155</v>
      </c>
      <c r="AB448" t="s">
        <v>8156</v>
      </c>
      <c r="AC448" t="s">
        <v>74</v>
      </c>
      <c r="AD448" t="s">
        <v>74</v>
      </c>
      <c r="AE448" t="s">
        <v>74</v>
      </c>
      <c r="AF448" t="s">
        <v>74</v>
      </c>
      <c r="AG448">
        <v>80</v>
      </c>
      <c r="AH448">
        <v>63</v>
      </c>
      <c r="AI448">
        <v>70</v>
      </c>
      <c r="AJ448">
        <v>0</v>
      </c>
      <c r="AK448">
        <v>21</v>
      </c>
      <c r="AL448" t="s">
        <v>718</v>
      </c>
      <c r="AM448" t="s">
        <v>719</v>
      </c>
      <c r="AN448" t="s">
        <v>720</v>
      </c>
      <c r="AO448" t="s">
        <v>744</v>
      </c>
      <c r="AP448" t="s">
        <v>745</v>
      </c>
      <c r="AQ448" t="s">
        <v>74</v>
      </c>
      <c r="AR448" t="s">
        <v>746</v>
      </c>
      <c r="AS448" t="s">
        <v>747</v>
      </c>
      <c r="AT448" t="s">
        <v>3935</v>
      </c>
      <c r="AU448">
        <v>2011</v>
      </c>
      <c r="AV448">
        <v>58</v>
      </c>
      <c r="AW448" t="s">
        <v>2089</v>
      </c>
      <c r="AX448" t="s">
        <v>74</v>
      </c>
      <c r="AY448" t="s">
        <v>74</v>
      </c>
      <c r="AZ448" t="s">
        <v>967</v>
      </c>
      <c r="BA448" t="s">
        <v>74</v>
      </c>
      <c r="BB448">
        <v>205</v>
      </c>
      <c r="BC448">
        <v>211</v>
      </c>
      <c r="BD448" t="s">
        <v>74</v>
      </c>
      <c r="BE448" t="s">
        <v>8157</v>
      </c>
      <c r="BF448" t="str">
        <f>HYPERLINK("http://dx.doi.org/10.1016/j.dsr2.2010.10.012","http://dx.doi.org/10.1016/j.dsr2.2010.10.012")</f>
        <v>http://dx.doi.org/10.1016/j.dsr2.2010.10.012</v>
      </c>
      <c r="BG448" t="s">
        <v>74</v>
      </c>
      <c r="BH448" t="s">
        <v>74</v>
      </c>
      <c r="BI448">
        <v>7</v>
      </c>
      <c r="BJ448" t="s">
        <v>250</v>
      </c>
      <c r="BK448" t="s">
        <v>2022</v>
      </c>
      <c r="BL448" t="s">
        <v>250</v>
      </c>
      <c r="BM448" t="s">
        <v>4423</v>
      </c>
      <c r="BN448" t="s">
        <v>74</v>
      </c>
      <c r="BO448" t="s">
        <v>726</v>
      </c>
      <c r="BP448" t="s">
        <v>74</v>
      </c>
      <c r="BQ448" t="s">
        <v>74</v>
      </c>
      <c r="BR448" t="s">
        <v>103</v>
      </c>
      <c r="BS448" t="s">
        <v>8158</v>
      </c>
      <c r="BT448" t="str">
        <f>HYPERLINK("https%3A%2F%2Fwww.webofscience.com%2Fwos%2Fwoscc%2Ffull-record%2FWOS:000288470800020","View Full Record in Web of Science")</f>
        <v>View Full Record in Web of Science</v>
      </c>
    </row>
    <row r="449" spans="1:72" x14ac:dyDescent="0.15">
      <c r="A449" t="s">
        <v>72</v>
      </c>
      <c r="B449" t="s">
        <v>8159</v>
      </c>
      <c r="C449" t="s">
        <v>74</v>
      </c>
      <c r="D449" t="s">
        <v>74</v>
      </c>
      <c r="E449" t="s">
        <v>74</v>
      </c>
      <c r="F449" t="s">
        <v>8160</v>
      </c>
      <c r="G449" t="s">
        <v>74</v>
      </c>
      <c r="H449" t="s">
        <v>74</v>
      </c>
      <c r="I449" t="s">
        <v>8161</v>
      </c>
      <c r="J449" t="s">
        <v>731</v>
      </c>
      <c r="K449" t="s">
        <v>74</v>
      </c>
      <c r="L449" t="s">
        <v>74</v>
      </c>
      <c r="M449" t="s">
        <v>78</v>
      </c>
      <c r="N449" t="s">
        <v>2000</v>
      </c>
      <c r="O449" t="s">
        <v>4410</v>
      </c>
      <c r="P449" t="s">
        <v>4411</v>
      </c>
      <c r="Q449" t="s">
        <v>4412</v>
      </c>
      <c r="R449" t="s">
        <v>74</v>
      </c>
      <c r="S449" t="s">
        <v>74</v>
      </c>
      <c r="T449" t="s">
        <v>8162</v>
      </c>
      <c r="U449" t="s">
        <v>8163</v>
      </c>
      <c r="V449" t="s">
        <v>8164</v>
      </c>
      <c r="W449" t="s">
        <v>8165</v>
      </c>
      <c r="X449" t="s">
        <v>8166</v>
      </c>
      <c r="Y449" t="s">
        <v>8167</v>
      </c>
      <c r="Z449" t="s">
        <v>8168</v>
      </c>
      <c r="AA449" t="s">
        <v>8169</v>
      </c>
      <c r="AB449" t="s">
        <v>8170</v>
      </c>
      <c r="AC449" t="s">
        <v>74</v>
      </c>
      <c r="AD449" t="s">
        <v>74</v>
      </c>
      <c r="AE449" t="s">
        <v>74</v>
      </c>
      <c r="AF449" t="s">
        <v>74</v>
      </c>
      <c r="AG449">
        <v>40</v>
      </c>
      <c r="AH449">
        <v>68</v>
      </c>
      <c r="AI449">
        <v>73</v>
      </c>
      <c r="AJ449">
        <v>1</v>
      </c>
      <c r="AK449">
        <v>25</v>
      </c>
      <c r="AL449" t="s">
        <v>718</v>
      </c>
      <c r="AM449" t="s">
        <v>719</v>
      </c>
      <c r="AN449" t="s">
        <v>720</v>
      </c>
      <c r="AO449" t="s">
        <v>744</v>
      </c>
      <c r="AP449" t="s">
        <v>745</v>
      </c>
      <c r="AQ449" t="s">
        <v>74</v>
      </c>
      <c r="AR449" t="s">
        <v>746</v>
      </c>
      <c r="AS449" t="s">
        <v>747</v>
      </c>
      <c r="AT449" t="s">
        <v>3935</v>
      </c>
      <c r="AU449">
        <v>2011</v>
      </c>
      <c r="AV449">
        <v>58</v>
      </c>
      <c r="AW449" t="s">
        <v>2089</v>
      </c>
      <c r="AX449" t="s">
        <v>74</v>
      </c>
      <c r="AY449" t="s">
        <v>74</v>
      </c>
      <c r="AZ449" t="s">
        <v>967</v>
      </c>
      <c r="BA449" t="s">
        <v>74</v>
      </c>
      <c r="BB449">
        <v>212</v>
      </c>
      <c r="BC449">
        <v>219</v>
      </c>
      <c r="BD449" t="s">
        <v>74</v>
      </c>
      <c r="BE449" t="s">
        <v>8171</v>
      </c>
      <c r="BF449" t="str">
        <f>HYPERLINK("http://dx.doi.org/10.1016/j.dsr2.2010.05.019","http://dx.doi.org/10.1016/j.dsr2.2010.05.019")</f>
        <v>http://dx.doi.org/10.1016/j.dsr2.2010.05.019</v>
      </c>
      <c r="BG449" t="s">
        <v>74</v>
      </c>
      <c r="BH449" t="s">
        <v>74</v>
      </c>
      <c r="BI449">
        <v>8</v>
      </c>
      <c r="BJ449" t="s">
        <v>250</v>
      </c>
      <c r="BK449" t="s">
        <v>2022</v>
      </c>
      <c r="BL449" t="s">
        <v>250</v>
      </c>
      <c r="BM449" t="s">
        <v>4423</v>
      </c>
      <c r="BN449" t="s">
        <v>74</v>
      </c>
      <c r="BO449" t="s">
        <v>74</v>
      </c>
      <c r="BP449" t="s">
        <v>74</v>
      </c>
      <c r="BQ449" t="s">
        <v>74</v>
      </c>
      <c r="BR449" t="s">
        <v>103</v>
      </c>
      <c r="BS449" t="s">
        <v>8172</v>
      </c>
      <c r="BT449" t="str">
        <f>HYPERLINK("https%3A%2F%2Fwww.webofscience.com%2Fwos%2Fwoscc%2Ffull-record%2FWOS:000288470800021","View Full Record in Web of Science")</f>
        <v>View Full Record in Web of Science</v>
      </c>
    </row>
    <row r="450" spans="1:72" x14ac:dyDescent="0.15">
      <c r="A450" t="s">
        <v>72</v>
      </c>
      <c r="B450" t="s">
        <v>8173</v>
      </c>
      <c r="C450" t="s">
        <v>74</v>
      </c>
      <c r="D450" t="s">
        <v>74</v>
      </c>
      <c r="E450" t="s">
        <v>74</v>
      </c>
      <c r="F450" t="s">
        <v>8174</v>
      </c>
      <c r="G450" t="s">
        <v>74</v>
      </c>
      <c r="H450" t="s">
        <v>74</v>
      </c>
      <c r="I450" t="s">
        <v>8175</v>
      </c>
      <c r="J450" t="s">
        <v>731</v>
      </c>
      <c r="K450" t="s">
        <v>74</v>
      </c>
      <c r="L450" t="s">
        <v>74</v>
      </c>
      <c r="M450" t="s">
        <v>78</v>
      </c>
      <c r="N450" t="s">
        <v>2000</v>
      </c>
      <c r="O450" t="s">
        <v>4410</v>
      </c>
      <c r="P450" t="s">
        <v>4411</v>
      </c>
      <c r="Q450" t="s">
        <v>4412</v>
      </c>
      <c r="R450" t="s">
        <v>74</v>
      </c>
      <c r="S450" t="s">
        <v>74</v>
      </c>
      <c r="T450" t="s">
        <v>8176</v>
      </c>
      <c r="U450" t="s">
        <v>8177</v>
      </c>
      <c r="V450" t="s">
        <v>8178</v>
      </c>
      <c r="W450" t="s">
        <v>8179</v>
      </c>
      <c r="X450" t="s">
        <v>8180</v>
      </c>
      <c r="Y450" t="s">
        <v>8181</v>
      </c>
      <c r="Z450" t="s">
        <v>8182</v>
      </c>
      <c r="AA450" t="s">
        <v>8183</v>
      </c>
      <c r="AB450" t="s">
        <v>8184</v>
      </c>
      <c r="AC450" t="s">
        <v>74</v>
      </c>
      <c r="AD450" t="s">
        <v>74</v>
      </c>
      <c r="AE450" t="s">
        <v>74</v>
      </c>
      <c r="AF450" t="s">
        <v>74</v>
      </c>
      <c r="AG450">
        <v>82</v>
      </c>
      <c r="AH450">
        <v>62</v>
      </c>
      <c r="AI450">
        <v>77</v>
      </c>
      <c r="AJ450">
        <v>0</v>
      </c>
      <c r="AK450">
        <v>25</v>
      </c>
      <c r="AL450" t="s">
        <v>718</v>
      </c>
      <c r="AM450" t="s">
        <v>719</v>
      </c>
      <c r="AN450" t="s">
        <v>720</v>
      </c>
      <c r="AO450" t="s">
        <v>744</v>
      </c>
      <c r="AP450" t="s">
        <v>745</v>
      </c>
      <c r="AQ450" t="s">
        <v>74</v>
      </c>
      <c r="AR450" t="s">
        <v>746</v>
      </c>
      <c r="AS450" t="s">
        <v>747</v>
      </c>
      <c r="AT450" t="s">
        <v>3935</v>
      </c>
      <c r="AU450">
        <v>2011</v>
      </c>
      <c r="AV450">
        <v>58</v>
      </c>
      <c r="AW450" t="s">
        <v>2089</v>
      </c>
      <c r="AX450" t="s">
        <v>74</v>
      </c>
      <c r="AY450" t="s">
        <v>74</v>
      </c>
      <c r="AZ450" t="s">
        <v>967</v>
      </c>
      <c r="BA450" t="s">
        <v>74</v>
      </c>
      <c r="BB450">
        <v>230</v>
      </c>
      <c r="BC450">
        <v>241</v>
      </c>
      <c r="BD450" t="s">
        <v>74</v>
      </c>
      <c r="BE450" t="s">
        <v>8185</v>
      </c>
      <c r="BF450" t="str">
        <f>HYPERLINK("http://dx.doi.org/10.1016/j.dsr2.2010.09.028","http://dx.doi.org/10.1016/j.dsr2.2010.09.028")</f>
        <v>http://dx.doi.org/10.1016/j.dsr2.2010.09.028</v>
      </c>
      <c r="BG450" t="s">
        <v>74</v>
      </c>
      <c r="BH450" t="s">
        <v>74</v>
      </c>
      <c r="BI450">
        <v>12</v>
      </c>
      <c r="BJ450" t="s">
        <v>250</v>
      </c>
      <c r="BK450" t="s">
        <v>2022</v>
      </c>
      <c r="BL450" t="s">
        <v>250</v>
      </c>
      <c r="BM450" t="s">
        <v>4423</v>
      </c>
      <c r="BN450" t="s">
        <v>74</v>
      </c>
      <c r="BO450" t="s">
        <v>74</v>
      </c>
      <c r="BP450" t="s">
        <v>74</v>
      </c>
      <c r="BQ450" t="s">
        <v>74</v>
      </c>
      <c r="BR450" t="s">
        <v>103</v>
      </c>
      <c r="BS450" t="s">
        <v>8186</v>
      </c>
      <c r="BT450" t="str">
        <f>HYPERLINK("https%3A%2F%2Fwww.webofscience.com%2Fwos%2Fwoscc%2Ffull-record%2FWOS:000288470800023","View Full Record in Web of Science")</f>
        <v>View Full Record in Web of Science</v>
      </c>
    </row>
    <row r="451" spans="1:72" x14ac:dyDescent="0.15">
      <c r="A451" t="s">
        <v>72</v>
      </c>
      <c r="B451" t="s">
        <v>8187</v>
      </c>
      <c r="C451" t="s">
        <v>74</v>
      </c>
      <c r="D451" t="s">
        <v>74</v>
      </c>
      <c r="E451" t="s">
        <v>74</v>
      </c>
      <c r="F451" t="s">
        <v>8188</v>
      </c>
      <c r="G451" t="s">
        <v>74</v>
      </c>
      <c r="H451" t="s">
        <v>74</v>
      </c>
      <c r="I451" t="s">
        <v>8189</v>
      </c>
      <c r="J451" t="s">
        <v>731</v>
      </c>
      <c r="K451" t="s">
        <v>74</v>
      </c>
      <c r="L451" t="s">
        <v>74</v>
      </c>
      <c r="M451" t="s">
        <v>78</v>
      </c>
      <c r="N451" t="s">
        <v>2000</v>
      </c>
      <c r="O451" t="s">
        <v>4410</v>
      </c>
      <c r="P451" t="s">
        <v>4411</v>
      </c>
      <c r="Q451" t="s">
        <v>4412</v>
      </c>
      <c r="R451" t="s">
        <v>74</v>
      </c>
      <c r="S451" t="s">
        <v>74</v>
      </c>
      <c r="T451" t="s">
        <v>8190</v>
      </c>
      <c r="U451" t="s">
        <v>8191</v>
      </c>
      <c r="V451" t="s">
        <v>8192</v>
      </c>
      <c r="W451" t="s">
        <v>8193</v>
      </c>
      <c r="X451" t="s">
        <v>8194</v>
      </c>
      <c r="Y451" t="s">
        <v>8195</v>
      </c>
      <c r="Z451" t="s">
        <v>8196</v>
      </c>
      <c r="AA451" t="s">
        <v>8197</v>
      </c>
      <c r="AB451" t="s">
        <v>8198</v>
      </c>
      <c r="AC451" t="s">
        <v>7958</v>
      </c>
      <c r="AD451" t="s">
        <v>1215</v>
      </c>
      <c r="AE451" t="s">
        <v>74</v>
      </c>
      <c r="AF451" t="s">
        <v>74</v>
      </c>
      <c r="AG451">
        <v>57</v>
      </c>
      <c r="AH451">
        <v>108</v>
      </c>
      <c r="AI451">
        <v>118</v>
      </c>
      <c r="AJ451">
        <v>0</v>
      </c>
      <c r="AK451">
        <v>38</v>
      </c>
      <c r="AL451" t="s">
        <v>718</v>
      </c>
      <c r="AM451" t="s">
        <v>719</v>
      </c>
      <c r="AN451" t="s">
        <v>720</v>
      </c>
      <c r="AO451" t="s">
        <v>744</v>
      </c>
      <c r="AP451" t="s">
        <v>745</v>
      </c>
      <c r="AQ451" t="s">
        <v>74</v>
      </c>
      <c r="AR451" t="s">
        <v>746</v>
      </c>
      <c r="AS451" t="s">
        <v>747</v>
      </c>
      <c r="AT451" t="s">
        <v>3935</v>
      </c>
      <c r="AU451">
        <v>2011</v>
      </c>
      <c r="AV451">
        <v>58</v>
      </c>
      <c r="AW451" t="s">
        <v>2089</v>
      </c>
      <c r="AX451" t="s">
        <v>74</v>
      </c>
      <c r="AY451" t="s">
        <v>74</v>
      </c>
      <c r="AZ451" t="s">
        <v>967</v>
      </c>
      <c r="BA451" t="s">
        <v>74</v>
      </c>
      <c r="BB451">
        <v>242</v>
      </c>
      <c r="BC451">
        <v>249</v>
      </c>
      <c r="BD451" t="s">
        <v>74</v>
      </c>
      <c r="BE451" t="s">
        <v>8199</v>
      </c>
      <c r="BF451" t="str">
        <f>HYPERLINK("http://dx.doi.org/10.1016/j.dsr2.2010.05.016","http://dx.doi.org/10.1016/j.dsr2.2010.05.016")</f>
        <v>http://dx.doi.org/10.1016/j.dsr2.2010.05.016</v>
      </c>
      <c r="BG451" t="s">
        <v>74</v>
      </c>
      <c r="BH451" t="s">
        <v>74</v>
      </c>
      <c r="BI451">
        <v>8</v>
      </c>
      <c r="BJ451" t="s">
        <v>250</v>
      </c>
      <c r="BK451" t="s">
        <v>2022</v>
      </c>
      <c r="BL451" t="s">
        <v>250</v>
      </c>
      <c r="BM451" t="s">
        <v>4423</v>
      </c>
      <c r="BN451" t="s">
        <v>74</v>
      </c>
      <c r="BO451" t="s">
        <v>74</v>
      </c>
      <c r="BP451" t="s">
        <v>74</v>
      </c>
      <c r="BQ451" t="s">
        <v>74</v>
      </c>
      <c r="BR451" t="s">
        <v>103</v>
      </c>
      <c r="BS451" t="s">
        <v>8200</v>
      </c>
      <c r="BT451" t="str">
        <f>HYPERLINK("https%3A%2F%2Fwww.webofscience.com%2Fwos%2Fwoscc%2Ffull-record%2FWOS:000288470800024","View Full Record in Web of Science")</f>
        <v>View Full Record in Web of Science</v>
      </c>
    </row>
    <row r="452" spans="1:72" x14ac:dyDescent="0.15">
      <c r="A452" t="s">
        <v>72</v>
      </c>
      <c r="B452" t="s">
        <v>8201</v>
      </c>
      <c r="C452" t="s">
        <v>74</v>
      </c>
      <c r="D452" t="s">
        <v>74</v>
      </c>
      <c r="E452" t="s">
        <v>74</v>
      </c>
      <c r="F452" t="s">
        <v>8202</v>
      </c>
      <c r="G452" t="s">
        <v>74</v>
      </c>
      <c r="H452" t="s">
        <v>74</v>
      </c>
      <c r="I452" t="s">
        <v>8203</v>
      </c>
      <c r="J452" t="s">
        <v>731</v>
      </c>
      <c r="K452" t="s">
        <v>74</v>
      </c>
      <c r="L452" t="s">
        <v>74</v>
      </c>
      <c r="M452" t="s">
        <v>78</v>
      </c>
      <c r="N452" t="s">
        <v>2000</v>
      </c>
      <c r="O452" t="s">
        <v>4410</v>
      </c>
      <c r="P452" t="s">
        <v>4411</v>
      </c>
      <c r="Q452" t="s">
        <v>4412</v>
      </c>
      <c r="R452" t="s">
        <v>74</v>
      </c>
      <c r="S452" t="s">
        <v>74</v>
      </c>
      <c r="T452" t="s">
        <v>8204</v>
      </c>
      <c r="U452" t="s">
        <v>8205</v>
      </c>
      <c r="V452" t="s">
        <v>8206</v>
      </c>
      <c r="W452" t="s">
        <v>8207</v>
      </c>
      <c r="X452" t="s">
        <v>8208</v>
      </c>
      <c r="Y452" t="s">
        <v>8209</v>
      </c>
      <c r="Z452" t="s">
        <v>8210</v>
      </c>
      <c r="AA452" t="s">
        <v>8211</v>
      </c>
      <c r="AB452" t="s">
        <v>8212</v>
      </c>
      <c r="AC452" t="s">
        <v>74</v>
      </c>
      <c r="AD452" t="s">
        <v>74</v>
      </c>
      <c r="AE452" t="s">
        <v>74</v>
      </c>
      <c r="AF452" t="s">
        <v>74</v>
      </c>
      <c r="AG452">
        <v>58</v>
      </c>
      <c r="AH452">
        <v>60</v>
      </c>
      <c r="AI452">
        <v>64</v>
      </c>
      <c r="AJ452">
        <v>0</v>
      </c>
      <c r="AK452">
        <v>16</v>
      </c>
      <c r="AL452" t="s">
        <v>718</v>
      </c>
      <c r="AM452" t="s">
        <v>719</v>
      </c>
      <c r="AN452" t="s">
        <v>720</v>
      </c>
      <c r="AO452" t="s">
        <v>744</v>
      </c>
      <c r="AP452" t="s">
        <v>745</v>
      </c>
      <c r="AQ452" t="s">
        <v>74</v>
      </c>
      <c r="AR452" t="s">
        <v>746</v>
      </c>
      <c r="AS452" t="s">
        <v>747</v>
      </c>
      <c r="AT452" t="s">
        <v>3935</v>
      </c>
      <c r="AU452">
        <v>2011</v>
      </c>
      <c r="AV452">
        <v>58</v>
      </c>
      <c r="AW452" t="s">
        <v>2089</v>
      </c>
      <c r="AX452" t="s">
        <v>74</v>
      </c>
      <c r="AY452" t="s">
        <v>74</v>
      </c>
      <c r="AZ452" t="s">
        <v>967</v>
      </c>
      <c r="BA452" t="s">
        <v>74</v>
      </c>
      <c r="BB452">
        <v>250</v>
      </c>
      <c r="BC452">
        <v>263</v>
      </c>
      <c r="BD452" t="s">
        <v>74</v>
      </c>
      <c r="BE452" t="s">
        <v>8213</v>
      </c>
      <c r="BF452" t="str">
        <f>HYPERLINK("http://dx.doi.org/10.1016/j.dsr2.2010.05.021","http://dx.doi.org/10.1016/j.dsr2.2010.05.021")</f>
        <v>http://dx.doi.org/10.1016/j.dsr2.2010.05.021</v>
      </c>
      <c r="BG452" t="s">
        <v>74</v>
      </c>
      <c r="BH452" t="s">
        <v>74</v>
      </c>
      <c r="BI452">
        <v>14</v>
      </c>
      <c r="BJ452" t="s">
        <v>250</v>
      </c>
      <c r="BK452" t="s">
        <v>2022</v>
      </c>
      <c r="BL452" t="s">
        <v>250</v>
      </c>
      <c r="BM452" t="s">
        <v>4423</v>
      </c>
      <c r="BN452" t="s">
        <v>74</v>
      </c>
      <c r="BO452" t="s">
        <v>74</v>
      </c>
      <c r="BP452" t="s">
        <v>74</v>
      </c>
      <c r="BQ452" t="s">
        <v>74</v>
      </c>
      <c r="BR452" t="s">
        <v>103</v>
      </c>
      <c r="BS452" t="s">
        <v>8214</v>
      </c>
      <c r="BT452" t="str">
        <f>HYPERLINK("https%3A%2F%2Fwww.webofscience.com%2Fwos%2Fwoscc%2Ffull-record%2FWOS:000288470800025","View Full Record in Web of Science")</f>
        <v>View Full Record in Web of Science</v>
      </c>
    </row>
    <row r="453" spans="1:72" x14ac:dyDescent="0.15">
      <c r="A453" t="s">
        <v>72</v>
      </c>
      <c r="B453" t="s">
        <v>8215</v>
      </c>
      <c r="C453" t="s">
        <v>74</v>
      </c>
      <c r="D453" t="s">
        <v>74</v>
      </c>
      <c r="E453" t="s">
        <v>74</v>
      </c>
      <c r="F453" t="s">
        <v>8216</v>
      </c>
      <c r="G453" t="s">
        <v>74</v>
      </c>
      <c r="H453" t="s">
        <v>74</v>
      </c>
      <c r="I453" t="s">
        <v>8217</v>
      </c>
      <c r="J453" t="s">
        <v>731</v>
      </c>
      <c r="K453" t="s">
        <v>74</v>
      </c>
      <c r="L453" t="s">
        <v>74</v>
      </c>
      <c r="M453" t="s">
        <v>78</v>
      </c>
      <c r="N453" t="s">
        <v>2000</v>
      </c>
      <c r="O453" t="s">
        <v>4410</v>
      </c>
      <c r="P453" t="s">
        <v>4411</v>
      </c>
      <c r="Q453" t="s">
        <v>4412</v>
      </c>
      <c r="R453" t="s">
        <v>74</v>
      </c>
      <c r="S453" t="s">
        <v>74</v>
      </c>
      <c r="T453" t="s">
        <v>8218</v>
      </c>
      <c r="U453" t="s">
        <v>8219</v>
      </c>
      <c r="V453" t="s">
        <v>8220</v>
      </c>
      <c r="W453" t="s">
        <v>8221</v>
      </c>
      <c r="X453" t="s">
        <v>8222</v>
      </c>
      <c r="Y453" t="s">
        <v>8223</v>
      </c>
      <c r="Z453" t="s">
        <v>8224</v>
      </c>
      <c r="AA453" t="s">
        <v>74</v>
      </c>
      <c r="AB453" t="s">
        <v>8225</v>
      </c>
      <c r="AC453" t="s">
        <v>74</v>
      </c>
      <c r="AD453" t="s">
        <v>74</v>
      </c>
      <c r="AE453" t="s">
        <v>74</v>
      </c>
      <c r="AF453" t="s">
        <v>74</v>
      </c>
      <c r="AG453">
        <v>94</v>
      </c>
      <c r="AH453">
        <v>51</v>
      </c>
      <c r="AI453">
        <v>63</v>
      </c>
      <c r="AJ453">
        <v>0</v>
      </c>
      <c r="AK453">
        <v>46</v>
      </c>
      <c r="AL453" t="s">
        <v>718</v>
      </c>
      <c r="AM453" t="s">
        <v>719</v>
      </c>
      <c r="AN453" t="s">
        <v>720</v>
      </c>
      <c r="AO453" t="s">
        <v>744</v>
      </c>
      <c r="AP453" t="s">
        <v>745</v>
      </c>
      <c r="AQ453" t="s">
        <v>74</v>
      </c>
      <c r="AR453" t="s">
        <v>746</v>
      </c>
      <c r="AS453" t="s">
        <v>747</v>
      </c>
      <c r="AT453" t="s">
        <v>3935</v>
      </c>
      <c r="AU453">
        <v>2011</v>
      </c>
      <c r="AV453">
        <v>58</v>
      </c>
      <c r="AW453" t="s">
        <v>2089</v>
      </c>
      <c r="AX453" t="s">
        <v>74</v>
      </c>
      <c r="AY453" t="s">
        <v>74</v>
      </c>
      <c r="AZ453" t="s">
        <v>967</v>
      </c>
      <c r="BA453" t="s">
        <v>74</v>
      </c>
      <c r="BB453">
        <v>264</v>
      </c>
      <c r="BC453">
        <v>275</v>
      </c>
      <c r="BD453" t="s">
        <v>74</v>
      </c>
      <c r="BE453" t="s">
        <v>8226</v>
      </c>
      <c r="BF453" t="str">
        <f>HYPERLINK("http://dx.doi.org/10.1016/j.dsr2.2010.10.011","http://dx.doi.org/10.1016/j.dsr2.2010.10.011")</f>
        <v>http://dx.doi.org/10.1016/j.dsr2.2010.10.011</v>
      </c>
      <c r="BG453" t="s">
        <v>74</v>
      </c>
      <c r="BH453" t="s">
        <v>74</v>
      </c>
      <c r="BI453">
        <v>12</v>
      </c>
      <c r="BJ453" t="s">
        <v>250</v>
      </c>
      <c r="BK453" t="s">
        <v>2022</v>
      </c>
      <c r="BL453" t="s">
        <v>250</v>
      </c>
      <c r="BM453" t="s">
        <v>4423</v>
      </c>
      <c r="BN453" t="s">
        <v>74</v>
      </c>
      <c r="BO453" t="s">
        <v>74</v>
      </c>
      <c r="BP453" t="s">
        <v>74</v>
      </c>
      <c r="BQ453" t="s">
        <v>74</v>
      </c>
      <c r="BR453" t="s">
        <v>103</v>
      </c>
      <c r="BS453" t="s">
        <v>8227</v>
      </c>
      <c r="BT453" t="str">
        <f>HYPERLINK("https%3A%2F%2Fwww.webofscience.com%2Fwos%2Fwoscc%2Ffull-record%2FWOS:000288470800026","View Full Record in Web of Science")</f>
        <v>View Full Record in Web of Science</v>
      </c>
    </row>
    <row r="454" spans="1:72" x14ac:dyDescent="0.15">
      <c r="A454" t="s">
        <v>2017</v>
      </c>
      <c r="B454" t="s">
        <v>8228</v>
      </c>
      <c r="C454" t="s">
        <v>74</v>
      </c>
      <c r="D454" t="s">
        <v>8229</v>
      </c>
      <c r="E454" t="s">
        <v>74</v>
      </c>
      <c r="F454" t="s">
        <v>8230</v>
      </c>
      <c r="G454" t="s">
        <v>74</v>
      </c>
      <c r="H454" t="s">
        <v>74</v>
      </c>
      <c r="I454" t="s">
        <v>8231</v>
      </c>
      <c r="J454" t="s">
        <v>8232</v>
      </c>
      <c r="K454" t="s">
        <v>8233</v>
      </c>
      <c r="L454" t="s">
        <v>74</v>
      </c>
      <c r="M454" t="s">
        <v>78</v>
      </c>
      <c r="N454" t="s">
        <v>2370</v>
      </c>
      <c r="O454" t="s">
        <v>74</v>
      </c>
      <c r="P454" t="s">
        <v>74</v>
      </c>
      <c r="Q454" t="s">
        <v>74</v>
      </c>
      <c r="R454" t="s">
        <v>74</v>
      </c>
      <c r="S454" t="s">
        <v>74</v>
      </c>
      <c r="T454" t="s">
        <v>74</v>
      </c>
      <c r="U454" t="s">
        <v>8234</v>
      </c>
      <c r="V454" t="s">
        <v>74</v>
      </c>
      <c r="W454" t="s">
        <v>8235</v>
      </c>
      <c r="X454" t="s">
        <v>8236</v>
      </c>
      <c r="Y454" t="s">
        <v>8237</v>
      </c>
      <c r="Z454" t="s">
        <v>8238</v>
      </c>
      <c r="AA454" t="s">
        <v>74</v>
      </c>
      <c r="AB454" t="s">
        <v>74</v>
      </c>
      <c r="AC454" t="s">
        <v>74</v>
      </c>
      <c r="AD454" t="s">
        <v>74</v>
      </c>
      <c r="AE454" t="s">
        <v>74</v>
      </c>
      <c r="AF454" t="s">
        <v>74</v>
      </c>
      <c r="AG454">
        <v>105</v>
      </c>
      <c r="AH454">
        <v>13</v>
      </c>
      <c r="AI454">
        <v>13</v>
      </c>
      <c r="AJ454">
        <v>1</v>
      </c>
      <c r="AK454">
        <v>3</v>
      </c>
      <c r="AL454" t="s">
        <v>639</v>
      </c>
      <c r="AM454" t="s">
        <v>640</v>
      </c>
      <c r="AN454" t="s">
        <v>3533</v>
      </c>
      <c r="AO454" t="s">
        <v>8239</v>
      </c>
      <c r="AP454" t="s">
        <v>74</v>
      </c>
      <c r="AQ454" t="s">
        <v>8240</v>
      </c>
      <c r="AR454" t="s">
        <v>8241</v>
      </c>
      <c r="AS454" t="s">
        <v>74</v>
      </c>
      <c r="AT454" t="s">
        <v>74</v>
      </c>
      <c r="AU454">
        <v>2011</v>
      </c>
      <c r="AV454">
        <v>63</v>
      </c>
      <c r="AW454" t="s">
        <v>74</v>
      </c>
      <c r="AX454" t="s">
        <v>74</v>
      </c>
      <c r="AY454" t="s">
        <v>74</v>
      </c>
      <c r="AZ454" t="s">
        <v>74</v>
      </c>
      <c r="BA454" t="s">
        <v>74</v>
      </c>
      <c r="BB454">
        <v>793</v>
      </c>
      <c r="BC454">
        <v>823</v>
      </c>
      <c r="BD454" t="s">
        <v>74</v>
      </c>
      <c r="BE454" t="s">
        <v>8242</v>
      </c>
      <c r="BF454" t="str">
        <f>HYPERLINK("http://dx.doi.org/10.1016/S0070-4571(11)63012-4","http://dx.doi.org/10.1016/S0070-4571(11)63012-4")</f>
        <v>http://dx.doi.org/10.1016/S0070-4571(11)63012-4</v>
      </c>
      <c r="BG454" t="s">
        <v>74</v>
      </c>
      <c r="BH454" t="s">
        <v>74</v>
      </c>
      <c r="BI454">
        <v>31</v>
      </c>
      <c r="BJ454" t="s">
        <v>8243</v>
      </c>
      <c r="BK454" t="s">
        <v>2384</v>
      </c>
      <c r="BL454" t="s">
        <v>8243</v>
      </c>
      <c r="BM454" t="s">
        <v>8244</v>
      </c>
      <c r="BN454" t="s">
        <v>74</v>
      </c>
      <c r="BO454" t="s">
        <v>74</v>
      </c>
      <c r="BP454" t="s">
        <v>74</v>
      </c>
      <c r="BQ454" t="s">
        <v>74</v>
      </c>
      <c r="BR454" t="s">
        <v>103</v>
      </c>
      <c r="BS454" t="s">
        <v>8245</v>
      </c>
      <c r="BT454" t="str">
        <f>HYPERLINK("https%3A%2F%2Fwww.webofscience.com%2Fwos%2Fwoscc%2Ffull-record%2FWOS:000337925700013","View Full Record in Web of Science")</f>
        <v>View Full Record in Web of Science</v>
      </c>
    </row>
    <row r="455" spans="1:72" x14ac:dyDescent="0.15">
      <c r="A455" t="s">
        <v>2017</v>
      </c>
      <c r="B455" t="s">
        <v>8246</v>
      </c>
      <c r="C455" t="s">
        <v>74</v>
      </c>
      <c r="D455" t="s">
        <v>8247</v>
      </c>
      <c r="E455" t="s">
        <v>74</v>
      </c>
      <c r="F455" t="s">
        <v>8248</v>
      </c>
      <c r="G455" t="s">
        <v>74</v>
      </c>
      <c r="H455" t="s">
        <v>74</v>
      </c>
      <c r="I455" t="s">
        <v>8249</v>
      </c>
      <c r="J455" t="s">
        <v>8250</v>
      </c>
      <c r="K455" t="s">
        <v>8251</v>
      </c>
      <c r="L455" t="s">
        <v>74</v>
      </c>
      <c r="M455" t="s">
        <v>78</v>
      </c>
      <c r="N455" t="s">
        <v>2370</v>
      </c>
      <c r="O455" t="s">
        <v>74</v>
      </c>
      <c r="P455" t="s">
        <v>74</v>
      </c>
      <c r="Q455" t="s">
        <v>74</v>
      </c>
      <c r="R455" t="s">
        <v>74</v>
      </c>
      <c r="S455" t="s">
        <v>74</v>
      </c>
      <c r="T455" t="s">
        <v>8252</v>
      </c>
      <c r="U455" t="s">
        <v>8253</v>
      </c>
      <c r="V455" t="s">
        <v>8254</v>
      </c>
      <c r="W455" t="s">
        <v>8255</v>
      </c>
      <c r="X455" t="s">
        <v>8256</v>
      </c>
      <c r="Y455" t="s">
        <v>8257</v>
      </c>
      <c r="Z455" t="s">
        <v>8258</v>
      </c>
      <c r="AA455" t="s">
        <v>8259</v>
      </c>
      <c r="AB455" t="s">
        <v>8260</v>
      </c>
      <c r="AC455" t="s">
        <v>74</v>
      </c>
      <c r="AD455" t="s">
        <v>74</v>
      </c>
      <c r="AE455" t="s">
        <v>74</v>
      </c>
      <c r="AF455" t="s">
        <v>74</v>
      </c>
      <c r="AG455">
        <v>107</v>
      </c>
      <c r="AH455">
        <v>20</v>
      </c>
      <c r="AI455">
        <v>21</v>
      </c>
      <c r="AJ455">
        <v>0</v>
      </c>
      <c r="AK455">
        <v>13</v>
      </c>
      <c r="AL455" t="s">
        <v>270</v>
      </c>
      <c r="AM455" t="s">
        <v>271</v>
      </c>
      <c r="AN455" t="s">
        <v>2419</v>
      </c>
      <c r="AO455" t="s">
        <v>8261</v>
      </c>
      <c r="AP455" t="s">
        <v>74</v>
      </c>
      <c r="AQ455" t="s">
        <v>8262</v>
      </c>
      <c r="AR455" t="s">
        <v>8263</v>
      </c>
      <c r="AS455" t="s">
        <v>8264</v>
      </c>
      <c r="AT455" t="s">
        <v>74</v>
      </c>
      <c r="AU455">
        <v>2011</v>
      </c>
      <c r="AV455">
        <v>11</v>
      </c>
      <c r="AW455" t="s">
        <v>74</v>
      </c>
      <c r="AX455" t="s">
        <v>74</v>
      </c>
      <c r="AY455" t="s">
        <v>74</v>
      </c>
      <c r="AZ455" t="s">
        <v>74</v>
      </c>
      <c r="BA455" t="s">
        <v>74</v>
      </c>
      <c r="BB455">
        <v>175</v>
      </c>
      <c r="BC455">
        <v>227</v>
      </c>
      <c r="BD455" t="s">
        <v>74</v>
      </c>
      <c r="BE455" t="s">
        <v>8265</v>
      </c>
      <c r="BF455" t="str">
        <f>HYPERLINK("http://dx.doi.org/10.1007/978-1-4020-5725-0_7","http://dx.doi.org/10.1007/978-1-4020-5725-0_7")</f>
        <v>http://dx.doi.org/10.1007/978-1-4020-5725-0_7</v>
      </c>
      <c r="BG455" t="s">
        <v>8266</v>
      </c>
      <c r="BH455" t="s">
        <v>74</v>
      </c>
      <c r="BI455">
        <v>53</v>
      </c>
      <c r="BJ455" t="s">
        <v>8267</v>
      </c>
      <c r="BK455" t="s">
        <v>2384</v>
      </c>
      <c r="BL455" t="s">
        <v>8268</v>
      </c>
      <c r="BM455" t="s">
        <v>8269</v>
      </c>
      <c r="BN455" t="s">
        <v>74</v>
      </c>
      <c r="BO455" t="s">
        <v>74</v>
      </c>
      <c r="BP455" t="s">
        <v>74</v>
      </c>
      <c r="BQ455" t="s">
        <v>74</v>
      </c>
      <c r="BR455" t="s">
        <v>103</v>
      </c>
      <c r="BS455" t="s">
        <v>8270</v>
      </c>
      <c r="BT455" t="str">
        <f>HYPERLINK("https%3A%2F%2Fwww.webofscience.com%2Fwos%2Fwoscc%2Ffull-record%2FWOS:000299442400007","View Full Record in Web of Science")</f>
        <v>View Full Record in Web of Science</v>
      </c>
    </row>
    <row r="456" spans="1:72" x14ac:dyDescent="0.15">
      <c r="A456" t="s">
        <v>2268</v>
      </c>
      <c r="B456" t="s">
        <v>8271</v>
      </c>
      <c r="C456" t="s">
        <v>74</v>
      </c>
      <c r="D456" t="s">
        <v>8272</v>
      </c>
      <c r="E456" t="s">
        <v>74</v>
      </c>
      <c r="F456" t="s">
        <v>8273</v>
      </c>
      <c r="G456" t="s">
        <v>74</v>
      </c>
      <c r="H456" t="s">
        <v>74</v>
      </c>
      <c r="I456" t="s">
        <v>8274</v>
      </c>
      <c r="J456" t="s">
        <v>8275</v>
      </c>
      <c r="K456" t="s">
        <v>8276</v>
      </c>
      <c r="L456" t="s">
        <v>74</v>
      </c>
      <c r="M456" t="s">
        <v>78</v>
      </c>
      <c r="N456" t="s">
        <v>2275</v>
      </c>
      <c r="O456" t="s">
        <v>8277</v>
      </c>
      <c r="P456" t="s">
        <v>8278</v>
      </c>
      <c r="Q456" t="s">
        <v>8279</v>
      </c>
      <c r="R456" t="s">
        <v>74</v>
      </c>
      <c r="S456" t="s">
        <v>74</v>
      </c>
      <c r="T456" t="s">
        <v>74</v>
      </c>
      <c r="U456" t="s">
        <v>74</v>
      </c>
      <c r="V456" t="s">
        <v>8280</v>
      </c>
      <c r="W456" t="s">
        <v>8281</v>
      </c>
      <c r="X456" t="s">
        <v>8282</v>
      </c>
      <c r="Y456" t="s">
        <v>8283</v>
      </c>
      <c r="Z456" t="s">
        <v>8284</v>
      </c>
      <c r="AA456" t="s">
        <v>8285</v>
      </c>
      <c r="AB456" t="s">
        <v>8286</v>
      </c>
      <c r="AC456" t="s">
        <v>74</v>
      </c>
      <c r="AD456" t="s">
        <v>74</v>
      </c>
      <c r="AE456" t="s">
        <v>74</v>
      </c>
      <c r="AF456" t="s">
        <v>74</v>
      </c>
      <c r="AG456">
        <v>5</v>
      </c>
      <c r="AH456">
        <v>2</v>
      </c>
      <c r="AI456">
        <v>2</v>
      </c>
      <c r="AJ456">
        <v>0</v>
      </c>
      <c r="AK456">
        <v>0</v>
      </c>
      <c r="AL456" t="s">
        <v>4165</v>
      </c>
      <c r="AM456" t="s">
        <v>4166</v>
      </c>
      <c r="AN456" t="s">
        <v>4167</v>
      </c>
      <c r="AO456" t="s">
        <v>8287</v>
      </c>
      <c r="AP456" t="s">
        <v>74</v>
      </c>
      <c r="AQ456" t="s">
        <v>74</v>
      </c>
      <c r="AR456" t="s">
        <v>8288</v>
      </c>
      <c r="AS456" t="s">
        <v>74</v>
      </c>
      <c r="AT456" t="s">
        <v>74</v>
      </c>
      <c r="AU456">
        <v>2011</v>
      </c>
      <c r="AV456">
        <v>11</v>
      </c>
      <c r="AW456" t="s">
        <v>74</v>
      </c>
      <c r="AX456" t="s">
        <v>74</v>
      </c>
      <c r="AY456" t="s">
        <v>74</v>
      </c>
      <c r="AZ456" t="s">
        <v>74</v>
      </c>
      <c r="BA456" t="s">
        <v>74</v>
      </c>
      <c r="BB456" t="s">
        <v>74</v>
      </c>
      <c r="BC456" t="s">
        <v>74</v>
      </c>
      <c r="BD456">
        <v>6001</v>
      </c>
      <c r="BE456" t="s">
        <v>8289</v>
      </c>
      <c r="BF456" t="str">
        <f>HYPERLINK("http://dx.doi.org/10.1051/epjconf/20111106001","http://dx.doi.org/10.1051/epjconf/20111106001")</f>
        <v>http://dx.doi.org/10.1051/epjconf/20111106001</v>
      </c>
      <c r="BG456" t="s">
        <v>74</v>
      </c>
      <c r="BH456" t="s">
        <v>74</v>
      </c>
      <c r="BI456">
        <v>6</v>
      </c>
      <c r="BJ456" t="s">
        <v>373</v>
      </c>
      <c r="BK456" t="s">
        <v>2292</v>
      </c>
      <c r="BL456" t="s">
        <v>373</v>
      </c>
      <c r="BM456" t="s">
        <v>8290</v>
      </c>
      <c r="BN456" t="s">
        <v>74</v>
      </c>
      <c r="BO456" t="s">
        <v>2456</v>
      </c>
      <c r="BP456" t="s">
        <v>74</v>
      </c>
      <c r="BQ456" t="s">
        <v>74</v>
      </c>
      <c r="BR456" t="s">
        <v>103</v>
      </c>
      <c r="BS456" t="s">
        <v>8291</v>
      </c>
      <c r="BT456" t="str">
        <f>HYPERLINK("https%3A%2F%2Fwww.webofscience.com%2Fwos%2Fwoscc%2Ffull-record%2FWOS:000290390000040","View Full Record in Web of Science")</f>
        <v>View Full Record in Web of Science</v>
      </c>
    </row>
    <row r="457" spans="1:72" x14ac:dyDescent="0.15">
      <c r="A457" t="s">
        <v>72</v>
      </c>
      <c r="B457" t="s">
        <v>8292</v>
      </c>
      <c r="C457" t="s">
        <v>74</v>
      </c>
      <c r="D457" t="s">
        <v>74</v>
      </c>
      <c r="E457" t="s">
        <v>74</v>
      </c>
      <c r="F457" t="s">
        <v>8293</v>
      </c>
      <c r="G457" t="s">
        <v>74</v>
      </c>
      <c r="H457" t="s">
        <v>74</v>
      </c>
      <c r="I457" t="s">
        <v>8294</v>
      </c>
      <c r="J457" t="s">
        <v>8295</v>
      </c>
      <c r="K457" t="s">
        <v>74</v>
      </c>
      <c r="L457" t="s">
        <v>74</v>
      </c>
      <c r="M457" t="s">
        <v>78</v>
      </c>
      <c r="N457" t="s">
        <v>79</v>
      </c>
      <c r="O457" t="s">
        <v>74</v>
      </c>
      <c r="P457" t="s">
        <v>74</v>
      </c>
      <c r="Q457" t="s">
        <v>74</v>
      </c>
      <c r="R457" t="s">
        <v>74</v>
      </c>
      <c r="S457" t="s">
        <v>74</v>
      </c>
      <c r="T457" t="s">
        <v>8296</v>
      </c>
      <c r="U457" t="s">
        <v>8297</v>
      </c>
      <c r="V457" t="s">
        <v>8298</v>
      </c>
      <c r="W457" t="s">
        <v>8299</v>
      </c>
      <c r="X457" t="s">
        <v>8300</v>
      </c>
      <c r="Y457" t="s">
        <v>8301</v>
      </c>
      <c r="Z457" t="s">
        <v>8302</v>
      </c>
      <c r="AA457" t="s">
        <v>8303</v>
      </c>
      <c r="AB457" t="s">
        <v>8304</v>
      </c>
      <c r="AC457" t="s">
        <v>8305</v>
      </c>
      <c r="AD457" t="s">
        <v>8306</v>
      </c>
      <c r="AE457" t="s">
        <v>8307</v>
      </c>
      <c r="AF457" t="s">
        <v>74</v>
      </c>
      <c r="AG457">
        <v>29</v>
      </c>
      <c r="AH457">
        <v>8</v>
      </c>
      <c r="AI457">
        <v>12</v>
      </c>
      <c r="AJ457">
        <v>1</v>
      </c>
      <c r="AK457">
        <v>18</v>
      </c>
      <c r="AL457" t="s">
        <v>639</v>
      </c>
      <c r="AM457" t="s">
        <v>640</v>
      </c>
      <c r="AN457" t="s">
        <v>641</v>
      </c>
      <c r="AO457" t="s">
        <v>8308</v>
      </c>
      <c r="AP457" t="s">
        <v>74</v>
      </c>
      <c r="AQ457" t="s">
        <v>74</v>
      </c>
      <c r="AR457" t="s">
        <v>8309</v>
      </c>
      <c r="AS457" t="s">
        <v>8310</v>
      </c>
      <c r="AT457" t="s">
        <v>3935</v>
      </c>
      <c r="AU457">
        <v>2011</v>
      </c>
      <c r="AV457">
        <v>51</v>
      </c>
      <c r="AW457" t="s">
        <v>2089</v>
      </c>
      <c r="AX457" t="s">
        <v>74</v>
      </c>
      <c r="AY457" t="s">
        <v>74</v>
      </c>
      <c r="AZ457" t="s">
        <v>74</v>
      </c>
      <c r="BA457" t="s">
        <v>74</v>
      </c>
      <c r="BB457">
        <v>45</v>
      </c>
      <c r="BC457">
        <v>54</v>
      </c>
      <c r="BD457" t="s">
        <v>74</v>
      </c>
      <c r="BE457" t="s">
        <v>8311</v>
      </c>
      <c r="BF457" t="str">
        <f>HYPERLINK("http://dx.doi.org/10.1016/j.dynatmoce.2010.10.002","http://dx.doi.org/10.1016/j.dynatmoce.2010.10.002")</f>
        <v>http://dx.doi.org/10.1016/j.dynatmoce.2010.10.002</v>
      </c>
      <c r="BG457" t="s">
        <v>74</v>
      </c>
      <c r="BH457" t="s">
        <v>74</v>
      </c>
      <c r="BI457">
        <v>10</v>
      </c>
      <c r="BJ457" t="s">
        <v>8312</v>
      </c>
      <c r="BK457" t="s">
        <v>100</v>
      </c>
      <c r="BL457" t="s">
        <v>8312</v>
      </c>
      <c r="BM457" t="s">
        <v>8313</v>
      </c>
      <c r="BN457" t="s">
        <v>74</v>
      </c>
      <c r="BO457" t="s">
        <v>74</v>
      </c>
      <c r="BP457" t="s">
        <v>74</v>
      </c>
      <c r="BQ457" t="s">
        <v>74</v>
      </c>
      <c r="BR457" t="s">
        <v>103</v>
      </c>
      <c r="BS457" t="s">
        <v>8314</v>
      </c>
      <c r="BT457" t="str">
        <f>HYPERLINK("https%3A%2F%2Fwww.webofscience.com%2Fwos%2Fwoscc%2Ffull-record%2FWOS:000287281100003","View Full Record in Web of Science")</f>
        <v>View Full Record in Web of Science</v>
      </c>
    </row>
    <row r="458" spans="1:72" x14ac:dyDescent="0.15">
      <c r="A458" t="s">
        <v>72</v>
      </c>
      <c r="B458" t="s">
        <v>8315</v>
      </c>
      <c r="C458" t="s">
        <v>74</v>
      </c>
      <c r="D458" t="s">
        <v>74</v>
      </c>
      <c r="E458" t="s">
        <v>74</v>
      </c>
      <c r="F458" t="s">
        <v>8316</v>
      </c>
      <c r="G458" t="s">
        <v>74</v>
      </c>
      <c r="H458" t="s">
        <v>74</v>
      </c>
      <c r="I458" t="s">
        <v>8317</v>
      </c>
      <c r="J458" t="s">
        <v>8318</v>
      </c>
      <c r="K458" t="s">
        <v>74</v>
      </c>
      <c r="L458" t="s">
        <v>74</v>
      </c>
      <c r="M458" t="s">
        <v>78</v>
      </c>
      <c r="N458" t="s">
        <v>79</v>
      </c>
      <c r="O458" t="s">
        <v>74</v>
      </c>
      <c r="P458" t="s">
        <v>74</v>
      </c>
      <c r="Q458" t="s">
        <v>74</v>
      </c>
      <c r="R458" t="s">
        <v>74</v>
      </c>
      <c r="S458" t="s">
        <v>74</v>
      </c>
      <c r="T458" t="s">
        <v>8319</v>
      </c>
      <c r="U458" t="s">
        <v>8320</v>
      </c>
      <c r="V458" t="s">
        <v>8321</v>
      </c>
      <c r="W458" t="s">
        <v>8322</v>
      </c>
      <c r="X458" t="s">
        <v>8323</v>
      </c>
      <c r="Y458" t="s">
        <v>8324</v>
      </c>
      <c r="Z458" t="s">
        <v>8325</v>
      </c>
      <c r="AA458" t="s">
        <v>74</v>
      </c>
      <c r="AB458" t="s">
        <v>74</v>
      </c>
      <c r="AC458" t="s">
        <v>8326</v>
      </c>
      <c r="AD458" t="s">
        <v>1215</v>
      </c>
      <c r="AE458" t="s">
        <v>74</v>
      </c>
      <c r="AF458" t="s">
        <v>74</v>
      </c>
      <c r="AG458">
        <v>109</v>
      </c>
      <c r="AH458">
        <v>14</v>
      </c>
      <c r="AI458">
        <v>14</v>
      </c>
      <c r="AJ458">
        <v>0</v>
      </c>
      <c r="AK458">
        <v>7</v>
      </c>
      <c r="AL458" t="s">
        <v>90</v>
      </c>
      <c r="AM458" t="s">
        <v>2335</v>
      </c>
      <c r="AN458" t="s">
        <v>3413</v>
      </c>
      <c r="AO458" t="s">
        <v>8327</v>
      </c>
      <c r="AP458" t="s">
        <v>8328</v>
      </c>
      <c r="AQ458" t="s">
        <v>74</v>
      </c>
      <c r="AR458" t="s">
        <v>8329</v>
      </c>
      <c r="AS458" t="s">
        <v>8330</v>
      </c>
      <c r="AT458" t="s">
        <v>74</v>
      </c>
      <c r="AU458">
        <v>2011</v>
      </c>
      <c r="AV458">
        <v>102</v>
      </c>
      <c r="AW458" t="s">
        <v>74</v>
      </c>
      <c r="AX458">
        <v>4</v>
      </c>
      <c r="AY458" t="s">
        <v>74</v>
      </c>
      <c r="AZ458" t="s">
        <v>74</v>
      </c>
      <c r="BA458" t="s">
        <v>74</v>
      </c>
      <c r="BB458">
        <v>201</v>
      </c>
      <c r="BC458">
        <v>225</v>
      </c>
      <c r="BD458" t="s">
        <v>74</v>
      </c>
      <c r="BE458" t="s">
        <v>8331</v>
      </c>
      <c r="BF458" t="str">
        <f>HYPERLINK("http://dx.doi.org/10.1017/S175569101101005X","http://dx.doi.org/10.1017/S175569101101005X")</f>
        <v>http://dx.doi.org/10.1017/S175569101101005X</v>
      </c>
      <c r="BG458" t="s">
        <v>74</v>
      </c>
      <c r="BH458" t="s">
        <v>74</v>
      </c>
      <c r="BI458">
        <v>25</v>
      </c>
      <c r="BJ458" t="s">
        <v>8332</v>
      </c>
      <c r="BK458" t="s">
        <v>100</v>
      </c>
      <c r="BL458" t="s">
        <v>2291</v>
      </c>
      <c r="BM458" t="s">
        <v>8333</v>
      </c>
      <c r="BN458" t="s">
        <v>74</v>
      </c>
      <c r="BO458" t="s">
        <v>172</v>
      </c>
      <c r="BP458" t="s">
        <v>74</v>
      </c>
      <c r="BQ458" t="s">
        <v>74</v>
      </c>
      <c r="BR458" t="s">
        <v>103</v>
      </c>
      <c r="BS458" t="s">
        <v>8334</v>
      </c>
      <c r="BT458" t="str">
        <f>HYPERLINK("https%3A%2F%2Fwww.webofscience.com%2Fwos%2Fwoscc%2Ffull-record%2FWOS:000313534600001","View Full Record in Web of Science")</f>
        <v>View Full Record in Web of Science</v>
      </c>
    </row>
    <row r="459" spans="1:72" x14ac:dyDescent="0.15">
      <c r="A459" t="s">
        <v>2268</v>
      </c>
      <c r="B459" t="s">
        <v>8335</v>
      </c>
      <c r="C459" t="s">
        <v>74</v>
      </c>
      <c r="D459" t="s">
        <v>8336</v>
      </c>
      <c r="E459" t="s">
        <v>74</v>
      </c>
      <c r="F459" t="s">
        <v>8337</v>
      </c>
      <c r="G459" t="s">
        <v>74</v>
      </c>
      <c r="H459" t="s">
        <v>74</v>
      </c>
      <c r="I459" t="s">
        <v>8338</v>
      </c>
      <c r="J459" t="s">
        <v>8339</v>
      </c>
      <c r="K459" t="s">
        <v>4204</v>
      </c>
      <c r="L459" t="s">
        <v>74</v>
      </c>
      <c r="M459" t="s">
        <v>78</v>
      </c>
      <c r="N459" t="s">
        <v>2275</v>
      </c>
      <c r="O459" t="s">
        <v>8340</v>
      </c>
      <c r="P459" t="s">
        <v>8341</v>
      </c>
      <c r="Q459" t="s">
        <v>8342</v>
      </c>
      <c r="R459" t="s">
        <v>74</v>
      </c>
      <c r="S459" t="s">
        <v>74</v>
      </c>
      <c r="T459" t="s">
        <v>8343</v>
      </c>
      <c r="U459" t="s">
        <v>8344</v>
      </c>
      <c r="V459" t="s">
        <v>8345</v>
      </c>
      <c r="W459" t="s">
        <v>8346</v>
      </c>
      <c r="X459" t="s">
        <v>8347</v>
      </c>
      <c r="Y459" t="s">
        <v>8348</v>
      </c>
      <c r="Z459" t="s">
        <v>74</v>
      </c>
      <c r="AA459" t="s">
        <v>8349</v>
      </c>
      <c r="AB459" t="s">
        <v>8350</v>
      </c>
      <c r="AC459" t="s">
        <v>8351</v>
      </c>
      <c r="AD459" t="s">
        <v>8351</v>
      </c>
      <c r="AE459" t="s">
        <v>8352</v>
      </c>
      <c r="AF459" t="s">
        <v>74</v>
      </c>
      <c r="AG459">
        <v>16</v>
      </c>
      <c r="AH459">
        <v>13</v>
      </c>
      <c r="AI459">
        <v>13</v>
      </c>
      <c r="AJ459">
        <v>0</v>
      </c>
      <c r="AK459">
        <v>2</v>
      </c>
      <c r="AL459" t="s">
        <v>4214</v>
      </c>
      <c r="AM459" t="s">
        <v>4215</v>
      </c>
      <c r="AN459" t="s">
        <v>4216</v>
      </c>
      <c r="AO459" t="s">
        <v>4217</v>
      </c>
      <c r="AP459" t="s">
        <v>74</v>
      </c>
      <c r="AQ459" t="s">
        <v>8353</v>
      </c>
      <c r="AR459" t="s">
        <v>4219</v>
      </c>
      <c r="AS459" t="s">
        <v>74</v>
      </c>
      <c r="AT459" t="s">
        <v>74</v>
      </c>
      <c r="AU459">
        <v>2011</v>
      </c>
      <c r="AV459">
        <v>8153</v>
      </c>
      <c r="AW459" t="s">
        <v>74</v>
      </c>
      <c r="AX459" t="s">
        <v>74</v>
      </c>
      <c r="AY459" t="s">
        <v>74</v>
      </c>
      <c r="AZ459" t="s">
        <v>74</v>
      </c>
      <c r="BA459" t="s">
        <v>74</v>
      </c>
      <c r="BB459" t="s">
        <v>74</v>
      </c>
      <c r="BC459" t="s">
        <v>74</v>
      </c>
      <c r="BD459" t="s">
        <v>8354</v>
      </c>
      <c r="BE459" t="s">
        <v>8355</v>
      </c>
      <c r="BF459" t="str">
        <f>HYPERLINK("http://dx.doi.org/10.1117/12.892481","http://dx.doi.org/10.1117/12.892481")</f>
        <v>http://dx.doi.org/10.1117/12.892481</v>
      </c>
      <c r="BG459" t="s">
        <v>74</v>
      </c>
      <c r="BH459" t="s">
        <v>74</v>
      </c>
      <c r="BI459">
        <v>9</v>
      </c>
      <c r="BJ459" t="s">
        <v>8356</v>
      </c>
      <c r="BK459" t="s">
        <v>2292</v>
      </c>
      <c r="BL459" t="s">
        <v>8356</v>
      </c>
      <c r="BM459" t="s">
        <v>8357</v>
      </c>
      <c r="BN459" t="s">
        <v>74</v>
      </c>
      <c r="BO459" t="s">
        <v>74</v>
      </c>
      <c r="BP459" t="s">
        <v>74</v>
      </c>
      <c r="BQ459" t="s">
        <v>74</v>
      </c>
      <c r="BR459" t="s">
        <v>103</v>
      </c>
      <c r="BS459" t="s">
        <v>8358</v>
      </c>
      <c r="BT459" t="str">
        <f>HYPERLINK("https%3A%2F%2Fwww.webofscience.com%2Fwos%2Fwoscc%2Ffull-record%2FWOS:000297670900058","View Full Record in Web of Science")</f>
        <v>View Full Record in Web of Science</v>
      </c>
    </row>
    <row r="460" spans="1:72" x14ac:dyDescent="0.15">
      <c r="A460" t="s">
        <v>2268</v>
      </c>
      <c r="B460" t="s">
        <v>8359</v>
      </c>
      <c r="C460" t="s">
        <v>74</v>
      </c>
      <c r="D460" t="s">
        <v>8336</v>
      </c>
      <c r="E460" t="s">
        <v>74</v>
      </c>
      <c r="F460" t="s">
        <v>8360</v>
      </c>
      <c r="G460" t="s">
        <v>74</v>
      </c>
      <c r="H460" t="s">
        <v>74</v>
      </c>
      <c r="I460" t="s">
        <v>8361</v>
      </c>
      <c r="J460" t="s">
        <v>8339</v>
      </c>
      <c r="K460" t="s">
        <v>4204</v>
      </c>
      <c r="L460" t="s">
        <v>74</v>
      </c>
      <c r="M460" t="s">
        <v>78</v>
      </c>
      <c r="N460" t="s">
        <v>2275</v>
      </c>
      <c r="O460" t="s">
        <v>8340</v>
      </c>
      <c r="P460" t="s">
        <v>8341</v>
      </c>
      <c r="Q460" t="s">
        <v>8342</v>
      </c>
      <c r="R460" t="s">
        <v>74</v>
      </c>
      <c r="S460" t="s">
        <v>74</v>
      </c>
      <c r="T460" t="s">
        <v>8362</v>
      </c>
      <c r="U460" t="s">
        <v>74</v>
      </c>
      <c r="V460" t="s">
        <v>8363</v>
      </c>
      <c r="W460" t="s">
        <v>8364</v>
      </c>
      <c r="X460" t="s">
        <v>8365</v>
      </c>
      <c r="Y460" t="s">
        <v>8366</v>
      </c>
      <c r="Z460" t="s">
        <v>74</v>
      </c>
      <c r="AA460" t="s">
        <v>8367</v>
      </c>
      <c r="AB460" t="s">
        <v>74</v>
      </c>
      <c r="AC460" t="s">
        <v>74</v>
      </c>
      <c r="AD460" t="s">
        <v>74</v>
      </c>
      <c r="AE460" t="s">
        <v>74</v>
      </c>
      <c r="AF460" t="s">
        <v>74</v>
      </c>
      <c r="AG460">
        <v>15</v>
      </c>
      <c r="AH460">
        <v>3</v>
      </c>
      <c r="AI460">
        <v>3</v>
      </c>
      <c r="AJ460">
        <v>0</v>
      </c>
      <c r="AK460">
        <v>2</v>
      </c>
      <c r="AL460" t="s">
        <v>4214</v>
      </c>
      <c r="AM460" t="s">
        <v>4215</v>
      </c>
      <c r="AN460" t="s">
        <v>4216</v>
      </c>
      <c r="AO460" t="s">
        <v>4217</v>
      </c>
      <c r="AP460" t="s">
        <v>74</v>
      </c>
      <c r="AQ460" t="s">
        <v>8353</v>
      </c>
      <c r="AR460" t="s">
        <v>4219</v>
      </c>
      <c r="AS460" t="s">
        <v>74</v>
      </c>
      <c r="AT460" t="s">
        <v>74</v>
      </c>
      <c r="AU460">
        <v>2011</v>
      </c>
      <c r="AV460">
        <v>8153</v>
      </c>
      <c r="AW460" t="s">
        <v>74</v>
      </c>
      <c r="AX460" t="s">
        <v>74</v>
      </c>
      <c r="AY460" t="s">
        <v>74</v>
      </c>
      <c r="AZ460" t="s">
        <v>74</v>
      </c>
      <c r="BA460" t="s">
        <v>74</v>
      </c>
      <c r="BB460" t="s">
        <v>74</v>
      </c>
      <c r="BC460" t="s">
        <v>74</v>
      </c>
      <c r="BD460">
        <v>815317</v>
      </c>
      <c r="BE460" t="s">
        <v>8368</v>
      </c>
      <c r="BF460" t="str">
        <f>HYPERLINK("http://dx.doi.org/10.1117/12.892602","http://dx.doi.org/10.1117/12.892602")</f>
        <v>http://dx.doi.org/10.1117/12.892602</v>
      </c>
      <c r="BG460" t="s">
        <v>74</v>
      </c>
      <c r="BH460" t="s">
        <v>74</v>
      </c>
      <c r="BI460">
        <v>10</v>
      </c>
      <c r="BJ460" t="s">
        <v>8356</v>
      </c>
      <c r="BK460" t="s">
        <v>2292</v>
      </c>
      <c r="BL460" t="s">
        <v>8356</v>
      </c>
      <c r="BM460" t="s">
        <v>8357</v>
      </c>
      <c r="BN460" t="s">
        <v>74</v>
      </c>
      <c r="BO460" t="s">
        <v>74</v>
      </c>
      <c r="BP460" t="s">
        <v>74</v>
      </c>
      <c r="BQ460" t="s">
        <v>74</v>
      </c>
      <c r="BR460" t="s">
        <v>103</v>
      </c>
      <c r="BS460" t="s">
        <v>8369</v>
      </c>
      <c r="BT460" t="str">
        <f>HYPERLINK("https%3A%2F%2Fwww.webofscience.com%2Fwos%2Fwoscc%2Ffull-record%2FWOS:000297670900037","View Full Record in Web of Science")</f>
        <v>View Full Record in Web of Science</v>
      </c>
    </row>
    <row r="461" spans="1:72" x14ac:dyDescent="0.15">
      <c r="A461" t="s">
        <v>72</v>
      </c>
      <c r="B461" t="s">
        <v>8370</v>
      </c>
      <c r="C461" t="s">
        <v>74</v>
      </c>
      <c r="D461" t="s">
        <v>74</v>
      </c>
      <c r="E461" t="s">
        <v>74</v>
      </c>
      <c r="F461" t="s">
        <v>8371</v>
      </c>
      <c r="G461" t="s">
        <v>74</v>
      </c>
      <c r="H461" t="s">
        <v>74</v>
      </c>
      <c r="I461" t="s">
        <v>8372</v>
      </c>
      <c r="J461" t="s">
        <v>3808</v>
      </c>
      <c r="K461" t="s">
        <v>74</v>
      </c>
      <c r="L461" t="s">
        <v>74</v>
      </c>
      <c r="M461" t="s">
        <v>78</v>
      </c>
      <c r="N461" t="s">
        <v>2000</v>
      </c>
      <c r="O461" t="s">
        <v>8373</v>
      </c>
      <c r="P461" t="s">
        <v>8374</v>
      </c>
      <c r="Q461" t="s">
        <v>8375</v>
      </c>
      <c r="R461" t="s">
        <v>74</v>
      </c>
      <c r="S461" t="s">
        <v>74</v>
      </c>
      <c r="T461" t="s">
        <v>8376</v>
      </c>
      <c r="U461" t="s">
        <v>8377</v>
      </c>
      <c r="V461" t="s">
        <v>8378</v>
      </c>
      <c r="W461" t="s">
        <v>8379</v>
      </c>
      <c r="X461" t="s">
        <v>8380</v>
      </c>
      <c r="Y461" t="s">
        <v>8381</v>
      </c>
      <c r="Z461" t="s">
        <v>8382</v>
      </c>
      <c r="AA461" t="s">
        <v>8383</v>
      </c>
      <c r="AB461" t="s">
        <v>8384</v>
      </c>
      <c r="AC461" t="s">
        <v>8385</v>
      </c>
      <c r="AD461" t="s">
        <v>8386</v>
      </c>
      <c r="AE461" t="s">
        <v>8387</v>
      </c>
      <c r="AF461" t="s">
        <v>74</v>
      </c>
      <c r="AG461">
        <v>49</v>
      </c>
      <c r="AH461">
        <v>8</v>
      </c>
      <c r="AI461">
        <v>9</v>
      </c>
      <c r="AJ461">
        <v>0</v>
      </c>
      <c r="AK461">
        <v>13</v>
      </c>
      <c r="AL461" t="s">
        <v>8388</v>
      </c>
      <c r="AM461" t="s">
        <v>913</v>
      </c>
      <c r="AN461" t="s">
        <v>8389</v>
      </c>
      <c r="AO461" t="s">
        <v>3820</v>
      </c>
      <c r="AP461" t="s">
        <v>74</v>
      </c>
      <c r="AQ461" t="s">
        <v>74</v>
      </c>
      <c r="AR461" t="s">
        <v>3821</v>
      </c>
      <c r="AS461" t="s">
        <v>3822</v>
      </c>
      <c r="AT461" t="s">
        <v>74</v>
      </c>
      <c r="AU461">
        <v>2011</v>
      </c>
      <c r="AV461">
        <v>63</v>
      </c>
      <c r="AW461">
        <v>10</v>
      </c>
      <c r="AX461" t="s">
        <v>74</v>
      </c>
      <c r="AY461" t="s">
        <v>74</v>
      </c>
      <c r="AZ461" t="s">
        <v>74</v>
      </c>
      <c r="BA461" t="s">
        <v>74</v>
      </c>
      <c r="BB461">
        <v>1097</v>
      </c>
      <c r="BC461">
        <v>1111</v>
      </c>
      <c r="BD461" t="s">
        <v>74</v>
      </c>
      <c r="BE461" t="s">
        <v>8390</v>
      </c>
      <c r="BF461" t="str">
        <f>HYPERLINK("http://dx.doi.org/10.5047/eps.2011.08.001","http://dx.doi.org/10.5047/eps.2011.08.001")</f>
        <v>http://dx.doi.org/10.5047/eps.2011.08.001</v>
      </c>
      <c r="BG461" t="s">
        <v>74</v>
      </c>
      <c r="BH461" t="s">
        <v>74</v>
      </c>
      <c r="BI461">
        <v>15</v>
      </c>
      <c r="BJ461" t="s">
        <v>396</v>
      </c>
      <c r="BK461" t="s">
        <v>2022</v>
      </c>
      <c r="BL461" t="s">
        <v>397</v>
      </c>
      <c r="BM461" t="s">
        <v>8391</v>
      </c>
      <c r="BN461" t="s">
        <v>74</v>
      </c>
      <c r="BO461" t="s">
        <v>1391</v>
      </c>
      <c r="BP461" t="s">
        <v>74</v>
      </c>
      <c r="BQ461" t="s">
        <v>74</v>
      </c>
      <c r="BR461" t="s">
        <v>103</v>
      </c>
      <c r="BS461" t="s">
        <v>8392</v>
      </c>
      <c r="BT461" t="str">
        <f>HYPERLINK("https%3A%2F%2Fwww.webofscience.com%2Fwos%2Fwoscc%2Ffull-record%2FWOS:000300433300010","View Full Record in Web of Science")</f>
        <v>View Full Record in Web of Science</v>
      </c>
    </row>
    <row r="462" spans="1:72" x14ac:dyDescent="0.15">
      <c r="A462" t="s">
        <v>72</v>
      </c>
      <c r="B462" t="s">
        <v>8393</v>
      </c>
      <c r="C462" t="s">
        <v>74</v>
      </c>
      <c r="D462" t="s">
        <v>74</v>
      </c>
      <c r="E462" t="s">
        <v>74</v>
      </c>
      <c r="F462" t="s">
        <v>8394</v>
      </c>
      <c r="G462" t="s">
        <v>74</v>
      </c>
      <c r="H462" t="s">
        <v>74</v>
      </c>
      <c r="I462" t="s">
        <v>8395</v>
      </c>
      <c r="J462" t="s">
        <v>8396</v>
      </c>
      <c r="K462" t="s">
        <v>74</v>
      </c>
      <c r="L462" t="s">
        <v>74</v>
      </c>
      <c r="M462" t="s">
        <v>78</v>
      </c>
      <c r="N462" t="s">
        <v>79</v>
      </c>
      <c r="O462" t="s">
        <v>74</v>
      </c>
      <c r="P462" t="s">
        <v>74</v>
      </c>
      <c r="Q462" t="s">
        <v>74</v>
      </c>
      <c r="R462" t="s">
        <v>74</v>
      </c>
      <c r="S462" t="s">
        <v>74</v>
      </c>
      <c r="T462" t="s">
        <v>8397</v>
      </c>
      <c r="U462" t="s">
        <v>8398</v>
      </c>
      <c r="V462" t="s">
        <v>8399</v>
      </c>
      <c r="W462" t="s">
        <v>8400</v>
      </c>
      <c r="X462" t="s">
        <v>8401</v>
      </c>
      <c r="Y462" t="s">
        <v>8402</v>
      </c>
      <c r="Z462" t="s">
        <v>8403</v>
      </c>
      <c r="AA462" t="s">
        <v>8404</v>
      </c>
      <c r="AB462" t="s">
        <v>8405</v>
      </c>
      <c r="AC462" t="s">
        <v>8406</v>
      </c>
      <c r="AD462" t="s">
        <v>8407</v>
      </c>
      <c r="AE462" t="s">
        <v>8408</v>
      </c>
      <c r="AF462" t="s">
        <v>74</v>
      </c>
      <c r="AG462">
        <v>114</v>
      </c>
      <c r="AH462">
        <v>37</v>
      </c>
      <c r="AI462">
        <v>40</v>
      </c>
      <c r="AJ462">
        <v>0</v>
      </c>
      <c r="AK462">
        <v>65</v>
      </c>
      <c r="AL462" t="s">
        <v>3012</v>
      </c>
      <c r="AM462" t="s">
        <v>3013</v>
      </c>
      <c r="AN462" t="s">
        <v>3014</v>
      </c>
      <c r="AO462" t="s">
        <v>8409</v>
      </c>
      <c r="AP462" t="s">
        <v>8410</v>
      </c>
      <c r="AQ462" t="s">
        <v>74</v>
      </c>
      <c r="AR462" t="s">
        <v>8396</v>
      </c>
      <c r="AS462" t="s">
        <v>8411</v>
      </c>
      <c r="AT462" t="s">
        <v>74</v>
      </c>
      <c r="AU462">
        <v>2011</v>
      </c>
      <c r="AV462">
        <v>18</v>
      </c>
      <c r="AW462">
        <v>3</v>
      </c>
      <c r="AX462" t="s">
        <v>74</v>
      </c>
      <c r="AY462" t="s">
        <v>74</v>
      </c>
      <c r="AZ462" t="s">
        <v>967</v>
      </c>
      <c r="BA462" t="s">
        <v>74</v>
      </c>
      <c r="BB462">
        <v>236</v>
      </c>
      <c r="BC462">
        <v>261</v>
      </c>
      <c r="BD462" t="s">
        <v>74</v>
      </c>
      <c r="BE462" t="s">
        <v>8412</v>
      </c>
      <c r="BF462" t="str">
        <f>HYPERLINK("http://dx.doi.org/10.2980/18-3-3448","http://dx.doi.org/10.2980/18-3-3448")</f>
        <v>http://dx.doi.org/10.2980/18-3-3448</v>
      </c>
      <c r="BG462" t="s">
        <v>74</v>
      </c>
      <c r="BH462" t="s">
        <v>74</v>
      </c>
      <c r="BI462">
        <v>26</v>
      </c>
      <c r="BJ462" t="s">
        <v>821</v>
      </c>
      <c r="BK462" t="s">
        <v>100</v>
      </c>
      <c r="BL462" t="s">
        <v>822</v>
      </c>
      <c r="BM462" t="s">
        <v>8413</v>
      </c>
      <c r="BN462" t="s">
        <v>74</v>
      </c>
      <c r="BO462" t="s">
        <v>74</v>
      </c>
      <c r="BP462" t="s">
        <v>74</v>
      </c>
      <c r="BQ462" t="s">
        <v>74</v>
      </c>
      <c r="BR462" t="s">
        <v>103</v>
      </c>
      <c r="BS462" t="s">
        <v>8414</v>
      </c>
      <c r="BT462" t="str">
        <f>HYPERLINK("https%3A%2F%2Fwww.webofscience.com%2Fwos%2Fwoscc%2Ffull-record%2FWOS:000297478200006","View Full Record in Web of Science")</f>
        <v>View Full Record in Web of Science</v>
      </c>
    </row>
    <row r="463" spans="1:72" x14ac:dyDescent="0.15">
      <c r="A463" t="s">
        <v>72</v>
      </c>
      <c r="B463" t="s">
        <v>8415</v>
      </c>
      <c r="C463" t="s">
        <v>74</v>
      </c>
      <c r="D463" t="s">
        <v>74</v>
      </c>
      <c r="E463" t="s">
        <v>74</v>
      </c>
      <c r="F463" t="s">
        <v>8416</v>
      </c>
      <c r="G463" t="s">
        <v>74</v>
      </c>
      <c r="H463" t="s">
        <v>74</v>
      </c>
      <c r="I463" t="s">
        <v>8417</v>
      </c>
      <c r="J463" t="s">
        <v>8418</v>
      </c>
      <c r="K463" t="s">
        <v>74</v>
      </c>
      <c r="L463" t="s">
        <v>74</v>
      </c>
      <c r="M463" t="s">
        <v>7904</v>
      </c>
      <c r="N463" t="s">
        <v>79</v>
      </c>
      <c r="O463" t="s">
        <v>74</v>
      </c>
      <c r="P463" t="s">
        <v>74</v>
      </c>
      <c r="Q463" t="s">
        <v>74</v>
      </c>
      <c r="R463" t="s">
        <v>74</v>
      </c>
      <c r="S463" t="s">
        <v>74</v>
      </c>
      <c r="T463" t="s">
        <v>74</v>
      </c>
      <c r="U463" t="s">
        <v>74</v>
      </c>
      <c r="V463" t="s">
        <v>8419</v>
      </c>
      <c r="W463" t="s">
        <v>8420</v>
      </c>
      <c r="X463" t="s">
        <v>8421</v>
      </c>
      <c r="Y463" t="s">
        <v>8422</v>
      </c>
      <c r="Z463" t="s">
        <v>74</v>
      </c>
      <c r="AA463" t="s">
        <v>74</v>
      </c>
      <c r="AB463" t="s">
        <v>74</v>
      </c>
      <c r="AC463" t="s">
        <v>74</v>
      </c>
      <c r="AD463" t="s">
        <v>74</v>
      </c>
      <c r="AE463" t="s">
        <v>74</v>
      </c>
      <c r="AF463" t="s">
        <v>74</v>
      </c>
      <c r="AG463">
        <v>0</v>
      </c>
      <c r="AH463">
        <v>1</v>
      </c>
      <c r="AI463">
        <v>2</v>
      </c>
      <c r="AJ463">
        <v>0</v>
      </c>
      <c r="AK463">
        <v>0</v>
      </c>
      <c r="AL463" t="s">
        <v>8423</v>
      </c>
      <c r="AM463" t="s">
        <v>8424</v>
      </c>
      <c r="AN463" t="s">
        <v>8425</v>
      </c>
      <c r="AO463" t="s">
        <v>8426</v>
      </c>
      <c r="AP463" t="s">
        <v>74</v>
      </c>
      <c r="AQ463" t="s">
        <v>74</v>
      </c>
      <c r="AR463" t="s">
        <v>8418</v>
      </c>
      <c r="AS463" t="s">
        <v>8427</v>
      </c>
      <c r="AT463" t="s">
        <v>8428</v>
      </c>
      <c r="AU463">
        <v>2011</v>
      </c>
      <c r="AV463">
        <v>20</v>
      </c>
      <c r="AW463">
        <v>1</v>
      </c>
      <c r="AX463" t="s">
        <v>74</v>
      </c>
      <c r="AY463" t="s">
        <v>74</v>
      </c>
      <c r="AZ463" t="s">
        <v>74</v>
      </c>
      <c r="BA463" t="s">
        <v>74</v>
      </c>
      <c r="BB463">
        <v>7</v>
      </c>
      <c r="BC463">
        <v>13</v>
      </c>
      <c r="BD463" t="s">
        <v>74</v>
      </c>
      <c r="BE463" t="s">
        <v>74</v>
      </c>
      <c r="BF463" t="s">
        <v>74</v>
      </c>
      <c r="BG463" t="s">
        <v>74</v>
      </c>
      <c r="BH463" t="s">
        <v>74</v>
      </c>
      <c r="BI463">
        <v>7</v>
      </c>
      <c r="BJ463" t="s">
        <v>821</v>
      </c>
      <c r="BK463" t="s">
        <v>6441</v>
      </c>
      <c r="BL463" t="s">
        <v>822</v>
      </c>
      <c r="BM463" t="s">
        <v>8429</v>
      </c>
      <c r="BN463" t="s">
        <v>74</v>
      </c>
      <c r="BO463" t="s">
        <v>74</v>
      </c>
      <c r="BP463" t="s">
        <v>74</v>
      </c>
      <c r="BQ463" t="s">
        <v>74</v>
      </c>
      <c r="BR463" t="s">
        <v>103</v>
      </c>
      <c r="BS463" t="s">
        <v>8430</v>
      </c>
      <c r="BT463" t="str">
        <f>HYPERLINK("https%3A%2F%2Fwww.webofscience.com%2Fwos%2Fwoscc%2Ffull-record%2FWOS:000415308100003","View Full Record in Web of Science")</f>
        <v>View Full Record in Web of Science</v>
      </c>
    </row>
    <row r="464" spans="1:72" x14ac:dyDescent="0.15">
      <c r="A464" t="s">
        <v>72</v>
      </c>
      <c r="B464" t="s">
        <v>8431</v>
      </c>
      <c r="C464" t="s">
        <v>74</v>
      </c>
      <c r="D464" t="s">
        <v>74</v>
      </c>
      <c r="E464" t="s">
        <v>74</v>
      </c>
      <c r="F464" t="s">
        <v>8432</v>
      </c>
      <c r="G464" t="s">
        <v>74</v>
      </c>
      <c r="H464" t="s">
        <v>74</v>
      </c>
      <c r="I464" t="s">
        <v>8433</v>
      </c>
      <c r="J464" t="s">
        <v>8418</v>
      </c>
      <c r="K464" t="s">
        <v>74</v>
      </c>
      <c r="L464" t="s">
        <v>74</v>
      </c>
      <c r="M464" t="s">
        <v>7904</v>
      </c>
      <c r="N464" t="s">
        <v>79</v>
      </c>
      <c r="O464" t="s">
        <v>74</v>
      </c>
      <c r="P464" t="s">
        <v>74</v>
      </c>
      <c r="Q464" t="s">
        <v>74</v>
      </c>
      <c r="R464" t="s">
        <v>74</v>
      </c>
      <c r="S464" t="s">
        <v>74</v>
      </c>
      <c r="T464" t="s">
        <v>74</v>
      </c>
      <c r="U464" t="s">
        <v>74</v>
      </c>
      <c r="V464" t="s">
        <v>8434</v>
      </c>
      <c r="W464" t="s">
        <v>8435</v>
      </c>
      <c r="X464" t="s">
        <v>8436</v>
      </c>
      <c r="Y464" t="s">
        <v>8437</v>
      </c>
      <c r="Z464" t="s">
        <v>74</v>
      </c>
      <c r="AA464" t="s">
        <v>8438</v>
      </c>
      <c r="AB464" t="s">
        <v>8439</v>
      </c>
      <c r="AC464" t="s">
        <v>74</v>
      </c>
      <c r="AD464" t="s">
        <v>74</v>
      </c>
      <c r="AE464" t="s">
        <v>74</v>
      </c>
      <c r="AF464" t="s">
        <v>74</v>
      </c>
      <c r="AG464">
        <v>0</v>
      </c>
      <c r="AH464">
        <v>2</v>
      </c>
      <c r="AI464">
        <v>2</v>
      </c>
      <c r="AJ464">
        <v>0</v>
      </c>
      <c r="AK464">
        <v>2</v>
      </c>
      <c r="AL464" t="s">
        <v>8423</v>
      </c>
      <c r="AM464" t="s">
        <v>8424</v>
      </c>
      <c r="AN464" t="s">
        <v>8425</v>
      </c>
      <c r="AO464" t="s">
        <v>8426</v>
      </c>
      <c r="AP464" t="s">
        <v>74</v>
      </c>
      <c r="AQ464" t="s">
        <v>74</v>
      </c>
      <c r="AR464" t="s">
        <v>8418</v>
      </c>
      <c r="AS464" t="s">
        <v>8427</v>
      </c>
      <c r="AT464" t="s">
        <v>8428</v>
      </c>
      <c r="AU464">
        <v>2011</v>
      </c>
      <c r="AV464">
        <v>20</v>
      </c>
      <c r="AW464">
        <v>1</v>
      </c>
      <c r="AX464" t="s">
        <v>74</v>
      </c>
      <c r="AY464" t="s">
        <v>74</v>
      </c>
      <c r="AZ464" t="s">
        <v>74</v>
      </c>
      <c r="BA464" t="s">
        <v>74</v>
      </c>
      <c r="BB464">
        <v>23</v>
      </c>
      <c r="BC464">
        <v>32</v>
      </c>
      <c r="BD464" t="s">
        <v>74</v>
      </c>
      <c r="BE464" t="s">
        <v>74</v>
      </c>
      <c r="BF464" t="s">
        <v>74</v>
      </c>
      <c r="BG464" t="s">
        <v>74</v>
      </c>
      <c r="BH464" t="s">
        <v>74</v>
      </c>
      <c r="BI464">
        <v>10</v>
      </c>
      <c r="BJ464" t="s">
        <v>821</v>
      </c>
      <c r="BK464" t="s">
        <v>6441</v>
      </c>
      <c r="BL464" t="s">
        <v>822</v>
      </c>
      <c r="BM464" t="s">
        <v>8429</v>
      </c>
      <c r="BN464" t="s">
        <v>74</v>
      </c>
      <c r="BO464" t="s">
        <v>74</v>
      </c>
      <c r="BP464" t="s">
        <v>74</v>
      </c>
      <c r="BQ464" t="s">
        <v>74</v>
      </c>
      <c r="BR464" t="s">
        <v>103</v>
      </c>
      <c r="BS464" t="s">
        <v>8440</v>
      </c>
      <c r="BT464" t="str">
        <f>HYPERLINK("https%3A%2F%2Fwww.webofscience.com%2Fwos%2Fwoscc%2Ffull-record%2FWOS:000415308100005","View Full Record in Web of Science")</f>
        <v>View Full Record in Web of Science</v>
      </c>
    </row>
    <row r="465" spans="1:72" x14ac:dyDescent="0.15">
      <c r="A465" t="s">
        <v>72</v>
      </c>
      <c r="B465" t="s">
        <v>8441</v>
      </c>
      <c r="C465" t="s">
        <v>74</v>
      </c>
      <c r="D465" t="s">
        <v>74</v>
      </c>
      <c r="E465" t="s">
        <v>74</v>
      </c>
      <c r="F465" t="s">
        <v>8442</v>
      </c>
      <c r="G465" t="s">
        <v>74</v>
      </c>
      <c r="H465" t="s">
        <v>74</v>
      </c>
      <c r="I465" t="s">
        <v>8443</v>
      </c>
      <c r="J465" t="s">
        <v>8418</v>
      </c>
      <c r="K465" t="s">
        <v>74</v>
      </c>
      <c r="L465" t="s">
        <v>74</v>
      </c>
      <c r="M465" t="s">
        <v>7904</v>
      </c>
      <c r="N465" t="s">
        <v>79</v>
      </c>
      <c r="O465" t="s">
        <v>74</v>
      </c>
      <c r="P465" t="s">
        <v>74</v>
      </c>
      <c r="Q465" t="s">
        <v>74</v>
      </c>
      <c r="R465" t="s">
        <v>74</v>
      </c>
      <c r="S465" t="s">
        <v>74</v>
      </c>
      <c r="T465" t="s">
        <v>74</v>
      </c>
      <c r="U465" t="s">
        <v>74</v>
      </c>
      <c r="V465" t="s">
        <v>8444</v>
      </c>
      <c r="W465" t="s">
        <v>8445</v>
      </c>
      <c r="X465" t="s">
        <v>8446</v>
      </c>
      <c r="Y465" t="s">
        <v>8447</v>
      </c>
      <c r="Z465" t="s">
        <v>74</v>
      </c>
      <c r="AA465" t="s">
        <v>8448</v>
      </c>
      <c r="AB465" t="s">
        <v>8449</v>
      </c>
      <c r="AC465" t="s">
        <v>74</v>
      </c>
      <c r="AD465" t="s">
        <v>74</v>
      </c>
      <c r="AE465" t="s">
        <v>74</v>
      </c>
      <c r="AF465" t="s">
        <v>74</v>
      </c>
      <c r="AG465">
        <v>0</v>
      </c>
      <c r="AH465">
        <v>2</v>
      </c>
      <c r="AI465">
        <v>2</v>
      </c>
      <c r="AJ465">
        <v>1</v>
      </c>
      <c r="AK465">
        <v>19</v>
      </c>
      <c r="AL465" t="s">
        <v>8423</v>
      </c>
      <c r="AM465" t="s">
        <v>8424</v>
      </c>
      <c r="AN465" t="s">
        <v>8425</v>
      </c>
      <c r="AO465" t="s">
        <v>8426</v>
      </c>
      <c r="AP465" t="s">
        <v>74</v>
      </c>
      <c r="AQ465" t="s">
        <v>74</v>
      </c>
      <c r="AR465" t="s">
        <v>8418</v>
      </c>
      <c r="AS465" t="s">
        <v>8427</v>
      </c>
      <c r="AT465" t="s">
        <v>8428</v>
      </c>
      <c r="AU465">
        <v>2011</v>
      </c>
      <c r="AV465">
        <v>20</v>
      </c>
      <c r="AW465">
        <v>1</v>
      </c>
      <c r="AX465" t="s">
        <v>74</v>
      </c>
      <c r="AY465" t="s">
        <v>74</v>
      </c>
      <c r="AZ465" t="s">
        <v>74</v>
      </c>
      <c r="BA465" t="s">
        <v>74</v>
      </c>
      <c r="BB465">
        <v>33</v>
      </c>
      <c r="BC465">
        <v>41</v>
      </c>
      <c r="BD465" t="s">
        <v>74</v>
      </c>
      <c r="BE465" t="s">
        <v>74</v>
      </c>
      <c r="BF465" t="s">
        <v>74</v>
      </c>
      <c r="BG465" t="s">
        <v>74</v>
      </c>
      <c r="BH465" t="s">
        <v>74</v>
      </c>
      <c r="BI465">
        <v>9</v>
      </c>
      <c r="BJ465" t="s">
        <v>821</v>
      </c>
      <c r="BK465" t="s">
        <v>6441</v>
      </c>
      <c r="BL465" t="s">
        <v>822</v>
      </c>
      <c r="BM465" t="s">
        <v>8429</v>
      </c>
      <c r="BN465" t="s">
        <v>74</v>
      </c>
      <c r="BO465" t="s">
        <v>74</v>
      </c>
      <c r="BP465" t="s">
        <v>74</v>
      </c>
      <c r="BQ465" t="s">
        <v>74</v>
      </c>
      <c r="BR465" t="s">
        <v>103</v>
      </c>
      <c r="BS465" t="s">
        <v>8450</v>
      </c>
      <c r="BT465" t="str">
        <f>HYPERLINK("https%3A%2F%2Fwww.webofscience.com%2Fwos%2Fwoscc%2Ffull-record%2FWOS:000415308100006","View Full Record in Web of Science")</f>
        <v>View Full Record in Web of Science</v>
      </c>
    </row>
    <row r="466" spans="1:72" x14ac:dyDescent="0.15">
      <c r="A466" t="s">
        <v>72</v>
      </c>
      <c r="B466" t="s">
        <v>8451</v>
      </c>
      <c r="C466" t="s">
        <v>74</v>
      </c>
      <c r="D466" t="s">
        <v>74</v>
      </c>
      <c r="E466" t="s">
        <v>74</v>
      </c>
      <c r="F466" t="s">
        <v>8452</v>
      </c>
      <c r="G466" t="s">
        <v>74</v>
      </c>
      <c r="H466" t="s">
        <v>74</v>
      </c>
      <c r="I466" t="s">
        <v>8453</v>
      </c>
      <c r="J466" t="s">
        <v>8418</v>
      </c>
      <c r="K466" t="s">
        <v>74</v>
      </c>
      <c r="L466" t="s">
        <v>74</v>
      </c>
      <c r="M466" t="s">
        <v>7904</v>
      </c>
      <c r="N466" t="s">
        <v>79</v>
      </c>
      <c r="O466" t="s">
        <v>74</v>
      </c>
      <c r="P466" t="s">
        <v>74</v>
      </c>
      <c r="Q466" t="s">
        <v>74</v>
      </c>
      <c r="R466" t="s">
        <v>74</v>
      </c>
      <c r="S466" t="s">
        <v>74</v>
      </c>
      <c r="T466" t="s">
        <v>74</v>
      </c>
      <c r="U466" t="s">
        <v>74</v>
      </c>
      <c r="V466" t="s">
        <v>8454</v>
      </c>
      <c r="W466" t="s">
        <v>8455</v>
      </c>
      <c r="X466" t="s">
        <v>8456</v>
      </c>
      <c r="Y466" t="s">
        <v>8457</v>
      </c>
      <c r="Z466" t="s">
        <v>74</v>
      </c>
      <c r="AA466" t="s">
        <v>8458</v>
      </c>
      <c r="AB466" t="s">
        <v>74</v>
      </c>
      <c r="AC466" t="s">
        <v>74</v>
      </c>
      <c r="AD466" t="s">
        <v>74</v>
      </c>
      <c r="AE466" t="s">
        <v>74</v>
      </c>
      <c r="AF466" t="s">
        <v>74</v>
      </c>
      <c r="AG466">
        <v>0</v>
      </c>
      <c r="AH466">
        <v>5</v>
      </c>
      <c r="AI466">
        <v>5</v>
      </c>
      <c r="AJ466">
        <v>0</v>
      </c>
      <c r="AK466">
        <v>1</v>
      </c>
      <c r="AL466" t="s">
        <v>8423</v>
      </c>
      <c r="AM466" t="s">
        <v>8424</v>
      </c>
      <c r="AN466" t="s">
        <v>8425</v>
      </c>
      <c r="AO466" t="s">
        <v>8426</v>
      </c>
      <c r="AP466" t="s">
        <v>74</v>
      </c>
      <c r="AQ466" t="s">
        <v>74</v>
      </c>
      <c r="AR466" t="s">
        <v>8418</v>
      </c>
      <c r="AS466" t="s">
        <v>8427</v>
      </c>
      <c r="AT466" t="s">
        <v>8428</v>
      </c>
      <c r="AU466">
        <v>2011</v>
      </c>
      <c r="AV466">
        <v>20</v>
      </c>
      <c r="AW466">
        <v>1</v>
      </c>
      <c r="AX466" t="s">
        <v>74</v>
      </c>
      <c r="AY466" t="s">
        <v>74</v>
      </c>
      <c r="AZ466" t="s">
        <v>74</v>
      </c>
      <c r="BA466" t="s">
        <v>74</v>
      </c>
      <c r="BB466">
        <v>42</v>
      </c>
      <c r="BC466">
        <v>53</v>
      </c>
      <c r="BD466" t="s">
        <v>74</v>
      </c>
      <c r="BE466" t="s">
        <v>74</v>
      </c>
      <c r="BF466" t="s">
        <v>74</v>
      </c>
      <c r="BG466" t="s">
        <v>74</v>
      </c>
      <c r="BH466" t="s">
        <v>74</v>
      </c>
      <c r="BI466">
        <v>12</v>
      </c>
      <c r="BJ466" t="s">
        <v>821</v>
      </c>
      <c r="BK466" t="s">
        <v>6441</v>
      </c>
      <c r="BL466" t="s">
        <v>822</v>
      </c>
      <c r="BM466" t="s">
        <v>8429</v>
      </c>
      <c r="BN466" t="s">
        <v>74</v>
      </c>
      <c r="BO466" t="s">
        <v>74</v>
      </c>
      <c r="BP466" t="s">
        <v>74</v>
      </c>
      <c r="BQ466" t="s">
        <v>74</v>
      </c>
      <c r="BR466" t="s">
        <v>103</v>
      </c>
      <c r="BS466" t="s">
        <v>8459</v>
      </c>
      <c r="BT466" t="str">
        <f>HYPERLINK("https%3A%2F%2Fwww.webofscience.com%2Fwos%2Fwoscc%2Ffull-record%2FWOS:000415308100007","View Full Record in Web of Science")</f>
        <v>View Full Record in Web of Science</v>
      </c>
    </row>
    <row r="467" spans="1:72" x14ac:dyDescent="0.15">
      <c r="A467" t="s">
        <v>72</v>
      </c>
      <c r="B467" t="s">
        <v>8460</v>
      </c>
      <c r="C467" t="s">
        <v>74</v>
      </c>
      <c r="D467" t="s">
        <v>74</v>
      </c>
      <c r="E467" t="s">
        <v>74</v>
      </c>
      <c r="F467" t="s">
        <v>8461</v>
      </c>
      <c r="G467" t="s">
        <v>74</v>
      </c>
      <c r="H467" t="s">
        <v>74</v>
      </c>
      <c r="I467" t="s">
        <v>8462</v>
      </c>
      <c r="J467" t="s">
        <v>8418</v>
      </c>
      <c r="K467" t="s">
        <v>74</v>
      </c>
      <c r="L467" t="s">
        <v>74</v>
      </c>
      <c r="M467" t="s">
        <v>7904</v>
      </c>
      <c r="N467" t="s">
        <v>79</v>
      </c>
      <c r="O467" t="s">
        <v>74</v>
      </c>
      <c r="P467" t="s">
        <v>74</v>
      </c>
      <c r="Q467" t="s">
        <v>74</v>
      </c>
      <c r="R467" t="s">
        <v>74</v>
      </c>
      <c r="S467" t="s">
        <v>74</v>
      </c>
      <c r="T467" t="s">
        <v>74</v>
      </c>
      <c r="U467" t="s">
        <v>74</v>
      </c>
      <c r="V467" t="s">
        <v>8463</v>
      </c>
      <c r="W467" t="s">
        <v>8464</v>
      </c>
      <c r="X467" t="s">
        <v>8465</v>
      </c>
      <c r="Y467" t="s">
        <v>8466</v>
      </c>
      <c r="Z467" t="s">
        <v>74</v>
      </c>
      <c r="AA467" t="s">
        <v>8467</v>
      </c>
      <c r="AB467" t="s">
        <v>8468</v>
      </c>
      <c r="AC467" t="s">
        <v>74</v>
      </c>
      <c r="AD467" t="s">
        <v>74</v>
      </c>
      <c r="AE467" t="s">
        <v>74</v>
      </c>
      <c r="AF467" t="s">
        <v>74</v>
      </c>
      <c r="AG467">
        <v>0</v>
      </c>
      <c r="AH467">
        <v>0</v>
      </c>
      <c r="AI467">
        <v>0</v>
      </c>
      <c r="AJ467">
        <v>0</v>
      </c>
      <c r="AK467">
        <v>0</v>
      </c>
      <c r="AL467" t="s">
        <v>8423</v>
      </c>
      <c r="AM467" t="s">
        <v>8424</v>
      </c>
      <c r="AN467" t="s">
        <v>8425</v>
      </c>
      <c r="AO467" t="s">
        <v>8426</v>
      </c>
      <c r="AP467" t="s">
        <v>74</v>
      </c>
      <c r="AQ467" t="s">
        <v>74</v>
      </c>
      <c r="AR467" t="s">
        <v>8418</v>
      </c>
      <c r="AS467" t="s">
        <v>8427</v>
      </c>
      <c r="AT467" t="s">
        <v>8428</v>
      </c>
      <c r="AU467">
        <v>2011</v>
      </c>
      <c r="AV467">
        <v>20</v>
      </c>
      <c r="AW467">
        <v>1</v>
      </c>
      <c r="AX467" t="s">
        <v>74</v>
      </c>
      <c r="AY467" t="s">
        <v>74</v>
      </c>
      <c r="AZ467" t="s">
        <v>74</v>
      </c>
      <c r="BA467" t="s">
        <v>74</v>
      </c>
      <c r="BB467">
        <v>54</v>
      </c>
      <c r="BC467">
        <v>68</v>
      </c>
      <c r="BD467" t="s">
        <v>74</v>
      </c>
      <c r="BE467" t="s">
        <v>74</v>
      </c>
      <c r="BF467" t="s">
        <v>74</v>
      </c>
      <c r="BG467" t="s">
        <v>74</v>
      </c>
      <c r="BH467" t="s">
        <v>74</v>
      </c>
      <c r="BI467">
        <v>15</v>
      </c>
      <c r="BJ467" t="s">
        <v>821</v>
      </c>
      <c r="BK467" t="s">
        <v>6441</v>
      </c>
      <c r="BL467" t="s">
        <v>822</v>
      </c>
      <c r="BM467" t="s">
        <v>8429</v>
      </c>
      <c r="BN467" t="s">
        <v>74</v>
      </c>
      <c r="BO467" t="s">
        <v>74</v>
      </c>
      <c r="BP467" t="s">
        <v>74</v>
      </c>
      <c r="BQ467" t="s">
        <v>74</v>
      </c>
      <c r="BR467" t="s">
        <v>103</v>
      </c>
      <c r="BS467" t="s">
        <v>8469</v>
      </c>
      <c r="BT467" t="str">
        <f>HYPERLINK("https%3A%2F%2Fwww.webofscience.com%2Fwos%2Fwoscc%2Ffull-record%2FWOS:000415308100008","View Full Record in Web of Science")</f>
        <v>View Full Record in Web of Science</v>
      </c>
    </row>
    <row r="468" spans="1:72" x14ac:dyDescent="0.15">
      <c r="A468" t="s">
        <v>72</v>
      </c>
      <c r="B468" t="s">
        <v>8470</v>
      </c>
      <c r="C468" t="s">
        <v>74</v>
      </c>
      <c r="D468" t="s">
        <v>74</v>
      </c>
      <c r="E468" t="s">
        <v>74</v>
      </c>
      <c r="F468" t="s">
        <v>8471</v>
      </c>
      <c r="G468" t="s">
        <v>74</v>
      </c>
      <c r="H468" t="s">
        <v>74</v>
      </c>
      <c r="I468" t="s">
        <v>8472</v>
      </c>
      <c r="J468" t="s">
        <v>8418</v>
      </c>
      <c r="K468" t="s">
        <v>74</v>
      </c>
      <c r="L468" t="s">
        <v>74</v>
      </c>
      <c r="M468" t="s">
        <v>7904</v>
      </c>
      <c r="N468" t="s">
        <v>79</v>
      </c>
      <c r="O468" t="s">
        <v>74</v>
      </c>
      <c r="P468" t="s">
        <v>74</v>
      </c>
      <c r="Q468" t="s">
        <v>74</v>
      </c>
      <c r="R468" t="s">
        <v>74</v>
      </c>
      <c r="S468" t="s">
        <v>74</v>
      </c>
      <c r="T468" t="s">
        <v>74</v>
      </c>
      <c r="U468" t="s">
        <v>74</v>
      </c>
      <c r="V468" t="s">
        <v>8473</v>
      </c>
      <c r="W468" t="s">
        <v>8474</v>
      </c>
      <c r="X468" t="s">
        <v>8475</v>
      </c>
      <c r="Y468" t="s">
        <v>8476</v>
      </c>
      <c r="Z468" t="s">
        <v>74</v>
      </c>
      <c r="AA468" t="s">
        <v>8477</v>
      </c>
      <c r="AB468" t="s">
        <v>8478</v>
      </c>
      <c r="AC468" t="s">
        <v>74</v>
      </c>
      <c r="AD468" t="s">
        <v>74</v>
      </c>
      <c r="AE468" t="s">
        <v>74</v>
      </c>
      <c r="AF468" t="s">
        <v>74</v>
      </c>
      <c r="AG468">
        <v>0</v>
      </c>
      <c r="AH468">
        <v>5</v>
      </c>
      <c r="AI468">
        <v>6</v>
      </c>
      <c r="AJ468">
        <v>0</v>
      </c>
      <c r="AK468">
        <v>1</v>
      </c>
      <c r="AL468" t="s">
        <v>8423</v>
      </c>
      <c r="AM468" t="s">
        <v>8424</v>
      </c>
      <c r="AN468" t="s">
        <v>8425</v>
      </c>
      <c r="AO468" t="s">
        <v>8426</v>
      </c>
      <c r="AP468" t="s">
        <v>74</v>
      </c>
      <c r="AQ468" t="s">
        <v>74</v>
      </c>
      <c r="AR468" t="s">
        <v>8418</v>
      </c>
      <c r="AS468" t="s">
        <v>8427</v>
      </c>
      <c r="AT468" t="s">
        <v>8428</v>
      </c>
      <c r="AU468">
        <v>2011</v>
      </c>
      <c r="AV468">
        <v>20</v>
      </c>
      <c r="AW468">
        <v>1</v>
      </c>
      <c r="AX468" t="s">
        <v>74</v>
      </c>
      <c r="AY468" t="s">
        <v>74</v>
      </c>
      <c r="AZ468" t="s">
        <v>74</v>
      </c>
      <c r="BA468" t="s">
        <v>74</v>
      </c>
      <c r="BB468">
        <v>69</v>
      </c>
      <c r="BC468">
        <v>86</v>
      </c>
      <c r="BD468" t="s">
        <v>74</v>
      </c>
      <c r="BE468" t="s">
        <v>74</v>
      </c>
      <c r="BF468" t="s">
        <v>74</v>
      </c>
      <c r="BG468" t="s">
        <v>74</v>
      </c>
      <c r="BH468" t="s">
        <v>74</v>
      </c>
      <c r="BI468">
        <v>18</v>
      </c>
      <c r="BJ468" t="s">
        <v>821</v>
      </c>
      <c r="BK468" t="s">
        <v>6441</v>
      </c>
      <c r="BL468" t="s">
        <v>822</v>
      </c>
      <c r="BM468" t="s">
        <v>8429</v>
      </c>
      <c r="BN468" t="s">
        <v>74</v>
      </c>
      <c r="BO468" t="s">
        <v>74</v>
      </c>
      <c r="BP468" t="s">
        <v>74</v>
      </c>
      <c r="BQ468" t="s">
        <v>74</v>
      </c>
      <c r="BR468" t="s">
        <v>103</v>
      </c>
      <c r="BS468" t="s">
        <v>8479</v>
      </c>
      <c r="BT468" t="str">
        <f>HYPERLINK("https%3A%2F%2Fwww.webofscience.com%2Fwos%2Fwoscc%2Ffull-record%2FWOS:000415308100009","View Full Record in Web of Science")</f>
        <v>View Full Record in Web of Science</v>
      </c>
    </row>
    <row r="469" spans="1:72" x14ac:dyDescent="0.15">
      <c r="A469" t="s">
        <v>72</v>
      </c>
      <c r="B469" t="s">
        <v>8480</v>
      </c>
      <c r="C469" t="s">
        <v>74</v>
      </c>
      <c r="D469" t="s">
        <v>74</v>
      </c>
      <c r="E469" t="s">
        <v>74</v>
      </c>
      <c r="F469" t="s">
        <v>8481</v>
      </c>
      <c r="G469" t="s">
        <v>74</v>
      </c>
      <c r="H469" t="s">
        <v>74</v>
      </c>
      <c r="I469" t="s">
        <v>8482</v>
      </c>
      <c r="J469" t="s">
        <v>8418</v>
      </c>
      <c r="K469" t="s">
        <v>74</v>
      </c>
      <c r="L469" t="s">
        <v>74</v>
      </c>
      <c r="M469" t="s">
        <v>7904</v>
      </c>
      <c r="N469" t="s">
        <v>79</v>
      </c>
      <c r="O469" t="s">
        <v>74</v>
      </c>
      <c r="P469" t="s">
        <v>74</v>
      </c>
      <c r="Q469" t="s">
        <v>74</v>
      </c>
      <c r="R469" t="s">
        <v>74</v>
      </c>
      <c r="S469" t="s">
        <v>74</v>
      </c>
      <c r="T469" t="s">
        <v>74</v>
      </c>
      <c r="U469" t="s">
        <v>74</v>
      </c>
      <c r="V469" t="s">
        <v>8483</v>
      </c>
      <c r="W469" t="s">
        <v>8484</v>
      </c>
      <c r="X469" t="s">
        <v>8456</v>
      </c>
      <c r="Y469" t="s">
        <v>8485</v>
      </c>
      <c r="Z469" t="s">
        <v>74</v>
      </c>
      <c r="AA469" t="s">
        <v>8486</v>
      </c>
      <c r="AB469" t="s">
        <v>8487</v>
      </c>
      <c r="AC469" t="s">
        <v>74</v>
      </c>
      <c r="AD469" t="s">
        <v>74</v>
      </c>
      <c r="AE469" t="s">
        <v>74</v>
      </c>
      <c r="AF469" t="s">
        <v>74</v>
      </c>
      <c r="AG469">
        <v>0</v>
      </c>
      <c r="AH469">
        <v>0</v>
      </c>
      <c r="AI469">
        <v>0</v>
      </c>
      <c r="AJ469">
        <v>0</v>
      </c>
      <c r="AK469">
        <v>1</v>
      </c>
      <c r="AL469" t="s">
        <v>8423</v>
      </c>
      <c r="AM469" t="s">
        <v>8424</v>
      </c>
      <c r="AN469" t="s">
        <v>8425</v>
      </c>
      <c r="AO469" t="s">
        <v>8426</v>
      </c>
      <c r="AP469" t="s">
        <v>74</v>
      </c>
      <c r="AQ469" t="s">
        <v>74</v>
      </c>
      <c r="AR469" t="s">
        <v>8418</v>
      </c>
      <c r="AS469" t="s">
        <v>8427</v>
      </c>
      <c r="AT469" t="s">
        <v>8428</v>
      </c>
      <c r="AU469">
        <v>2011</v>
      </c>
      <c r="AV469">
        <v>20</v>
      </c>
      <c r="AW469">
        <v>1</v>
      </c>
      <c r="AX469" t="s">
        <v>74</v>
      </c>
      <c r="AY469" t="s">
        <v>74</v>
      </c>
      <c r="AZ469" t="s">
        <v>74</v>
      </c>
      <c r="BA469" t="s">
        <v>74</v>
      </c>
      <c r="BB469">
        <v>87</v>
      </c>
      <c r="BC469">
        <v>93</v>
      </c>
      <c r="BD469" t="s">
        <v>74</v>
      </c>
      <c r="BE469" t="s">
        <v>74</v>
      </c>
      <c r="BF469" t="s">
        <v>74</v>
      </c>
      <c r="BG469" t="s">
        <v>74</v>
      </c>
      <c r="BH469" t="s">
        <v>74</v>
      </c>
      <c r="BI469">
        <v>7</v>
      </c>
      <c r="BJ469" t="s">
        <v>821</v>
      </c>
      <c r="BK469" t="s">
        <v>6441</v>
      </c>
      <c r="BL469" t="s">
        <v>822</v>
      </c>
      <c r="BM469" t="s">
        <v>8429</v>
      </c>
      <c r="BN469" t="s">
        <v>74</v>
      </c>
      <c r="BO469" t="s">
        <v>74</v>
      </c>
      <c r="BP469" t="s">
        <v>74</v>
      </c>
      <c r="BQ469" t="s">
        <v>74</v>
      </c>
      <c r="BR469" t="s">
        <v>103</v>
      </c>
      <c r="BS469" t="s">
        <v>8488</v>
      </c>
      <c r="BT469" t="str">
        <f>HYPERLINK("https%3A%2F%2Fwww.webofscience.com%2Fwos%2Fwoscc%2Ffull-record%2FWOS:000415308100010","View Full Record in Web of Science")</f>
        <v>View Full Record in Web of Science</v>
      </c>
    </row>
    <row r="470" spans="1:72" x14ac:dyDescent="0.15">
      <c r="A470" t="s">
        <v>72</v>
      </c>
      <c r="B470" t="s">
        <v>8489</v>
      </c>
      <c r="C470" t="s">
        <v>74</v>
      </c>
      <c r="D470" t="s">
        <v>74</v>
      </c>
      <c r="E470" t="s">
        <v>74</v>
      </c>
      <c r="F470" t="s">
        <v>8490</v>
      </c>
      <c r="G470" t="s">
        <v>74</v>
      </c>
      <c r="H470" t="s">
        <v>74</v>
      </c>
      <c r="I470" t="s">
        <v>8491</v>
      </c>
      <c r="J470" t="s">
        <v>8418</v>
      </c>
      <c r="K470" t="s">
        <v>74</v>
      </c>
      <c r="L470" t="s">
        <v>74</v>
      </c>
      <c r="M470" t="s">
        <v>7904</v>
      </c>
      <c r="N470" t="s">
        <v>79</v>
      </c>
      <c r="O470" t="s">
        <v>74</v>
      </c>
      <c r="P470" t="s">
        <v>74</v>
      </c>
      <c r="Q470" t="s">
        <v>74</v>
      </c>
      <c r="R470" t="s">
        <v>74</v>
      </c>
      <c r="S470" t="s">
        <v>74</v>
      </c>
      <c r="T470" t="s">
        <v>74</v>
      </c>
      <c r="U470" t="s">
        <v>74</v>
      </c>
      <c r="V470" t="s">
        <v>8492</v>
      </c>
      <c r="W470" t="s">
        <v>8493</v>
      </c>
      <c r="X470" t="s">
        <v>74</v>
      </c>
      <c r="Y470" t="s">
        <v>8494</v>
      </c>
      <c r="Z470" t="s">
        <v>74</v>
      </c>
      <c r="AA470" t="s">
        <v>74</v>
      </c>
      <c r="AB470" t="s">
        <v>74</v>
      </c>
      <c r="AC470" t="s">
        <v>74</v>
      </c>
      <c r="AD470" t="s">
        <v>74</v>
      </c>
      <c r="AE470" t="s">
        <v>74</v>
      </c>
      <c r="AF470" t="s">
        <v>74</v>
      </c>
      <c r="AG470">
        <v>0</v>
      </c>
      <c r="AH470">
        <v>1</v>
      </c>
      <c r="AI470">
        <v>1</v>
      </c>
      <c r="AJ470">
        <v>0</v>
      </c>
      <c r="AK470">
        <v>0</v>
      </c>
      <c r="AL470" t="s">
        <v>8423</v>
      </c>
      <c r="AM470" t="s">
        <v>8424</v>
      </c>
      <c r="AN470" t="s">
        <v>8425</v>
      </c>
      <c r="AO470" t="s">
        <v>8426</v>
      </c>
      <c r="AP470" t="s">
        <v>74</v>
      </c>
      <c r="AQ470" t="s">
        <v>74</v>
      </c>
      <c r="AR470" t="s">
        <v>8418</v>
      </c>
      <c r="AS470" t="s">
        <v>8427</v>
      </c>
      <c r="AT470" t="s">
        <v>8428</v>
      </c>
      <c r="AU470">
        <v>2011</v>
      </c>
      <c r="AV470">
        <v>20</v>
      </c>
      <c r="AW470">
        <v>1</v>
      </c>
      <c r="AX470" t="s">
        <v>74</v>
      </c>
      <c r="AY470" t="s">
        <v>74</v>
      </c>
      <c r="AZ470" t="s">
        <v>74</v>
      </c>
      <c r="BA470" t="s">
        <v>74</v>
      </c>
      <c r="BB470">
        <v>94</v>
      </c>
      <c r="BC470">
        <v>103</v>
      </c>
      <c r="BD470" t="s">
        <v>74</v>
      </c>
      <c r="BE470" t="s">
        <v>74</v>
      </c>
      <c r="BF470" t="s">
        <v>74</v>
      </c>
      <c r="BG470" t="s">
        <v>74</v>
      </c>
      <c r="BH470" t="s">
        <v>74</v>
      </c>
      <c r="BI470">
        <v>10</v>
      </c>
      <c r="BJ470" t="s">
        <v>821</v>
      </c>
      <c r="BK470" t="s">
        <v>6441</v>
      </c>
      <c r="BL470" t="s">
        <v>822</v>
      </c>
      <c r="BM470" t="s">
        <v>8429</v>
      </c>
      <c r="BN470" t="s">
        <v>74</v>
      </c>
      <c r="BO470" t="s">
        <v>74</v>
      </c>
      <c r="BP470" t="s">
        <v>74</v>
      </c>
      <c r="BQ470" t="s">
        <v>74</v>
      </c>
      <c r="BR470" t="s">
        <v>103</v>
      </c>
      <c r="BS470" t="s">
        <v>8495</v>
      </c>
      <c r="BT470" t="str">
        <f>HYPERLINK("https%3A%2F%2Fwww.webofscience.com%2Fwos%2Fwoscc%2Ffull-record%2FWOS:000415308100011","View Full Record in Web of Science")</f>
        <v>View Full Record in Web of Science</v>
      </c>
    </row>
    <row r="471" spans="1:72" x14ac:dyDescent="0.15">
      <c r="A471" t="s">
        <v>72</v>
      </c>
      <c r="B471" t="s">
        <v>8496</v>
      </c>
      <c r="C471" t="s">
        <v>74</v>
      </c>
      <c r="D471" t="s">
        <v>74</v>
      </c>
      <c r="E471" t="s">
        <v>74</v>
      </c>
      <c r="F471" t="s">
        <v>8497</v>
      </c>
      <c r="G471" t="s">
        <v>74</v>
      </c>
      <c r="H471" t="s">
        <v>74</v>
      </c>
      <c r="I471" t="s">
        <v>8498</v>
      </c>
      <c r="J471" t="s">
        <v>8499</v>
      </c>
      <c r="K471" t="s">
        <v>74</v>
      </c>
      <c r="L471" t="s">
        <v>74</v>
      </c>
      <c r="M471" t="s">
        <v>78</v>
      </c>
      <c r="N471" t="s">
        <v>79</v>
      </c>
      <c r="O471" t="s">
        <v>74</v>
      </c>
      <c r="P471" t="s">
        <v>74</v>
      </c>
      <c r="Q471" t="s">
        <v>74</v>
      </c>
      <c r="R471" t="s">
        <v>74</v>
      </c>
      <c r="S471" t="s">
        <v>74</v>
      </c>
      <c r="T471" t="s">
        <v>8500</v>
      </c>
      <c r="U471" t="s">
        <v>8501</v>
      </c>
      <c r="V471" t="s">
        <v>8502</v>
      </c>
      <c r="W471" t="s">
        <v>8503</v>
      </c>
      <c r="X471" t="s">
        <v>8504</v>
      </c>
      <c r="Y471" t="s">
        <v>8505</v>
      </c>
      <c r="Z471" t="s">
        <v>8506</v>
      </c>
      <c r="AA471" t="s">
        <v>8507</v>
      </c>
      <c r="AB471" t="s">
        <v>8508</v>
      </c>
      <c r="AC471" t="s">
        <v>8509</v>
      </c>
      <c r="AD471" t="s">
        <v>8510</v>
      </c>
      <c r="AE471" t="s">
        <v>8511</v>
      </c>
      <c r="AF471" t="s">
        <v>74</v>
      </c>
      <c r="AG471">
        <v>28</v>
      </c>
      <c r="AH471">
        <v>42</v>
      </c>
      <c r="AI471">
        <v>48</v>
      </c>
      <c r="AJ471">
        <v>1</v>
      </c>
      <c r="AK471">
        <v>22</v>
      </c>
      <c r="AL471" t="s">
        <v>214</v>
      </c>
      <c r="AM471" t="s">
        <v>215</v>
      </c>
      <c r="AN471" t="s">
        <v>216</v>
      </c>
      <c r="AO471" t="s">
        <v>8512</v>
      </c>
      <c r="AP471" t="s">
        <v>74</v>
      </c>
      <c r="AQ471" t="s">
        <v>74</v>
      </c>
      <c r="AR471" t="s">
        <v>8499</v>
      </c>
      <c r="AS471" t="s">
        <v>8513</v>
      </c>
      <c r="AT471" t="s">
        <v>3935</v>
      </c>
      <c r="AU471">
        <v>2011</v>
      </c>
      <c r="AV471">
        <v>2</v>
      </c>
      <c r="AW471">
        <v>1</v>
      </c>
      <c r="AX471" t="s">
        <v>74</v>
      </c>
      <c r="AY471" t="s">
        <v>74</v>
      </c>
      <c r="AZ471" t="s">
        <v>74</v>
      </c>
      <c r="BA471" t="s">
        <v>74</v>
      </c>
      <c r="BB471" t="s">
        <v>74</v>
      </c>
      <c r="BC471" t="s">
        <v>74</v>
      </c>
      <c r="BD471">
        <v>10</v>
      </c>
      <c r="BE471" t="s">
        <v>8514</v>
      </c>
      <c r="BF471" t="str">
        <f>HYPERLINK("http://dx.doi.org/10.1890/ES10-00021.1","http://dx.doi.org/10.1890/ES10-00021.1")</f>
        <v>http://dx.doi.org/10.1890/ES10-00021.1</v>
      </c>
      <c r="BG471" t="s">
        <v>74</v>
      </c>
      <c r="BH471" t="s">
        <v>74</v>
      </c>
      <c r="BI471">
        <v>12</v>
      </c>
      <c r="BJ471" t="s">
        <v>821</v>
      </c>
      <c r="BK471" t="s">
        <v>100</v>
      </c>
      <c r="BL471" t="s">
        <v>822</v>
      </c>
      <c r="BM471" t="s">
        <v>8515</v>
      </c>
      <c r="BN471" t="s">
        <v>74</v>
      </c>
      <c r="BO471" t="s">
        <v>2456</v>
      </c>
      <c r="BP471" t="s">
        <v>74</v>
      </c>
      <c r="BQ471" t="s">
        <v>74</v>
      </c>
      <c r="BR471" t="s">
        <v>103</v>
      </c>
      <c r="BS471" t="s">
        <v>8516</v>
      </c>
      <c r="BT471" t="str">
        <f>HYPERLINK("https%3A%2F%2Fwww.webofscience.com%2Fwos%2Fwoscc%2Ffull-record%2FWOS:000208836100009","View Full Record in Web of Science")</f>
        <v>View Full Record in Web of Science</v>
      </c>
    </row>
    <row r="472" spans="1:72" x14ac:dyDescent="0.15">
      <c r="A472" t="s">
        <v>72</v>
      </c>
      <c r="B472" t="s">
        <v>8517</v>
      </c>
      <c r="C472" t="s">
        <v>74</v>
      </c>
      <c r="D472" t="s">
        <v>74</v>
      </c>
      <c r="E472" t="s">
        <v>74</v>
      </c>
      <c r="F472" t="s">
        <v>8518</v>
      </c>
      <c r="G472" t="s">
        <v>74</v>
      </c>
      <c r="H472" t="s">
        <v>74</v>
      </c>
      <c r="I472" t="s">
        <v>8519</v>
      </c>
      <c r="J472" t="s">
        <v>8520</v>
      </c>
      <c r="K472" t="s">
        <v>74</v>
      </c>
      <c r="L472" t="s">
        <v>74</v>
      </c>
      <c r="M472" t="s">
        <v>78</v>
      </c>
      <c r="N472" t="s">
        <v>79</v>
      </c>
      <c r="O472" t="s">
        <v>74</v>
      </c>
      <c r="P472" t="s">
        <v>74</v>
      </c>
      <c r="Q472" t="s">
        <v>74</v>
      </c>
      <c r="R472" t="s">
        <v>74</v>
      </c>
      <c r="S472" t="s">
        <v>74</v>
      </c>
      <c r="T472" t="s">
        <v>8521</v>
      </c>
      <c r="U472" t="s">
        <v>8522</v>
      </c>
      <c r="V472" t="s">
        <v>8523</v>
      </c>
      <c r="W472" t="s">
        <v>8524</v>
      </c>
      <c r="X472" t="s">
        <v>8525</v>
      </c>
      <c r="Y472" t="s">
        <v>8526</v>
      </c>
      <c r="Z472" t="s">
        <v>8527</v>
      </c>
      <c r="AA472" t="s">
        <v>74</v>
      </c>
      <c r="AB472" t="s">
        <v>8528</v>
      </c>
      <c r="AC472" t="s">
        <v>8529</v>
      </c>
      <c r="AD472" t="s">
        <v>8530</v>
      </c>
      <c r="AE472" t="s">
        <v>8531</v>
      </c>
      <c r="AF472" t="s">
        <v>74</v>
      </c>
      <c r="AG472">
        <v>28</v>
      </c>
      <c r="AH472">
        <v>10</v>
      </c>
      <c r="AI472">
        <v>10</v>
      </c>
      <c r="AJ472">
        <v>2</v>
      </c>
      <c r="AK472">
        <v>85</v>
      </c>
      <c r="AL472" t="s">
        <v>8532</v>
      </c>
      <c r="AM472" t="s">
        <v>8533</v>
      </c>
      <c r="AN472" t="s">
        <v>8534</v>
      </c>
      <c r="AO472" t="s">
        <v>8535</v>
      </c>
      <c r="AP472" t="s">
        <v>8536</v>
      </c>
      <c r="AQ472" t="s">
        <v>74</v>
      </c>
      <c r="AR472" t="s">
        <v>8537</v>
      </c>
      <c r="AS472" t="s">
        <v>8538</v>
      </c>
      <c r="AT472" t="s">
        <v>74</v>
      </c>
      <c r="AU472">
        <v>2011</v>
      </c>
      <c r="AV472">
        <v>111</v>
      </c>
      <c r="AW472">
        <v>3</v>
      </c>
      <c r="AX472" t="s">
        <v>74</v>
      </c>
      <c r="AY472" t="s">
        <v>74</v>
      </c>
      <c r="AZ472" t="s">
        <v>74</v>
      </c>
      <c r="BA472" t="s">
        <v>74</v>
      </c>
      <c r="BB472">
        <v>222</v>
      </c>
      <c r="BC472">
        <v>228</v>
      </c>
      <c r="BD472" t="s">
        <v>74</v>
      </c>
      <c r="BE472" t="s">
        <v>8539</v>
      </c>
      <c r="BF472" t="str">
        <f>HYPERLINK("http://dx.doi.org/10.1071/MU09071","http://dx.doi.org/10.1071/MU09071")</f>
        <v>http://dx.doi.org/10.1071/MU09071</v>
      </c>
      <c r="BG472" t="s">
        <v>74</v>
      </c>
      <c r="BH472" t="s">
        <v>74</v>
      </c>
      <c r="BI472">
        <v>7</v>
      </c>
      <c r="BJ472" t="s">
        <v>673</v>
      </c>
      <c r="BK472" t="s">
        <v>100</v>
      </c>
      <c r="BL472" t="s">
        <v>674</v>
      </c>
      <c r="BM472" t="s">
        <v>8540</v>
      </c>
      <c r="BN472" t="s">
        <v>74</v>
      </c>
      <c r="BO472" t="s">
        <v>74</v>
      </c>
      <c r="BP472" t="s">
        <v>74</v>
      </c>
      <c r="BQ472" t="s">
        <v>74</v>
      </c>
      <c r="BR472" t="s">
        <v>103</v>
      </c>
      <c r="BS472" t="s">
        <v>8541</v>
      </c>
      <c r="BT472" t="str">
        <f>HYPERLINK("https%3A%2F%2Fwww.webofscience.com%2Fwos%2Fwoscc%2Ffull-record%2FWOS:000294214500007","View Full Record in Web of Science")</f>
        <v>View Full Record in Web of Science</v>
      </c>
    </row>
    <row r="473" spans="1:72" x14ac:dyDescent="0.15">
      <c r="A473" t="s">
        <v>72</v>
      </c>
      <c r="B473" t="s">
        <v>8542</v>
      </c>
      <c r="C473" t="s">
        <v>74</v>
      </c>
      <c r="D473" t="s">
        <v>74</v>
      </c>
      <c r="E473" t="s">
        <v>74</v>
      </c>
      <c r="F473" t="s">
        <v>8543</v>
      </c>
      <c r="G473" t="s">
        <v>74</v>
      </c>
      <c r="H473" t="s">
        <v>74</v>
      </c>
      <c r="I473" t="s">
        <v>8544</v>
      </c>
      <c r="J473" t="s">
        <v>8545</v>
      </c>
      <c r="K473" t="s">
        <v>74</v>
      </c>
      <c r="L473" t="s">
        <v>74</v>
      </c>
      <c r="M473" t="s">
        <v>78</v>
      </c>
      <c r="N473" t="s">
        <v>79</v>
      </c>
      <c r="O473" t="s">
        <v>74</v>
      </c>
      <c r="P473" t="s">
        <v>74</v>
      </c>
      <c r="Q473" t="s">
        <v>74</v>
      </c>
      <c r="R473" t="s">
        <v>74</v>
      </c>
      <c r="S473" t="s">
        <v>74</v>
      </c>
      <c r="T473" t="s">
        <v>8546</v>
      </c>
      <c r="U473" t="s">
        <v>8547</v>
      </c>
      <c r="V473" t="s">
        <v>8548</v>
      </c>
      <c r="W473" t="s">
        <v>8549</v>
      </c>
      <c r="X473" t="s">
        <v>8550</v>
      </c>
      <c r="Y473" t="s">
        <v>8551</v>
      </c>
      <c r="Z473" t="s">
        <v>8552</v>
      </c>
      <c r="AA473" t="s">
        <v>8553</v>
      </c>
      <c r="AB473" t="s">
        <v>8554</v>
      </c>
      <c r="AC473" t="s">
        <v>8555</v>
      </c>
      <c r="AD473" t="s">
        <v>8555</v>
      </c>
      <c r="AE473" t="s">
        <v>8556</v>
      </c>
      <c r="AF473" t="s">
        <v>74</v>
      </c>
      <c r="AG473">
        <v>58</v>
      </c>
      <c r="AH473">
        <v>13</v>
      </c>
      <c r="AI473">
        <v>16</v>
      </c>
      <c r="AJ473">
        <v>0</v>
      </c>
      <c r="AK473">
        <v>18</v>
      </c>
      <c r="AL473" t="s">
        <v>8557</v>
      </c>
      <c r="AM473" t="s">
        <v>8558</v>
      </c>
      <c r="AN473" t="s">
        <v>8559</v>
      </c>
      <c r="AO473" t="s">
        <v>74</v>
      </c>
      <c r="AP473" t="s">
        <v>8560</v>
      </c>
      <c r="AQ473" t="s">
        <v>74</v>
      </c>
      <c r="AR473" t="s">
        <v>8545</v>
      </c>
      <c r="AS473" t="s">
        <v>8561</v>
      </c>
      <c r="AT473" t="s">
        <v>3935</v>
      </c>
      <c r="AU473">
        <v>2011</v>
      </c>
      <c r="AV473">
        <v>4</v>
      </c>
      <c r="AW473">
        <v>1</v>
      </c>
      <c r="AX473" t="s">
        <v>74</v>
      </c>
      <c r="AY473" t="s">
        <v>74</v>
      </c>
      <c r="AZ473" t="s">
        <v>74</v>
      </c>
      <c r="BA473" t="s">
        <v>74</v>
      </c>
      <c r="BB473">
        <v>39</v>
      </c>
      <c r="BC473">
        <v>56</v>
      </c>
      <c r="BD473" t="s">
        <v>74</v>
      </c>
      <c r="BE473" t="s">
        <v>8562</v>
      </c>
      <c r="BF473" t="str">
        <f>HYPERLINK("http://dx.doi.org/10.3390/en4010039","http://dx.doi.org/10.3390/en4010039")</f>
        <v>http://dx.doi.org/10.3390/en4010039</v>
      </c>
      <c r="BG473" t="s">
        <v>74</v>
      </c>
      <c r="BH473" t="s">
        <v>74</v>
      </c>
      <c r="BI473">
        <v>18</v>
      </c>
      <c r="BJ473" t="s">
        <v>8563</v>
      </c>
      <c r="BK473" t="s">
        <v>100</v>
      </c>
      <c r="BL473" t="s">
        <v>8563</v>
      </c>
      <c r="BM473" t="s">
        <v>8564</v>
      </c>
      <c r="BN473" t="s">
        <v>74</v>
      </c>
      <c r="BO473" t="s">
        <v>3113</v>
      </c>
      <c r="BP473" t="s">
        <v>74</v>
      </c>
      <c r="BQ473" t="s">
        <v>74</v>
      </c>
      <c r="BR473" t="s">
        <v>103</v>
      </c>
      <c r="BS473" t="s">
        <v>8565</v>
      </c>
      <c r="BT473" t="str">
        <f>HYPERLINK("https%3A%2F%2Fwww.webofscience.com%2Fwos%2Fwoscc%2Ffull-record%2FWOS:000286590900003","View Full Record in Web of Science")</f>
        <v>View Full Record in Web of Science</v>
      </c>
    </row>
    <row r="474" spans="1:72" x14ac:dyDescent="0.15">
      <c r="A474" t="s">
        <v>72</v>
      </c>
      <c r="B474" t="s">
        <v>8566</v>
      </c>
      <c r="C474" t="s">
        <v>74</v>
      </c>
      <c r="D474" t="s">
        <v>74</v>
      </c>
      <c r="E474" t="s">
        <v>74</v>
      </c>
      <c r="F474" t="s">
        <v>8567</v>
      </c>
      <c r="G474" t="s">
        <v>74</v>
      </c>
      <c r="H474" t="s">
        <v>74</v>
      </c>
      <c r="I474" t="s">
        <v>8568</v>
      </c>
      <c r="J474" t="s">
        <v>8569</v>
      </c>
      <c r="K474" t="s">
        <v>74</v>
      </c>
      <c r="L474" t="s">
        <v>74</v>
      </c>
      <c r="M474" t="s">
        <v>78</v>
      </c>
      <c r="N474" t="s">
        <v>79</v>
      </c>
      <c r="O474" t="s">
        <v>74</v>
      </c>
      <c r="P474" t="s">
        <v>74</v>
      </c>
      <c r="Q474" t="s">
        <v>74</v>
      </c>
      <c r="R474" t="s">
        <v>74</v>
      </c>
      <c r="S474" t="s">
        <v>74</v>
      </c>
      <c r="T474" t="s">
        <v>8570</v>
      </c>
      <c r="U474" t="s">
        <v>8571</v>
      </c>
      <c r="V474" t="s">
        <v>8572</v>
      </c>
      <c r="W474" t="s">
        <v>8573</v>
      </c>
      <c r="X474" t="s">
        <v>5301</v>
      </c>
      <c r="Y474" t="s">
        <v>8574</v>
      </c>
      <c r="Z474" t="s">
        <v>8575</v>
      </c>
      <c r="AA474" t="s">
        <v>8576</v>
      </c>
      <c r="AB474" t="s">
        <v>5305</v>
      </c>
      <c r="AC474" t="s">
        <v>74</v>
      </c>
      <c r="AD474" t="s">
        <v>74</v>
      </c>
      <c r="AE474" t="s">
        <v>74</v>
      </c>
      <c r="AF474" t="s">
        <v>74</v>
      </c>
      <c r="AG474">
        <v>62</v>
      </c>
      <c r="AH474">
        <v>12</v>
      </c>
      <c r="AI474">
        <v>14</v>
      </c>
      <c r="AJ474">
        <v>7</v>
      </c>
      <c r="AK474">
        <v>82</v>
      </c>
      <c r="AL474" t="s">
        <v>3995</v>
      </c>
      <c r="AM474" t="s">
        <v>4046</v>
      </c>
      <c r="AN474" t="s">
        <v>4047</v>
      </c>
      <c r="AO474" t="s">
        <v>8577</v>
      </c>
      <c r="AP474" t="s">
        <v>8578</v>
      </c>
      <c r="AQ474" t="s">
        <v>74</v>
      </c>
      <c r="AR474" t="s">
        <v>8579</v>
      </c>
      <c r="AS474" t="s">
        <v>8580</v>
      </c>
      <c r="AT474" t="s">
        <v>74</v>
      </c>
      <c r="AU474">
        <v>2011</v>
      </c>
      <c r="AV474">
        <v>8</v>
      </c>
      <c r="AW474">
        <v>3</v>
      </c>
      <c r="AX474" t="s">
        <v>74</v>
      </c>
      <c r="AY474" t="s">
        <v>74</v>
      </c>
      <c r="AZ474" t="s">
        <v>74</v>
      </c>
      <c r="BA474" t="s">
        <v>74</v>
      </c>
      <c r="BB474">
        <v>263</v>
      </c>
      <c r="BC474">
        <v>280</v>
      </c>
      <c r="BD474" t="s">
        <v>74</v>
      </c>
      <c r="BE474" t="s">
        <v>8581</v>
      </c>
      <c r="BF474" t="str">
        <f>HYPERLINK("http://dx.doi.org/10.1071/EN10108","http://dx.doi.org/10.1071/EN10108")</f>
        <v>http://dx.doi.org/10.1071/EN10108</v>
      </c>
      <c r="BG474" t="s">
        <v>74</v>
      </c>
      <c r="BH474" t="s">
        <v>74</v>
      </c>
      <c r="BI474">
        <v>18</v>
      </c>
      <c r="BJ474" t="s">
        <v>8582</v>
      </c>
      <c r="BK474" t="s">
        <v>100</v>
      </c>
      <c r="BL474" t="s">
        <v>8583</v>
      </c>
      <c r="BM474" t="s">
        <v>8584</v>
      </c>
      <c r="BN474" t="s">
        <v>74</v>
      </c>
      <c r="BO474" t="s">
        <v>726</v>
      </c>
      <c r="BP474" t="s">
        <v>74</v>
      </c>
      <c r="BQ474" t="s">
        <v>74</v>
      </c>
      <c r="BR474" t="s">
        <v>103</v>
      </c>
      <c r="BS474" t="s">
        <v>8585</v>
      </c>
      <c r="BT474" t="str">
        <f>HYPERLINK("https%3A%2F%2Fwww.webofscience.com%2Fwos%2Fwoscc%2Ffull-record%2FWOS:000291943800004","View Full Record in Web of Science")</f>
        <v>View Full Record in Web of Science</v>
      </c>
    </row>
    <row r="475" spans="1:72" x14ac:dyDescent="0.15">
      <c r="A475" t="s">
        <v>2363</v>
      </c>
      <c r="B475" t="s">
        <v>8586</v>
      </c>
      <c r="C475" t="s">
        <v>74</v>
      </c>
      <c r="D475" t="s">
        <v>74</v>
      </c>
      <c r="E475" t="s">
        <v>74</v>
      </c>
      <c r="F475" t="s">
        <v>8587</v>
      </c>
      <c r="G475" t="s">
        <v>74</v>
      </c>
      <c r="H475" t="s">
        <v>74</v>
      </c>
      <c r="I475" t="s">
        <v>8588</v>
      </c>
      <c r="J475" t="s">
        <v>8589</v>
      </c>
      <c r="K475" t="s">
        <v>8590</v>
      </c>
      <c r="L475" t="s">
        <v>74</v>
      </c>
      <c r="M475" t="s">
        <v>78</v>
      </c>
      <c r="N475" t="s">
        <v>2558</v>
      </c>
      <c r="O475" t="s">
        <v>74</v>
      </c>
      <c r="P475" t="s">
        <v>74</v>
      </c>
      <c r="Q475" t="s">
        <v>74</v>
      </c>
      <c r="R475" t="s">
        <v>74</v>
      </c>
      <c r="S475" t="s">
        <v>74</v>
      </c>
      <c r="T475" t="s">
        <v>74</v>
      </c>
      <c r="U475" t="s">
        <v>8591</v>
      </c>
      <c r="V475" t="s">
        <v>74</v>
      </c>
      <c r="W475" t="s">
        <v>74</v>
      </c>
      <c r="X475" t="s">
        <v>74</v>
      </c>
      <c r="Y475" t="s">
        <v>74</v>
      </c>
      <c r="Z475" t="s">
        <v>74</v>
      </c>
      <c r="AA475" t="s">
        <v>74</v>
      </c>
      <c r="AB475" t="s">
        <v>74</v>
      </c>
      <c r="AC475" t="s">
        <v>74</v>
      </c>
      <c r="AD475" t="s">
        <v>74</v>
      </c>
      <c r="AE475" t="s">
        <v>74</v>
      </c>
      <c r="AF475" t="s">
        <v>74</v>
      </c>
      <c r="AG475">
        <v>461</v>
      </c>
      <c r="AH475">
        <v>10</v>
      </c>
      <c r="AI475">
        <v>10</v>
      </c>
      <c r="AJ475">
        <v>0</v>
      </c>
      <c r="AK475">
        <v>0</v>
      </c>
      <c r="AL475" t="s">
        <v>8592</v>
      </c>
      <c r="AM475" t="s">
        <v>8593</v>
      </c>
      <c r="AN475" t="s">
        <v>8594</v>
      </c>
      <c r="AO475" t="s">
        <v>74</v>
      </c>
      <c r="AP475" t="s">
        <v>74</v>
      </c>
      <c r="AQ475" t="s">
        <v>8595</v>
      </c>
      <c r="AR475" t="s">
        <v>8596</v>
      </c>
      <c r="AS475" t="s">
        <v>74</v>
      </c>
      <c r="AT475" t="s">
        <v>74</v>
      </c>
      <c r="AU475">
        <v>2011</v>
      </c>
      <c r="AV475" t="s">
        <v>74</v>
      </c>
      <c r="AW475" t="s">
        <v>74</v>
      </c>
      <c r="AX475" t="s">
        <v>74</v>
      </c>
      <c r="AY475" t="s">
        <v>74</v>
      </c>
      <c r="AZ475" t="s">
        <v>74</v>
      </c>
      <c r="BA475" t="s">
        <v>74</v>
      </c>
      <c r="BB475">
        <v>1</v>
      </c>
      <c r="BC475">
        <v>266</v>
      </c>
      <c r="BD475" t="s">
        <v>74</v>
      </c>
      <c r="BE475" t="s">
        <v>8597</v>
      </c>
      <c r="BF475" t="str">
        <f>HYPERLINK("http://dx.doi.org/10.1057/9780230337909","http://dx.doi.org/10.1057/9780230337909")</f>
        <v>http://dx.doi.org/10.1057/9780230337909</v>
      </c>
      <c r="BG475" t="s">
        <v>74</v>
      </c>
      <c r="BH475" t="s">
        <v>74</v>
      </c>
      <c r="BI475">
        <v>266</v>
      </c>
      <c r="BJ475" t="s">
        <v>8598</v>
      </c>
      <c r="BK475" t="s">
        <v>3058</v>
      </c>
      <c r="BL475" t="s">
        <v>8599</v>
      </c>
      <c r="BM475" t="s">
        <v>8600</v>
      </c>
      <c r="BN475" t="s">
        <v>74</v>
      </c>
      <c r="BO475" t="s">
        <v>74</v>
      </c>
      <c r="BP475" t="s">
        <v>74</v>
      </c>
      <c r="BQ475" t="s">
        <v>74</v>
      </c>
      <c r="BR475" t="s">
        <v>103</v>
      </c>
      <c r="BS475" t="s">
        <v>8601</v>
      </c>
      <c r="BT475" t="str">
        <f>HYPERLINK("https%3A%2F%2Fwww.webofscience.com%2Fwos%2Fwoscc%2Ffull-record%2FWOS:000315122000010","View Full Record in Web of Science")</f>
        <v>View Full Record in Web of Science</v>
      </c>
    </row>
    <row r="476" spans="1:72" x14ac:dyDescent="0.15">
      <c r="A476" t="s">
        <v>2363</v>
      </c>
      <c r="B476" t="s">
        <v>8586</v>
      </c>
      <c r="C476" t="s">
        <v>8586</v>
      </c>
      <c r="D476" t="s">
        <v>74</v>
      </c>
      <c r="E476" t="s">
        <v>74</v>
      </c>
      <c r="F476" t="s">
        <v>8602</v>
      </c>
      <c r="G476" t="s">
        <v>8586</v>
      </c>
      <c r="H476" t="s">
        <v>74</v>
      </c>
      <c r="I476" t="s">
        <v>8603</v>
      </c>
      <c r="J476" t="s">
        <v>8589</v>
      </c>
      <c r="K476" t="s">
        <v>8590</v>
      </c>
      <c r="L476" t="s">
        <v>74</v>
      </c>
      <c r="M476" t="s">
        <v>78</v>
      </c>
      <c r="N476" t="s">
        <v>8604</v>
      </c>
      <c r="O476" t="s">
        <v>74</v>
      </c>
      <c r="P476" t="s">
        <v>74</v>
      </c>
      <c r="Q476" t="s">
        <v>74</v>
      </c>
      <c r="R476" t="s">
        <v>74</v>
      </c>
      <c r="S476" t="s">
        <v>74</v>
      </c>
      <c r="T476" t="s">
        <v>74</v>
      </c>
      <c r="U476" t="s">
        <v>74</v>
      </c>
      <c r="V476" t="s">
        <v>74</v>
      </c>
      <c r="W476" t="s">
        <v>74</v>
      </c>
      <c r="X476" t="s">
        <v>74</v>
      </c>
      <c r="Y476" t="s">
        <v>74</v>
      </c>
      <c r="Z476" t="s">
        <v>74</v>
      </c>
      <c r="AA476" t="s">
        <v>74</v>
      </c>
      <c r="AB476" t="s">
        <v>74</v>
      </c>
      <c r="AC476" t="s">
        <v>74</v>
      </c>
      <c r="AD476" t="s">
        <v>74</v>
      </c>
      <c r="AE476" t="s">
        <v>74</v>
      </c>
      <c r="AF476" t="s">
        <v>74</v>
      </c>
      <c r="AG476">
        <v>0</v>
      </c>
      <c r="AH476">
        <v>1</v>
      </c>
      <c r="AI476">
        <v>1</v>
      </c>
      <c r="AJ476">
        <v>0</v>
      </c>
      <c r="AK476">
        <v>0</v>
      </c>
      <c r="AL476" t="s">
        <v>8592</v>
      </c>
      <c r="AM476" t="s">
        <v>8593</v>
      </c>
      <c r="AN476" t="s">
        <v>8594</v>
      </c>
      <c r="AO476" t="s">
        <v>74</v>
      </c>
      <c r="AP476" t="s">
        <v>74</v>
      </c>
      <c r="AQ476" t="s">
        <v>8595</v>
      </c>
      <c r="AR476" t="s">
        <v>8596</v>
      </c>
      <c r="AS476" t="s">
        <v>74</v>
      </c>
      <c r="AT476" t="s">
        <v>74</v>
      </c>
      <c r="AU476">
        <v>2011</v>
      </c>
      <c r="AV476" t="s">
        <v>74</v>
      </c>
      <c r="AW476" t="s">
        <v>74</v>
      </c>
      <c r="AX476" t="s">
        <v>74</v>
      </c>
      <c r="AY476" t="s">
        <v>74</v>
      </c>
      <c r="AZ476" t="s">
        <v>74</v>
      </c>
      <c r="BA476" t="s">
        <v>74</v>
      </c>
      <c r="BB476">
        <v>1</v>
      </c>
      <c r="BC476" t="s">
        <v>1316</v>
      </c>
      <c r="BD476" t="s">
        <v>74</v>
      </c>
      <c r="BE476" t="s">
        <v>74</v>
      </c>
      <c r="BF476" t="s">
        <v>74</v>
      </c>
      <c r="BG476" t="s">
        <v>8597</v>
      </c>
      <c r="BH476" t="s">
        <v>74</v>
      </c>
      <c r="BI476">
        <v>39</v>
      </c>
      <c r="BJ476" t="s">
        <v>8598</v>
      </c>
      <c r="BK476" t="s">
        <v>3058</v>
      </c>
      <c r="BL476" t="s">
        <v>8599</v>
      </c>
      <c r="BM476" t="s">
        <v>8600</v>
      </c>
      <c r="BN476" t="s">
        <v>74</v>
      </c>
      <c r="BO476" t="s">
        <v>74</v>
      </c>
      <c r="BP476" t="s">
        <v>74</v>
      </c>
      <c r="BQ476" t="s">
        <v>74</v>
      </c>
      <c r="BR476" t="s">
        <v>103</v>
      </c>
      <c r="BS476" t="s">
        <v>8605</v>
      </c>
      <c r="BT476" t="str">
        <f>HYPERLINK("https%3A%2F%2Fwww.webofscience.com%2Fwos%2Fwoscc%2Ffull-record%2FWOS:000315122000001","View Full Record in Web of Science")</f>
        <v>View Full Record in Web of Science</v>
      </c>
    </row>
    <row r="477" spans="1:72" x14ac:dyDescent="0.15">
      <c r="A477" t="s">
        <v>2363</v>
      </c>
      <c r="B477" t="s">
        <v>8586</v>
      </c>
      <c r="C477" t="s">
        <v>8586</v>
      </c>
      <c r="D477" t="s">
        <v>74</v>
      </c>
      <c r="E477" t="s">
        <v>74</v>
      </c>
      <c r="F477" t="s">
        <v>8602</v>
      </c>
      <c r="G477" t="s">
        <v>8586</v>
      </c>
      <c r="H477" t="s">
        <v>74</v>
      </c>
      <c r="I477" t="s">
        <v>8606</v>
      </c>
      <c r="J477" t="s">
        <v>8589</v>
      </c>
      <c r="K477" t="s">
        <v>8590</v>
      </c>
      <c r="L477" t="s">
        <v>74</v>
      </c>
      <c r="M477" t="s">
        <v>78</v>
      </c>
      <c r="N477" t="s">
        <v>2370</v>
      </c>
      <c r="O477" t="s">
        <v>74</v>
      </c>
      <c r="P477" t="s">
        <v>74</v>
      </c>
      <c r="Q477" t="s">
        <v>74</v>
      </c>
      <c r="R477" t="s">
        <v>74</v>
      </c>
      <c r="S477" t="s">
        <v>74</v>
      </c>
      <c r="T477" t="s">
        <v>74</v>
      </c>
      <c r="U477" t="s">
        <v>74</v>
      </c>
      <c r="V477" t="s">
        <v>74</v>
      </c>
      <c r="W477" t="s">
        <v>74</v>
      </c>
      <c r="X477" t="s">
        <v>74</v>
      </c>
      <c r="Y477" t="s">
        <v>74</v>
      </c>
      <c r="Z477" t="s">
        <v>74</v>
      </c>
      <c r="AA477" t="s">
        <v>74</v>
      </c>
      <c r="AB477" t="s">
        <v>74</v>
      </c>
      <c r="AC477" t="s">
        <v>74</v>
      </c>
      <c r="AD477" t="s">
        <v>74</v>
      </c>
      <c r="AE477" t="s">
        <v>74</v>
      </c>
      <c r="AF477" t="s">
        <v>74</v>
      </c>
      <c r="AG477">
        <v>0</v>
      </c>
      <c r="AH477">
        <v>0</v>
      </c>
      <c r="AI477">
        <v>0</v>
      </c>
      <c r="AJ477">
        <v>0</v>
      </c>
      <c r="AK477">
        <v>0</v>
      </c>
      <c r="AL477" t="s">
        <v>8592</v>
      </c>
      <c r="AM477" t="s">
        <v>8593</v>
      </c>
      <c r="AN477" t="s">
        <v>8594</v>
      </c>
      <c r="AO477" t="s">
        <v>74</v>
      </c>
      <c r="AP477" t="s">
        <v>74</v>
      </c>
      <c r="AQ477" t="s">
        <v>8595</v>
      </c>
      <c r="AR477" t="s">
        <v>8596</v>
      </c>
      <c r="AS477" t="s">
        <v>74</v>
      </c>
      <c r="AT477" t="s">
        <v>74</v>
      </c>
      <c r="AU477">
        <v>2011</v>
      </c>
      <c r="AV477" t="s">
        <v>74</v>
      </c>
      <c r="AW477" t="s">
        <v>74</v>
      </c>
      <c r="AX477" t="s">
        <v>74</v>
      </c>
      <c r="AY477" t="s">
        <v>74</v>
      </c>
      <c r="AZ477" t="s">
        <v>74</v>
      </c>
      <c r="BA477" t="s">
        <v>74</v>
      </c>
      <c r="BB477">
        <v>11</v>
      </c>
      <c r="BC477" t="s">
        <v>1316</v>
      </c>
      <c r="BD477" t="s">
        <v>74</v>
      </c>
      <c r="BE477" t="s">
        <v>74</v>
      </c>
      <c r="BF477" t="s">
        <v>74</v>
      </c>
      <c r="BG477" t="s">
        <v>8597</v>
      </c>
      <c r="BH477" t="s">
        <v>74</v>
      </c>
      <c r="BI477">
        <v>28</v>
      </c>
      <c r="BJ477" t="s">
        <v>8598</v>
      </c>
      <c r="BK477" t="s">
        <v>3058</v>
      </c>
      <c r="BL477" t="s">
        <v>8599</v>
      </c>
      <c r="BM477" t="s">
        <v>8600</v>
      </c>
      <c r="BN477" t="s">
        <v>74</v>
      </c>
      <c r="BO477" t="s">
        <v>74</v>
      </c>
      <c r="BP477" t="s">
        <v>74</v>
      </c>
      <c r="BQ477" t="s">
        <v>74</v>
      </c>
      <c r="BR477" t="s">
        <v>103</v>
      </c>
      <c r="BS477" t="s">
        <v>8607</v>
      </c>
      <c r="BT477" t="str">
        <f>HYPERLINK("https%3A%2F%2Fwww.webofscience.com%2Fwos%2Fwoscc%2Ffull-record%2FWOS:000315122000002","View Full Record in Web of Science")</f>
        <v>View Full Record in Web of Science</v>
      </c>
    </row>
    <row r="478" spans="1:72" x14ac:dyDescent="0.15">
      <c r="A478" t="s">
        <v>2363</v>
      </c>
      <c r="B478" t="s">
        <v>8586</v>
      </c>
      <c r="C478" t="s">
        <v>8586</v>
      </c>
      <c r="D478" t="s">
        <v>74</v>
      </c>
      <c r="E478" t="s">
        <v>74</v>
      </c>
      <c r="F478" t="s">
        <v>8602</v>
      </c>
      <c r="G478" t="s">
        <v>8586</v>
      </c>
      <c r="H478" t="s">
        <v>74</v>
      </c>
      <c r="I478" t="s">
        <v>8608</v>
      </c>
      <c r="J478" t="s">
        <v>8589</v>
      </c>
      <c r="K478" t="s">
        <v>8590</v>
      </c>
      <c r="L478" t="s">
        <v>74</v>
      </c>
      <c r="M478" t="s">
        <v>78</v>
      </c>
      <c r="N478" t="s">
        <v>2370</v>
      </c>
      <c r="O478" t="s">
        <v>74</v>
      </c>
      <c r="P478" t="s">
        <v>74</v>
      </c>
      <c r="Q478" t="s">
        <v>74</v>
      </c>
      <c r="R478" t="s">
        <v>74</v>
      </c>
      <c r="S478" t="s">
        <v>74</v>
      </c>
      <c r="T478" t="s">
        <v>74</v>
      </c>
      <c r="U478" t="s">
        <v>74</v>
      </c>
      <c r="V478" t="s">
        <v>74</v>
      </c>
      <c r="W478" t="s">
        <v>74</v>
      </c>
      <c r="X478" t="s">
        <v>74</v>
      </c>
      <c r="Y478" t="s">
        <v>74</v>
      </c>
      <c r="Z478" t="s">
        <v>74</v>
      </c>
      <c r="AA478" t="s">
        <v>74</v>
      </c>
      <c r="AB478" t="s">
        <v>74</v>
      </c>
      <c r="AC478" t="s">
        <v>74</v>
      </c>
      <c r="AD478" t="s">
        <v>74</v>
      </c>
      <c r="AE478" t="s">
        <v>74</v>
      </c>
      <c r="AF478" t="s">
        <v>74</v>
      </c>
      <c r="AG478">
        <v>0</v>
      </c>
      <c r="AH478">
        <v>0</v>
      </c>
      <c r="AI478">
        <v>0</v>
      </c>
      <c r="AJ478">
        <v>0</v>
      </c>
      <c r="AK478">
        <v>0</v>
      </c>
      <c r="AL478" t="s">
        <v>8592</v>
      </c>
      <c r="AM478" t="s">
        <v>8593</v>
      </c>
      <c r="AN478" t="s">
        <v>8594</v>
      </c>
      <c r="AO478" t="s">
        <v>74</v>
      </c>
      <c r="AP478" t="s">
        <v>74</v>
      </c>
      <c r="AQ478" t="s">
        <v>8595</v>
      </c>
      <c r="AR478" t="s">
        <v>8596</v>
      </c>
      <c r="AS478" t="s">
        <v>74</v>
      </c>
      <c r="AT478" t="s">
        <v>74</v>
      </c>
      <c r="AU478">
        <v>2011</v>
      </c>
      <c r="AV478" t="s">
        <v>74</v>
      </c>
      <c r="AW478" t="s">
        <v>74</v>
      </c>
      <c r="AX478" t="s">
        <v>74</v>
      </c>
      <c r="AY478" t="s">
        <v>74</v>
      </c>
      <c r="AZ478" t="s">
        <v>74</v>
      </c>
      <c r="BA478" t="s">
        <v>74</v>
      </c>
      <c r="BB478">
        <v>31</v>
      </c>
      <c r="BC478" t="s">
        <v>1316</v>
      </c>
      <c r="BD478" t="s">
        <v>74</v>
      </c>
      <c r="BE478" t="s">
        <v>74</v>
      </c>
      <c r="BF478" t="s">
        <v>74</v>
      </c>
      <c r="BG478" t="s">
        <v>8597</v>
      </c>
      <c r="BH478" t="s">
        <v>74</v>
      </c>
      <c r="BI478">
        <v>31</v>
      </c>
      <c r="BJ478" t="s">
        <v>8598</v>
      </c>
      <c r="BK478" t="s">
        <v>3058</v>
      </c>
      <c r="BL478" t="s">
        <v>8599</v>
      </c>
      <c r="BM478" t="s">
        <v>8600</v>
      </c>
      <c r="BN478" t="s">
        <v>74</v>
      </c>
      <c r="BO478" t="s">
        <v>74</v>
      </c>
      <c r="BP478" t="s">
        <v>74</v>
      </c>
      <c r="BQ478" t="s">
        <v>74</v>
      </c>
      <c r="BR478" t="s">
        <v>103</v>
      </c>
      <c r="BS478" t="s">
        <v>8609</v>
      </c>
      <c r="BT478" t="str">
        <f>HYPERLINK("https%3A%2F%2Fwww.webofscience.com%2Fwos%2Fwoscc%2Ffull-record%2FWOS:000315122000003","View Full Record in Web of Science")</f>
        <v>View Full Record in Web of Science</v>
      </c>
    </row>
    <row r="479" spans="1:72" x14ac:dyDescent="0.15">
      <c r="A479" t="s">
        <v>2363</v>
      </c>
      <c r="B479" t="s">
        <v>8586</v>
      </c>
      <c r="C479" t="s">
        <v>8586</v>
      </c>
      <c r="D479" t="s">
        <v>74</v>
      </c>
      <c r="E479" t="s">
        <v>74</v>
      </c>
      <c r="F479" t="s">
        <v>8602</v>
      </c>
      <c r="G479" t="s">
        <v>8586</v>
      </c>
      <c r="H479" t="s">
        <v>74</v>
      </c>
      <c r="I479" t="s">
        <v>8610</v>
      </c>
      <c r="J479" t="s">
        <v>8589</v>
      </c>
      <c r="K479" t="s">
        <v>8590</v>
      </c>
      <c r="L479" t="s">
        <v>74</v>
      </c>
      <c r="M479" t="s">
        <v>78</v>
      </c>
      <c r="N479" t="s">
        <v>2370</v>
      </c>
      <c r="O479" t="s">
        <v>74</v>
      </c>
      <c r="P479" t="s">
        <v>74</v>
      </c>
      <c r="Q479" t="s">
        <v>74</v>
      </c>
      <c r="R479" t="s">
        <v>74</v>
      </c>
      <c r="S479" t="s">
        <v>74</v>
      </c>
      <c r="T479" t="s">
        <v>74</v>
      </c>
      <c r="U479" t="s">
        <v>74</v>
      </c>
      <c r="V479" t="s">
        <v>74</v>
      </c>
      <c r="W479" t="s">
        <v>74</v>
      </c>
      <c r="X479" t="s">
        <v>74</v>
      </c>
      <c r="Y479" t="s">
        <v>74</v>
      </c>
      <c r="Z479" t="s">
        <v>74</v>
      </c>
      <c r="AA479" t="s">
        <v>74</v>
      </c>
      <c r="AB479" t="s">
        <v>74</v>
      </c>
      <c r="AC479" t="s">
        <v>74</v>
      </c>
      <c r="AD479" t="s">
        <v>74</v>
      </c>
      <c r="AE479" t="s">
        <v>74</v>
      </c>
      <c r="AF479" t="s">
        <v>74</v>
      </c>
      <c r="AG479">
        <v>0</v>
      </c>
      <c r="AH479">
        <v>0</v>
      </c>
      <c r="AI479">
        <v>0</v>
      </c>
      <c r="AJ479">
        <v>0</v>
      </c>
      <c r="AK479">
        <v>0</v>
      </c>
      <c r="AL479" t="s">
        <v>8592</v>
      </c>
      <c r="AM479" t="s">
        <v>8593</v>
      </c>
      <c r="AN479" t="s">
        <v>8594</v>
      </c>
      <c r="AO479" t="s">
        <v>74</v>
      </c>
      <c r="AP479" t="s">
        <v>74</v>
      </c>
      <c r="AQ479" t="s">
        <v>8595</v>
      </c>
      <c r="AR479" t="s">
        <v>8596</v>
      </c>
      <c r="AS479" t="s">
        <v>74</v>
      </c>
      <c r="AT479" t="s">
        <v>74</v>
      </c>
      <c r="AU479">
        <v>2011</v>
      </c>
      <c r="AV479" t="s">
        <v>74</v>
      </c>
      <c r="AW479" t="s">
        <v>74</v>
      </c>
      <c r="AX479" t="s">
        <v>74</v>
      </c>
      <c r="AY479" t="s">
        <v>74</v>
      </c>
      <c r="AZ479" t="s">
        <v>74</v>
      </c>
      <c r="BA479" t="s">
        <v>74</v>
      </c>
      <c r="BB479">
        <v>53</v>
      </c>
      <c r="BC479" t="s">
        <v>1316</v>
      </c>
      <c r="BD479" t="s">
        <v>74</v>
      </c>
      <c r="BE479" t="s">
        <v>74</v>
      </c>
      <c r="BF479" t="s">
        <v>74</v>
      </c>
      <c r="BG479" t="s">
        <v>8597</v>
      </c>
      <c r="BH479" t="s">
        <v>74</v>
      </c>
      <c r="BI479">
        <v>37</v>
      </c>
      <c r="BJ479" t="s">
        <v>8598</v>
      </c>
      <c r="BK479" t="s">
        <v>3058</v>
      </c>
      <c r="BL479" t="s">
        <v>8599</v>
      </c>
      <c r="BM479" t="s">
        <v>8600</v>
      </c>
      <c r="BN479" t="s">
        <v>74</v>
      </c>
      <c r="BO479" t="s">
        <v>74</v>
      </c>
      <c r="BP479" t="s">
        <v>74</v>
      </c>
      <c r="BQ479" t="s">
        <v>74</v>
      </c>
      <c r="BR479" t="s">
        <v>103</v>
      </c>
      <c r="BS479" t="s">
        <v>8611</v>
      </c>
      <c r="BT479" t="str">
        <f>HYPERLINK("https%3A%2F%2Fwww.webofscience.com%2Fwos%2Fwoscc%2Ffull-record%2FWOS:000315122000004","View Full Record in Web of Science")</f>
        <v>View Full Record in Web of Science</v>
      </c>
    </row>
    <row r="480" spans="1:72" x14ac:dyDescent="0.15">
      <c r="A480" t="s">
        <v>2363</v>
      </c>
      <c r="B480" t="s">
        <v>8586</v>
      </c>
      <c r="C480" t="s">
        <v>8586</v>
      </c>
      <c r="D480" t="s">
        <v>74</v>
      </c>
      <c r="E480" t="s">
        <v>74</v>
      </c>
      <c r="F480" t="s">
        <v>8602</v>
      </c>
      <c r="G480" t="s">
        <v>8586</v>
      </c>
      <c r="H480" t="s">
        <v>74</v>
      </c>
      <c r="I480" t="s">
        <v>8612</v>
      </c>
      <c r="J480" t="s">
        <v>8589</v>
      </c>
      <c r="K480" t="s">
        <v>8590</v>
      </c>
      <c r="L480" t="s">
        <v>74</v>
      </c>
      <c r="M480" t="s">
        <v>78</v>
      </c>
      <c r="N480" t="s">
        <v>2370</v>
      </c>
      <c r="O480" t="s">
        <v>74</v>
      </c>
      <c r="P480" t="s">
        <v>74</v>
      </c>
      <c r="Q480" t="s">
        <v>74</v>
      </c>
      <c r="R480" t="s">
        <v>74</v>
      </c>
      <c r="S480" t="s">
        <v>74</v>
      </c>
      <c r="T480" t="s">
        <v>74</v>
      </c>
      <c r="U480" t="s">
        <v>74</v>
      </c>
      <c r="V480" t="s">
        <v>74</v>
      </c>
      <c r="W480" t="s">
        <v>74</v>
      </c>
      <c r="X480" t="s">
        <v>74</v>
      </c>
      <c r="Y480" t="s">
        <v>74</v>
      </c>
      <c r="Z480" t="s">
        <v>74</v>
      </c>
      <c r="AA480" t="s">
        <v>74</v>
      </c>
      <c r="AB480" t="s">
        <v>74</v>
      </c>
      <c r="AC480" t="s">
        <v>74</v>
      </c>
      <c r="AD480" t="s">
        <v>74</v>
      </c>
      <c r="AE480" t="s">
        <v>74</v>
      </c>
      <c r="AF480" t="s">
        <v>74</v>
      </c>
      <c r="AG480">
        <v>0</v>
      </c>
      <c r="AH480">
        <v>0</v>
      </c>
      <c r="AI480">
        <v>0</v>
      </c>
      <c r="AJ480">
        <v>0</v>
      </c>
      <c r="AK480">
        <v>0</v>
      </c>
      <c r="AL480" t="s">
        <v>8592</v>
      </c>
      <c r="AM480" t="s">
        <v>8593</v>
      </c>
      <c r="AN480" t="s">
        <v>8594</v>
      </c>
      <c r="AO480" t="s">
        <v>74</v>
      </c>
      <c r="AP480" t="s">
        <v>74</v>
      </c>
      <c r="AQ480" t="s">
        <v>8595</v>
      </c>
      <c r="AR480" t="s">
        <v>8596</v>
      </c>
      <c r="AS480" t="s">
        <v>74</v>
      </c>
      <c r="AT480" t="s">
        <v>74</v>
      </c>
      <c r="AU480">
        <v>2011</v>
      </c>
      <c r="AV480" t="s">
        <v>74</v>
      </c>
      <c r="AW480" t="s">
        <v>74</v>
      </c>
      <c r="AX480" t="s">
        <v>74</v>
      </c>
      <c r="AY480" t="s">
        <v>74</v>
      </c>
      <c r="AZ480" t="s">
        <v>74</v>
      </c>
      <c r="BA480" t="s">
        <v>74</v>
      </c>
      <c r="BB480">
        <v>77</v>
      </c>
      <c r="BC480" t="s">
        <v>1316</v>
      </c>
      <c r="BD480" t="s">
        <v>74</v>
      </c>
      <c r="BE480" t="s">
        <v>74</v>
      </c>
      <c r="BF480" t="s">
        <v>74</v>
      </c>
      <c r="BG480" t="s">
        <v>8597</v>
      </c>
      <c r="BH480" t="s">
        <v>74</v>
      </c>
      <c r="BI480">
        <v>29</v>
      </c>
      <c r="BJ480" t="s">
        <v>8598</v>
      </c>
      <c r="BK480" t="s">
        <v>3058</v>
      </c>
      <c r="BL480" t="s">
        <v>8599</v>
      </c>
      <c r="BM480" t="s">
        <v>8600</v>
      </c>
      <c r="BN480" t="s">
        <v>74</v>
      </c>
      <c r="BO480" t="s">
        <v>74</v>
      </c>
      <c r="BP480" t="s">
        <v>74</v>
      </c>
      <c r="BQ480" t="s">
        <v>74</v>
      </c>
      <c r="BR480" t="s">
        <v>103</v>
      </c>
      <c r="BS480" t="s">
        <v>8613</v>
      </c>
      <c r="BT480" t="str">
        <f>HYPERLINK("https%3A%2F%2Fwww.webofscience.com%2Fwos%2Fwoscc%2Ffull-record%2FWOS:000315122000005","View Full Record in Web of Science")</f>
        <v>View Full Record in Web of Science</v>
      </c>
    </row>
    <row r="481" spans="1:72" x14ac:dyDescent="0.15">
      <c r="A481" t="s">
        <v>2363</v>
      </c>
      <c r="B481" t="s">
        <v>8586</v>
      </c>
      <c r="C481" t="s">
        <v>8586</v>
      </c>
      <c r="D481" t="s">
        <v>74</v>
      </c>
      <c r="E481" t="s">
        <v>74</v>
      </c>
      <c r="F481" t="s">
        <v>8602</v>
      </c>
      <c r="G481" t="s">
        <v>8586</v>
      </c>
      <c r="H481" t="s">
        <v>74</v>
      </c>
      <c r="I481" t="s">
        <v>8614</v>
      </c>
      <c r="J481" t="s">
        <v>8589</v>
      </c>
      <c r="K481" t="s">
        <v>8590</v>
      </c>
      <c r="L481" t="s">
        <v>74</v>
      </c>
      <c r="M481" t="s">
        <v>78</v>
      </c>
      <c r="N481" t="s">
        <v>2370</v>
      </c>
      <c r="O481" t="s">
        <v>74</v>
      </c>
      <c r="P481" t="s">
        <v>74</v>
      </c>
      <c r="Q481" t="s">
        <v>74</v>
      </c>
      <c r="R481" t="s">
        <v>74</v>
      </c>
      <c r="S481" t="s">
        <v>74</v>
      </c>
      <c r="T481" t="s">
        <v>74</v>
      </c>
      <c r="U481" t="s">
        <v>74</v>
      </c>
      <c r="V481" t="s">
        <v>74</v>
      </c>
      <c r="W481" t="s">
        <v>74</v>
      </c>
      <c r="X481" t="s">
        <v>74</v>
      </c>
      <c r="Y481" t="s">
        <v>74</v>
      </c>
      <c r="Z481" t="s">
        <v>74</v>
      </c>
      <c r="AA481" t="s">
        <v>74</v>
      </c>
      <c r="AB481" t="s">
        <v>74</v>
      </c>
      <c r="AC481" t="s">
        <v>74</v>
      </c>
      <c r="AD481" t="s">
        <v>74</v>
      </c>
      <c r="AE481" t="s">
        <v>74</v>
      </c>
      <c r="AF481" t="s">
        <v>74</v>
      </c>
      <c r="AG481">
        <v>0</v>
      </c>
      <c r="AH481">
        <v>0</v>
      </c>
      <c r="AI481">
        <v>0</v>
      </c>
      <c r="AJ481">
        <v>0</v>
      </c>
      <c r="AK481">
        <v>0</v>
      </c>
      <c r="AL481" t="s">
        <v>8592</v>
      </c>
      <c r="AM481" t="s">
        <v>8593</v>
      </c>
      <c r="AN481" t="s">
        <v>8594</v>
      </c>
      <c r="AO481" t="s">
        <v>74</v>
      </c>
      <c r="AP481" t="s">
        <v>74</v>
      </c>
      <c r="AQ481" t="s">
        <v>8595</v>
      </c>
      <c r="AR481" t="s">
        <v>8596</v>
      </c>
      <c r="AS481" t="s">
        <v>74</v>
      </c>
      <c r="AT481" t="s">
        <v>74</v>
      </c>
      <c r="AU481">
        <v>2011</v>
      </c>
      <c r="AV481" t="s">
        <v>74</v>
      </c>
      <c r="AW481" t="s">
        <v>74</v>
      </c>
      <c r="AX481" t="s">
        <v>74</v>
      </c>
      <c r="AY481" t="s">
        <v>74</v>
      </c>
      <c r="AZ481" t="s">
        <v>74</v>
      </c>
      <c r="BA481" t="s">
        <v>74</v>
      </c>
      <c r="BB481">
        <v>97</v>
      </c>
      <c r="BC481" t="s">
        <v>1316</v>
      </c>
      <c r="BD481" t="s">
        <v>74</v>
      </c>
      <c r="BE481" t="s">
        <v>74</v>
      </c>
      <c r="BF481" t="s">
        <v>74</v>
      </c>
      <c r="BG481" t="s">
        <v>8597</v>
      </c>
      <c r="BH481" t="s">
        <v>74</v>
      </c>
      <c r="BI481">
        <v>30</v>
      </c>
      <c r="BJ481" t="s">
        <v>8598</v>
      </c>
      <c r="BK481" t="s">
        <v>3058</v>
      </c>
      <c r="BL481" t="s">
        <v>8599</v>
      </c>
      <c r="BM481" t="s">
        <v>8600</v>
      </c>
      <c r="BN481" t="s">
        <v>74</v>
      </c>
      <c r="BO481" t="s">
        <v>74</v>
      </c>
      <c r="BP481" t="s">
        <v>74</v>
      </c>
      <c r="BQ481" t="s">
        <v>74</v>
      </c>
      <c r="BR481" t="s">
        <v>103</v>
      </c>
      <c r="BS481" t="s">
        <v>8615</v>
      </c>
      <c r="BT481" t="str">
        <f>HYPERLINK("https%3A%2F%2Fwww.webofscience.com%2Fwos%2Fwoscc%2Ffull-record%2FWOS:000315122000006","View Full Record in Web of Science")</f>
        <v>View Full Record in Web of Science</v>
      </c>
    </row>
    <row r="482" spans="1:72" x14ac:dyDescent="0.15">
      <c r="A482" t="s">
        <v>2363</v>
      </c>
      <c r="B482" t="s">
        <v>8586</v>
      </c>
      <c r="C482" t="s">
        <v>8586</v>
      </c>
      <c r="D482" t="s">
        <v>74</v>
      </c>
      <c r="E482" t="s">
        <v>74</v>
      </c>
      <c r="F482" t="s">
        <v>8602</v>
      </c>
      <c r="G482" t="s">
        <v>8586</v>
      </c>
      <c r="H482" t="s">
        <v>74</v>
      </c>
      <c r="I482" t="s">
        <v>8616</v>
      </c>
      <c r="J482" t="s">
        <v>8589</v>
      </c>
      <c r="K482" t="s">
        <v>8590</v>
      </c>
      <c r="L482" t="s">
        <v>74</v>
      </c>
      <c r="M482" t="s">
        <v>78</v>
      </c>
      <c r="N482" t="s">
        <v>2370</v>
      </c>
      <c r="O482" t="s">
        <v>74</v>
      </c>
      <c r="P482" t="s">
        <v>74</v>
      </c>
      <c r="Q482" t="s">
        <v>74</v>
      </c>
      <c r="R482" t="s">
        <v>74</v>
      </c>
      <c r="S482" t="s">
        <v>74</v>
      </c>
      <c r="T482" t="s">
        <v>74</v>
      </c>
      <c r="U482" t="s">
        <v>74</v>
      </c>
      <c r="V482" t="s">
        <v>74</v>
      </c>
      <c r="W482" t="s">
        <v>74</v>
      </c>
      <c r="X482" t="s">
        <v>74</v>
      </c>
      <c r="Y482" t="s">
        <v>74</v>
      </c>
      <c r="Z482" t="s">
        <v>74</v>
      </c>
      <c r="AA482" t="s">
        <v>74</v>
      </c>
      <c r="AB482" t="s">
        <v>74</v>
      </c>
      <c r="AC482" t="s">
        <v>74</v>
      </c>
      <c r="AD482" t="s">
        <v>74</v>
      </c>
      <c r="AE482" t="s">
        <v>74</v>
      </c>
      <c r="AF482" t="s">
        <v>74</v>
      </c>
      <c r="AG482">
        <v>0</v>
      </c>
      <c r="AH482">
        <v>0</v>
      </c>
      <c r="AI482">
        <v>0</v>
      </c>
      <c r="AJ482">
        <v>0</v>
      </c>
      <c r="AK482">
        <v>0</v>
      </c>
      <c r="AL482" t="s">
        <v>8592</v>
      </c>
      <c r="AM482" t="s">
        <v>8593</v>
      </c>
      <c r="AN482" t="s">
        <v>8594</v>
      </c>
      <c r="AO482" t="s">
        <v>74</v>
      </c>
      <c r="AP482" t="s">
        <v>74</v>
      </c>
      <c r="AQ482" t="s">
        <v>8595</v>
      </c>
      <c r="AR482" t="s">
        <v>8596</v>
      </c>
      <c r="AS482" t="s">
        <v>74</v>
      </c>
      <c r="AT482" t="s">
        <v>74</v>
      </c>
      <c r="AU482">
        <v>2011</v>
      </c>
      <c r="AV482" t="s">
        <v>74</v>
      </c>
      <c r="AW482" t="s">
        <v>74</v>
      </c>
      <c r="AX482" t="s">
        <v>74</v>
      </c>
      <c r="AY482" t="s">
        <v>74</v>
      </c>
      <c r="AZ482" t="s">
        <v>74</v>
      </c>
      <c r="BA482" t="s">
        <v>74</v>
      </c>
      <c r="BB482">
        <v>117</v>
      </c>
      <c r="BC482" t="s">
        <v>1316</v>
      </c>
      <c r="BD482" t="s">
        <v>74</v>
      </c>
      <c r="BE482" t="s">
        <v>74</v>
      </c>
      <c r="BF482" t="s">
        <v>74</v>
      </c>
      <c r="BG482" t="s">
        <v>8597</v>
      </c>
      <c r="BH482" t="s">
        <v>74</v>
      </c>
      <c r="BI482">
        <v>34</v>
      </c>
      <c r="BJ482" t="s">
        <v>8598</v>
      </c>
      <c r="BK482" t="s">
        <v>3058</v>
      </c>
      <c r="BL482" t="s">
        <v>8599</v>
      </c>
      <c r="BM482" t="s">
        <v>8600</v>
      </c>
      <c r="BN482" t="s">
        <v>74</v>
      </c>
      <c r="BO482" t="s">
        <v>74</v>
      </c>
      <c r="BP482" t="s">
        <v>74</v>
      </c>
      <c r="BQ482" t="s">
        <v>74</v>
      </c>
      <c r="BR482" t="s">
        <v>103</v>
      </c>
      <c r="BS482" t="s">
        <v>8617</v>
      </c>
      <c r="BT482" t="str">
        <f>HYPERLINK("https%3A%2F%2Fwww.webofscience.com%2Fwos%2Fwoscc%2Ffull-record%2FWOS:000315122000007","View Full Record in Web of Science")</f>
        <v>View Full Record in Web of Science</v>
      </c>
    </row>
    <row r="483" spans="1:72" x14ac:dyDescent="0.15">
      <c r="A483" t="s">
        <v>2363</v>
      </c>
      <c r="B483" t="s">
        <v>8586</v>
      </c>
      <c r="C483" t="s">
        <v>8586</v>
      </c>
      <c r="D483" t="s">
        <v>74</v>
      </c>
      <c r="E483" t="s">
        <v>74</v>
      </c>
      <c r="F483" t="s">
        <v>8602</v>
      </c>
      <c r="G483" t="s">
        <v>8586</v>
      </c>
      <c r="H483" t="s">
        <v>74</v>
      </c>
      <c r="I483" t="s">
        <v>8618</v>
      </c>
      <c r="J483" t="s">
        <v>8589</v>
      </c>
      <c r="K483" t="s">
        <v>8590</v>
      </c>
      <c r="L483" t="s">
        <v>74</v>
      </c>
      <c r="M483" t="s">
        <v>78</v>
      </c>
      <c r="N483" t="s">
        <v>2370</v>
      </c>
      <c r="O483" t="s">
        <v>74</v>
      </c>
      <c r="P483" t="s">
        <v>74</v>
      </c>
      <c r="Q483" t="s">
        <v>74</v>
      </c>
      <c r="R483" t="s">
        <v>74</v>
      </c>
      <c r="S483" t="s">
        <v>74</v>
      </c>
      <c r="T483" t="s">
        <v>74</v>
      </c>
      <c r="U483" t="s">
        <v>74</v>
      </c>
      <c r="V483" t="s">
        <v>74</v>
      </c>
      <c r="W483" t="s">
        <v>74</v>
      </c>
      <c r="X483" t="s">
        <v>74</v>
      </c>
      <c r="Y483" t="s">
        <v>74</v>
      </c>
      <c r="Z483" t="s">
        <v>74</v>
      </c>
      <c r="AA483" t="s">
        <v>74</v>
      </c>
      <c r="AB483" t="s">
        <v>74</v>
      </c>
      <c r="AC483" t="s">
        <v>74</v>
      </c>
      <c r="AD483" t="s">
        <v>74</v>
      </c>
      <c r="AE483" t="s">
        <v>74</v>
      </c>
      <c r="AF483" t="s">
        <v>74</v>
      </c>
      <c r="AG483">
        <v>0</v>
      </c>
      <c r="AH483">
        <v>1</v>
      </c>
      <c r="AI483">
        <v>1</v>
      </c>
      <c r="AJ483">
        <v>0</v>
      </c>
      <c r="AK483">
        <v>0</v>
      </c>
      <c r="AL483" t="s">
        <v>8592</v>
      </c>
      <c r="AM483" t="s">
        <v>8593</v>
      </c>
      <c r="AN483" t="s">
        <v>8594</v>
      </c>
      <c r="AO483" t="s">
        <v>74</v>
      </c>
      <c r="AP483" t="s">
        <v>74</v>
      </c>
      <c r="AQ483" t="s">
        <v>8595</v>
      </c>
      <c r="AR483" t="s">
        <v>8596</v>
      </c>
      <c r="AS483" t="s">
        <v>74</v>
      </c>
      <c r="AT483" t="s">
        <v>74</v>
      </c>
      <c r="AU483">
        <v>2011</v>
      </c>
      <c r="AV483" t="s">
        <v>74</v>
      </c>
      <c r="AW483" t="s">
        <v>74</v>
      </c>
      <c r="AX483" t="s">
        <v>74</v>
      </c>
      <c r="AY483" t="s">
        <v>74</v>
      </c>
      <c r="AZ483" t="s">
        <v>74</v>
      </c>
      <c r="BA483" t="s">
        <v>74</v>
      </c>
      <c r="BB483">
        <v>141</v>
      </c>
      <c r="BC483" t="s">
        <v>1316</v>
      </c>
      <c r="BD483" t="s">
        <v>74</v>
      </c>
      <c r="BE483" t="s">
        <v>74</v>
      </c>
      <c r="BF483" t="s">
        <v>74</v>
      </c>
      <c r="BG483" t="s">
        <v>8597</v>
      </c>
      <c r="BH483" t="s">
        <v>74</v>
      </c>
      <c r="BI483">
        <v>22</v>
      </c>
      <c r="BJ483" t="s">
        <v>8598</v>
      </c>
      <c r="BK483" t="s">
        <v>3058</v>
      </c>
      <c r="BL483" t="s">
        <v>8599</v>
      </c>
      <c r="BM483" t="s">
        <v>8600</v>
      </c>
      <c r="BN483" t="s">
        <v>74</v>
      </c>
      <c r="BO483" t="s">
        <v>74</v>
      </c>
      <c r="BP483" t="s">
        <v>74</v>
      </c>
      <c r="BQ483" t="s">
        <v>74</v>
      </c>
      <c r="BR483" t="s">
        <v>103</v>
      </c>
      <c r="BS483" t="s">
        <v>8619</v>
      </c>
      <c r="BT483" t="str">
        <f>HYPERLINK("https%3A%2F%2Fwww.webofscience.com%2Fwos%2Fwoscc%2Ffull-record%2FWOS:000315122000008","View Full Record in Web of Science")</f>
        <v>View Full Record in Web of Science</v>
      </c>
    </row>
    <row r="484" spans="1:72" x14ac:dyDescent="0.15">
      <c r="A484" t="s">
        <v>2363</v>
      </c>
      <c r="B484" t="s">
        <v>8586</v>
      </c>
      <c r="C484" t="s">
        <v>8586</v>
      </c>
      <c r="D484" t="s">
        <v>74</v>
      </c>
      <c r="E484" t="s">
        <v>74</v>
      </c>
      <c r="F484" t="s">
        <v>8602</v>
      </c>
      <c r="G484" t="s">
        <v>8586</v>
      </c>
      <c r="H484" t="s">
        <v>74</v>
      </c>
      <c r="I484" t="s">
        <v>8620</v>
      </c>
      <c r="J484" t="s">
        <v>8589</v>
      </c>
      <c r="K484" t="s">
        <v>8590</v>
      </c>
      <c r="L484" t="s">
        <v>74</v>
      </c>
      <c r="M484" t="s">
        <v>78</v>
      </c>
      <c r="N484" t="s">
        <v>8604</v>
      </c>
      <c r="O484" t="s">
        <v>74</v>
      </c>
      <c r="P484" t="s">
        <v>74</v>
      </c>
      <c r="Q484" t="s">
        <v>74</v>
      </c>
      <c r="R484" t="s">
        <v>74</v>
      </c>
      <c r="S484" t="s">
        <v>74</v>
      </c>
      <c r="T484" t="s">
        <v>74</v>
      </c>
      <c r="U484" t="s">
        <v>74</v>
      </c>
      <c r="V484" t="s">
        <v>74</v>
      </c>
      <c r="W484" t="s">
        <v>74</v>
      </c>
      <c r="X484" t="s">
        <v>74</v>
      </c>
      <c r="Y484" t="s">
        <v>74</v>
      </c>
      <c r="Z484" t="s">
        <v>74</v>
      </c>
      <c r="AA484" t="s">
        <v>74</v>
      </c>
      <c r="AB484" t="s">
        <v>74</v>
      </c>
      <c r="AC484" t="s">
        <v>74</v>
      </c>
      <c r="AD484" t="s">
        <v>74</v>
      </c>
      <c r="AE484" t="s">
        <v>74</v>
      </c>
      <c r="AF484" t="s">
        <v>74</v>
      </c>
      <c r="AG484">
        <v>0</v>
      </c>
      <c r="AH484">
        <v>0</v>
      </c>
      <c r="AI484">
        <v>0</v>
      </c>
      <c r="AJ484">
        <v>0</v>
      </c>
      <c r="AK484">
        <v>0</v>
      </c>
      <c r="AL484" t="s">
        <v>8592</v>
      </c>
      <c r="AM484" t="s">
        <v>8593</v>
      </c>
      <c r="AN484" t="s">
        <v>8594</v>
      </c>
      <c r="AO484" t="s">
        <v>74</v>
      </c>
      <c r="AP484" t="s">
        <v>74</v>
      </c>
      <c r="AQ484" t="s">
        <v>8595</v>
      </c>
      <c r="AR484" t="s">
        <v>8596</v>
      </c>
      <c r="AS484" t="s">
        <v>74</v>
      </c>
      <c r="AT484" t="s">
        <v>74</v>
      </c>
      <c r="AU484">
        <v>2011</v>
      </c>
      <c r="AV484" t="s">
        <v>74</v>
      </c>
      <c r="AW484" t="s">
        <v>74</v>
      </c>
      <c r="AX484" t="s">
        <v>74</v>
      </c>
      <c r="AY484" t="s">
        <v>74</v>
      </c>
      <c r="AZ484" t="s">
        <v>74</v>
      </c>
      <c r="BA484" t="s">
        <v>74</v>
      </c>
      <c r="BB484">
        <v>157</v>
      </c>
      <c r="BC484" t="s">
        <v>1316</v>
      </c>
      <c r="BD484" t="s">
        <v>74</v>
      </c>
      <c r="BE484" t="s">
        <v>74</v>
      </c>
      <c r="BF484" t="s">
        <v>74</v>
      </c>
      <c r="BG484" t="s">
        <v>8597</v>
      </c>
      <c r="BH484" t="s">
        <v>74</v>
      </c>
      <c r="BI484">
        <v>7</v>
      </c>
      <c r="BJ484" t="s">
        <v>8598</v>
      </c>
      <c r="BK484" t="s">
        <v>3058</v>
      </c>
      <c r="BL484" t="s">
        <v>8599</v>
      </c>
      <c r="BM484" t="s">
        <v>8600</v>
      </c>
      <c r="BN484" t="s">
        <v>74</v>
      </c>
      <c r="BO484" t="s">
        <v>74</v>
      </c>
      <c r="BP484" t="s">
        <v>74</v>
      </c>
      <c r="BQ484" t="s">
        <v>74</v>
      </c>
      <c r="BR484" t="s">
        <v>103</v>
      </c>
      <c r="BS484" t="s">
        <v>8621</v>
      </c>
      <c r="BT484" t="str">
        <f>HYPERLINK("https%3A%2F%2Fwww.webofscience.com%2Fwos%2Fwoscc%2Ffull-record%2FWOS:000315122000009","View Full Record in Web of Science")</f>
        <v>View Full Record in Web of Science</v>
      </c>
    </row>
    <row r="485" spans="1:72" x14ac:dyDescent="0.15">
      <c r="A485" t="s">
        <v>72</v>
      </c>
      <c r="B485" t="s">
        <v>8622</v>
      </c>
      <c r="C485" t="s">
        <v>74</v>
      </c>
      <c r="D485" t="s">
        <v>74</v>
      </c>
      <c r="E485" t="s">
        <v>74</v>
      </c>
      <c r="F485" t="s">
        <v>8623</v>
      </c>
      <c r="G485" t="s">
        <v>74</v>
      </c>
      <c r="H485" t="s">
        <v>74</v>
      </c>
      <c r="I485" t="s">
        <v>8624</v>
      </c>
      <c r="J485" t="s">
        <v>8625</v>
      </c>
      <c r="K485" t="s">
        <v>74</v>
      </c>
      <c r="L485" t="s">
        <v>74</v>
      </c>
      <c r="M485" t="s">
        <v>78</v>
      </c>
      <c r="N485" t="s">
        <v>52</v>
      </c>
      <c r="O485" t="s">
        <v>74</v>
      </c>
      <c r="P485" t="s">
        <v>74</v>
      </c>
      <c r="Q485" t="s">
        <v>74</v>
      </c>
      <c r="R485" t="s">
        <v>74</v>
      </c>
      <c r="S485" t="s">
        <v>74</v>
      </c>
      <c r="T485" t="s">
        <v>74</v>
      </c>
      <c r="U485" t="s">
        <v>74</v>
      </c>
      <c r="V485" t="s">
        <v>74</v>
      </c>
      <c r="W485" t="s">
        <v>8626</v>
      </c>
      <c r="X485" t="s">
        <v>8627</v>
      </c>
      <c r="Y485" t="s">
        <v>74</v>
      </c>
      <c r="Z485" t="s">
        <v>8628</v>
      </c>
      <c r="AA485" t="s">
        <v>8629</v>
      </c>
      <c r="AB485" t="s">
        <v>8630</v>
      </c>
      <c r="AC485" t="s">
        <v>74</v>
      </c>
      <c r="AD485" t="s">
        <v>74</v>
      </c>
      <c r="AE485" t="s">
        <v>74</v>
      </c>
      <c r="AF485" t="s">
        <v>74</v>
      </c>
      <c r="AG485">
        <v>0</v>
      </c>
      <c r="AH485">
        <v>0</v>
      </c>
      <c r="AI485">
        <v>0</v>
      </c>
      <c r="AJ485">
        <v>0</v>
      </c>
      <c r="AK485">
        <v>11</v>
      </c>
      <c r="AL485" t="s">
        <v>474</v>
      </c>
      <c r="AM485" t="s">
        <v>475</v>
      </c>
      <c r="AN485" t="s">
        <v>3861</v>
      </c>
      <c r="AO485" t="s">
        <v>8631</v>
      </c>
      <c r="AP485" t="s">
        <v>74</v>
      </c>
      <c r="AQ485" t="s">
        <v>74</v>
      </c>
      <c r="AR485" t="s">
        <v>8632</v>
      </c>
      <c r="AS485" t="s">
        <v>8633</v>
      </c>
      <c r="AT485" t="s">
        <v>74</v>
      </c>
      <c r="AU485">
        <v>2011</v>
      </c>
      <c r="AV485">
        <v>46</v>
      </c>
      <c r="AW485" t="s">
        <v>74</v>
      </c>
      <c r="AX485" t="s">
        <v>74</v>
      </c>
      <c r="AY485">
        <v>1</v>
      </c>
      <c r="AZ485" t="s">
        <v>967</v>
      </c>
      <c r="BA485" t="s">
        <v>74</v>
      </c>
      <c r="BB485">
        <v>51</v>
      </c>
      <c r="BC485">
        <v>52</v>
      </c>
      <c r="BD485" t="s">
        <v>74</v>
      </c>
      <c r="BE485" t="s">
        <v>74</v>
      </c>
      <c r="BF485" t="s">
        <v>74</v>
      </c>
      <c r="BG485" t="s">
        <v>74</v>
      </c>
      <c r="BH485" t="s">
        <v>74</v>
      </c>
      <c r="BI485">
        <v>2</v>
      </c>
      <c r="BJ485" t="s">
        <v>1115</v>
      </c>
      <c r="BK485" t="s">
        <v>100</v>
      </c>
      <c r="BL485" t="s">
        <v>1115</v>
      </c>
      <c r="BM485" t="s">
        <v>8634</v>
      </c>
      <c r="BN485" t="s">
        <v>74</v>
      </c>
      <c r="BO485" t="s">
        <v>74</v>
      </c>
      <c r="BP485" t="s">
        <v>74</v>
      </c>
      <c r="BQ485" t="s">
        <v>74</v>
      </c>
      <c r="BR485" t="s">
        <v>103</v>
      </c>
      <c r="BS485" t="s">
        <v>8635</v>
      </c>
      <c r="BT485" t="str">
        <f>HYPERLINK("https%3A%2F%2Fwww.webofscience.com%2Fwos%2Fwoscc%2Ffull-record%2FWOS:000299418700055","View Full Record in Web of Science")</f>
        <v>View Full Record in Web of Science</v>
      </c>
    </row>
    <row r="486" spans="1:72" x14ac:dyDescent="0.15">
      <c r="A486" t="s">
        <v>72</v>
      </c>
      <c r="B486" t="s">
        <v>8636</v>
      </c>
      <c r="C486" t="s">
        <v>74</v>
      </c>
      <c r="D486" t="s">
        <v>74</v>
      </c>
      <c r="E486" t="s">
        <v>74</v>
      </c>
      <c r="F486" t="s">
        <v>8637</v>
      </c>
      <c r="G486" t="s">
        <v>74</v>
      </c>
      <c r="H486" t="s">
        <v>74</v>
      </c>
      <c r="I486" t="s">
        <v>8638</v>
      </c>
      <c r="J486" t="s">
        <v>8625</v>
      </c>
      <c r="K486" t="s">
        <v>74</v>
      </c>
      <c r="L486" t="s">
        <v>74</v>
      </c>
      <c r="M486" t="s">
        <v>78</v>
      </c>
      <c r="N486" t="s">
        <v>52</v>
      </c>
      <c r="O486" t="s">
        <v>74</v>
      </c>
      <c r="P486" t="s">
        <v>74</v>
      </c>
      <c r="Q486" t="s">
        <v>74</v>
      </c>
      <c r="R486" t="s">
        <v>74</v>
      </c>
      <c r="S486" t="s">
        <v>74</v>
      </c>
      <c r="T486" t="s">
        <v>74</v>
      </c>
      <c r="U486" t="s">
        <v>74</v>
      </c>
      <c r="V486" t="s">
        <v>74</v>
      </c>
      <c r="W486" t="s">
        <v>8639</v>
      </c>
      <c r="X486" t="s">
        <v>8640</v>
      </c>
      <c r="Y486" t="s">
        <v>74</v>
      </c>
      <c r="Z486" t="s">
        <v>8641</v>
      </c>
      <c r="AA486" t="s">
        <v>8642</v>
      </c>
      <c r="AB486" t="s">
        <v>74</v>
      </c>
      <c r="AC486" t="s">
        <v>74</v>
      </c>
      <c r="AD486" t="s">
        <v>74</v>
      </c>
      <c r="AE486" t="s">
        <v>74</v>
      </c>
      <c r="AF486" t="s">
        <v>74</v>
      </c>
      <c r="AG486">
        <v>0</v>
      </c>
      <c r="AH486">
        <v>0</v>
      </c>
      <c r="AI486">
        <v>0</v>
      </c>
      <c r="AJ486">
        <v>0</v>
      </c>
      <c r="AK486">
        <v>6</v>
      </c>
      <c r="AL486" t="s">
        <v>474</v>
      </c>
      <c r="AM486" t="s">
        <v>475</v>
      </c>
      <c r="AN486" t="s">
        <v>3861</v>
      </c>
      <c r="AO486" t="s">
        <v>8631</v>
      </c>
      <c r="AP486" t="s">
        <v>74</v>
      </c>
      <c r="AQ486" t="s">
        <v>74</v>
      </c>
      <c r="AR486" t="s">
        <v>8632</v>
      </c>
      <c r="AS486" t="s">
        <v>8633</v>
      </c>
      <c r="AT486" t="s">
        <v>74</v>
      </c>
      <c r="AU486">
        <v>2011</v>
      </c>
      <c r="AV486">
        <v>46</v>
      </c>
      <c r="AW486" t="s">
        <v>74</v>
      </c>
      <c r="AX486" t="s">
        <v>74</v>
      </c>
      <c r="AY486">
        <v>1</v>
      </c>
      <c r="AZ486" t="s">
        <v>967</v>
      </c>
      <c r="BA486" t="s">
        <v>74</v>
      </c>
      <c r="BB486">
        <v>171</v>
      </c>
      <c r="BC486">
        <v>171</v>
      </c>
      <c r="BD486" t="s">
        <v>74</v>
      </c>
      <c r="BE486" t="s">
        <v>74</v>
      </c>
      <c r="BF486" t="s">
        <v>74</v>
      </c>
      <c r="BG486" t="s">
        <v>74</v>
      </c>
      <c r="BH486" t="s">
        <v>74</v>
      </c>
      <c r="BI486">
        <v>1</v>
      </c>
      <c r="BJ486" t="s">
        <v>1115</v>
      </c>
      <c r="BK486" t="s">
        <v>100</v>
      </c>
      <c r="BL486" t="s">
        <v>1115</v>
      </c>
      <c r="BM486" t="s">
        <v>8634</v>
      </c>
      <c r="BN486" t="s">
        <v>74</v>
      </c>
      <c r="BO486" t="s">
        <v>74</v>
      </c>
      <c r="BP486" t="s">
        <v>74</v>
      </c>
      <c r="BQ486" t="s">
        <v>74</v>
      </c>
      <c r="BR486" t="s">
        <v>103</v>
      </c>
      <c r="BS486" t="s">
        <v>8643</v>
      </c>
      <c r="BT486" t="str">
        <f>HYPERLINK("https%3A%2F%2Fwww.webofscience.com%2Fwos%2Fwoscc%2Ffull-record%2FWOS:000299418700285","View Full Record in Web of Science")</f>
        <v>View Full Record in Web of Science</v>
      </c>
    </row>
    <row r="487" spans="1:72" x14ac:dyDescent="0.15">
      <c r="A487" t="s">
        <v>72</v>
      </c>
      <c r="B487" t="s">
        <v>8644</v>
      </c>
      <c r="C487" t="s">
        <v>74</v>
      </c>
      <c r="D487" t="s">
        <v>74</v>
      </c>
      <c r="E487" t="s">
        <v>74</v>
      </c>
      <c r="F487" t="s">
        <v>8645</v>
      </c>
      <c r="G487" t="s">
        <v>74</v>
      </c>
      <c r="H487" t="s">
        <v>74</v>
      </c>
      <c r="I487" t="s">
        <v>8646</v>
      </c>
      <c r="J487" t="s">
        <v>8625</v>
      </c>
      <c r="K487" t="s">
        <v>74</v>
      </c>
      <c r="L487" t="s">
        <v>74</v>
      </c>
      <c r="M487" t="s">
        <v>78</v>
      </c>
      <c r="N487" t="s">
        <v>79</v>
      </c>
      <c r="O487" t="s">
        <v>74</v>
      </c>
      <c r="P487" t="s">
        <v>74</v>
      </c>
      <c r="Q487" t="s">
        <v>74</v>
      </c>
      <c r="R487" t="s">
        <v>74</v>
      </c>
      <c r="S487" t="s">
        <v>74</v>
      </c>
      <c r="T487" t="s">
        <v>8647</v>
      </c>
      <c r="U487" t="s">
        <v>8648</v>
      </c>
      <c r="V487" t="s">
        <v>8649</v>
      </c>
      <c r="W487" t="s">
        <v>8650</v>
      </c>
      <c r="X487" t="s">
        <v>8651</v>
      </c>
      <c r="Y487" t="s">
        <v>8652</v>
      </c>
      <c r="Z487" t="s">
        <v>8653</v>
      </c>
      <c r="AA487" t="s">
        <v>74</v>
      </c>
      <c r="AB487" t="s">
        <v>74</v>
      </c>
      <c r="AC487" t="s">
        <v>8654</v>
      </c>
      <c r="AD487" t="s">
        <v>8655</v>
      </c>
      <c r="AE487" t="s">
        <v>8656</v>
      </c>
      <c r="AF487" t="s">
        <v>74</v>
      </c>
      <c r="AG487">
        <v>28</v>
      </c>
      <c r="AH487">
        <v>4</v>
      </c>
      <c r="AI487">
        <v>5</v>
      </c>
      <c r="AJ487">
        <v>0</v>
      </c>
      <c r="AK487">
        <v>10</v>
      </c>
      <c r="AL487" t="s">
        <v>474</v>
      </c>
      <c r="AM487" t="s">
        <v>475</v>
      </c>
      <c r="AN487" t="s">
        <v>476</v>
      </c>
      <c r="AO487" t="s">
        <v>8631</v>
      </c>
      <c r="AP487" t="s">
        <v>8657</v>
      </c>
      <c r="AQ487" t="s">
        <v>74</v>
      </c>
      <c r="AR487" t="s">
        <v>8632</v>
      </c>
      <c r="AS487" t="s">
        <v>8633</v>
      </c>
      <c r="AT487" t="s">
        <v>74</v>
      </c>
      <c r="AU487">
        <v>2011</v>
      </c>
      <c r="AV487">
        <v>46</v>
      </c>
      <c r="AW487">
        <v>3</v>
      </c>
      <c r="AX487" t="s">
        <v>74</v>
      </c>
      <c r="AY487" t="s">
        <v>74</v>
      </c>
      <c r="AZ487" t="s">
        <v>74</v>
      </c>
      <c r="BA487" t="s">
        <v>74</v>
      </c>
      <c r="BB487">
        <v>171</v>
      </c>
      <c r="BC487">
        <v>180</v>
      </c>
      <c r="BD487" t="s">
        <v>74</v>
      </c>
      <c r="BE487" t="s">
        <v>8658</v>
      </c>
      <c r="BF487" t="str">
        <f>HYPERLINK("http://dx.doi.org/10.1080/09670262.2011.584635","http://dx.doi.org/10.1080/09670262.2011.584635")</f>
        <v>http://dx.doi.org/10.1080/09670262.2011.584635</v>
      </c>
      <c r="BG487" t="s">
        <v>74</v>
      </c>
      <c r="BH487" t="s">
        <v>74</v>
      </c>
      <c r="BI487">
        <v>10</v>
      </c>
      <c r="BJ487" t="s">
        <v>1115</v>
      </c>
      <c r="BK487" t="s">
        <v>100</v>
      </c>
      <c r="BL487" t="s">
        <v>1115</v>
      </c>
      <c r="BM487" t="s">
        <v>8659</v>
      </c>
      <c r="BN487" t="s">
        <v>74</v>
      </c>
      <c r="BO487" t="s">
        <v>252</v>
      </c>
      <c r="BP487" t="s">
        <v>74</v>
      </c>
      <c r="BQ487" t="s">
        <v>74</v>
      </c>
      <c r="BR487" t="s">
        <v>103</v>
      </c>
      <c r="BS487" t="s">
        <v>8660</v>
      </c>
      <c r="BT487" t="str">
        <f>HYPERLINK("https%3A%2F%2Fwww.webofscience.com%2Fwos%2Fwoscc%2Ffull-record%2FWOS:000299417500001","View Full Record in Web of Science")</f>
        <v>View Full Record in Web of Science</v>
      </c>
    </row>
    <row r="488" spans="1:72" x14ac:dyDescent="0.15">
      <c r="A488" t="s">
        <v>72</v>
      </c>
      <c r="B488" t="s">
        <v>8661</v>
      </c>
      <c r="C488" t="s">
        <v>74</v>
      </c>
      <c r="D488" t="s">
        <v>74</v>
      </c>
      <c r="E488" t="s">
        <v>74</v>
      </c>
      <c r="F488" t="s">
        <v>8662</v>
      </c>
      <c r="G488" t="s">
        <v>74</v>
      </c>
      <c r="H488" t="s">
        <v>74</v>
      </c>
      <c r="I488" t="s">
        <v>8663</v>
      </c>
      <c r="J488" t="s">
        <v>8664</v>
      </c>
      <c r="K488" t="s">
        <v>74</v>
      </c>
      <c r="L488" t="s">
        <v>74</v>
      </c>
      <c r="M488" t="s">
        <v>78</v>
      </c>
      <c r="N488" t="s">
        <v>79</v>
      </c>
      <c r="O488" t="s">
        <v>74</v>
      </c>
      <c r="P488" t="s">
        <v>74</v>
      </c>
      <c r="Q488" t="s">
        <v>74</v>
      </c>
      <c r="R488" t="s">
        <v>74</v>
      </c>
      <c r="S488" t="s">
        <v>74</v>
      </c>
      <c r="T488" t="s">
        <v>8665</v>
      </c>
      <c r="U488" t="s">
        <v>8666</v>
      </c>
      <c r="V488" t="s">
        <v>8667</v>
      </c>
      <c r="W488" t="s">
        <v>8668</v>
      </c>
      <c r="X488" t="s">
        <v>8669</v>
      </c>
      <c r="Y488" t="s">
        <v>8670</v>
      </c>
      <c r="Z488" t="s">
        <v>8671</v>
      </c>
      <c r="AA488" t="s">
        <v>74</v>
      </c>
      <c r="AB488" t="s">
        <v>74</v>
      </c>
      <c r="AC488" t="s">
        <v>74</v>
      </c>
      <c r="AD488" t="s">
        <v>74</v>
      </c>
      <c r="AE488" t="s">
        <v>74</v>
      </c>
      <c r="AF488" t="s">
        <v>74</v>
      </c>
      <c r="AG488">
        <v>38</v>
      </c>
      <c r="AH488">
        <v>25</v>
      </c>
      <c r="AI488">
        <v>26</v>
      </c>
      <c r="AJ488">
        <v>4</v>
      </c>
      <c r="AK488">
        <v>25</v>
      </c>
      <c r="AL488" t="s">
        <v>8672</v>
      </c>
      <c r="AM488" t="s">
        <v>8673</v>
      </c>
      <c r="AN488" t="s">
        <v>8674</v>
      </c>
      <c r="AO488" t="s">
        <v>8675</v>
      </c>
      <c r="AP488" t="s">
        <v>74</v>
      </c>
      <c r="AQ488" t="s">
        <v>74</v>
      </c>
      <c r="AR488" t="s">
        <v>8676</v>
      </c>
      <c r="AS488" t="s">
        <v>8677</v>
      </c>
      <c r="AT488" t="s">
        <v>74</v>
      </c>
      <c r="AU488">
        <v>2011</v>
      </c>
      <c r="AV488">
        <v>7</v>
      </c>
      <c r="AW488" t="s">
        <v>74</v>
      </c>
      <c r="AX488" t="s">
        <v>74</v>
      </c>
      <c r="AY488" t="s">
        <v>74</v>
      </c>
      <c r="AZ488" t="s">
        <v>74</v>
      </c>
      <c r="BA488" t="s">
        <v>74</v>
      </c>
      <c r="BB488">
        <v>279</v>
      </c>
      <c r="BC488">
        <v>289</v>
      </c>
      <c r="BD488" t="s">
        <v>74</v>
      </c>
      <c r="BE488" t="s">
        <v>8678</v>
      </c>
      <c r="BF488" t="str">
        <f>HYPERLINK("http://dx.doi.org/10.4137/EBO.S8321","http://dx.doi.org/10.4137/EBO.S8321")</f>
        <v>http://dx.doi.org/10.4137/EBO.S8321</v>
      </c>
      <c r="BG488" t="s">
        <v>74</v>
      </c>
      <c r="BH488" t="s">
        <v>74</v>
      </c>
      <c r="BI488">
        <v>11</v>
      </c>
      <c r="BJ488" t="s">
        <v>8679</v>
      </c>
      <c r="BK488" t="s">
        <v>100</v>
      </c>
      <c r="BL488" t="s">
        <v>8679</v>
      </c>
      <c r="BM488" t="s">
        <v>8680</v>
      </c>
      <c r="BN488">
        <v>22253534</v>
      </c>
      <c r="BO488" t="s">
        <v>2181</v>
      </c>
      <c r="BP488" t="s">
        <v>74</v>
      </c>
      <c r="BQ488" t="s">
        <v>74</v>
      </c>
      <c r="BR488" t="s">
        <v>103</v>
      </c>
      <c r="BS488" t="s">
        <v>8681</v>
      </c>
      <c r="BT488" t="str">
        <f>HYPERLINK("https%3A%2F%2Fwww.webofscience.com%2Fwos%2Fwoscc%2Ffull-record%2FWOS:000299694000006","View Full Record in Web of Science")</f>
        <v>View Full Record in Web of Science</v>
      </c>
    </row>
    <row r="489" spans="1:72" x14ac:dyDescent="0.15">
      <c r="A489" t="s">
        <v>72</v>
      </c>
      <c r="B489" t="s">
        <v>8682</v>
      </c>
      <c r="C489" t="s">
        <v>74</v>
      </c>
      <c r="D489" t="s">
        <v>74</v>
      </c>
      <c r="E489" t="s">
        <v>74</v>
      </c>
      <c r="F489" t="s">
        <v>8683</v>
      </c>
      <c r="G489" t="s">
        <v>74</v>
      </c>
      <c r="H489" t="s">
        <v>74</v>
      </c>
      <c r="I489" t="s">
        <v>8684</v>
      </c>
      <c r="J489" t="s">
        <v>8685</v>
      </c>
      <c r="K489" t="s">
        <v>74</v>
      </c>
      <c r="L489" t="s">
        <v>74</v>
      </c>
      <c r="M489" t="s">
        <v>78</v>
      </c>
      <c r="N489" t="s">
        <v>79</v>
      </c>
      <c r="O489" t="s">
        <v>74</v>
      </c>
      <c r="P489" t="s">
        <v>74</v>
      </c>
      <c r="Q489" t="s">
        <v>74</v>
      </c>
      <c r="R489" t="s">
        <v>74</v>
      </c>
      <c r="S489" t="s">
        <v>74</v>
      </c>
      <c r="T489" t="s">
        <v>8686</v>
      </c>
      <c r="U489" t="s">
        <v>8687</v>
      </c>
      <c r="V489" t="s">
        <v>8688</v>
      </c>
      <c r="W489" t="s">
        <v>8689</v>
      </c>
      <c r="X489" t="s">
        <v>8690</v>
      </c>
      <c r="Y489" t="s">
        <v>1499</v>
      </c>
      <c r="Z489" t="s">
        <v>8691</v>
      </c>
      <c r="AA489" t="s">
        <v>8692</v>
      </c>
      <c r="AB489" t="s">
        <v>8693</v>
      </c>
      <c r="AC489" t="s">
        <v>8694</v>
      </c>
      <c r="AD489" t="s">
        <v>8695</v>
      </c>
      <c r="AE489" t="s">
        <v>8696</v>
      </c>
      <c r="AF489" t="s">
        <v>74</v>
      </c>
      <c r="AG489">
        <v>76</v>
      </c>
      <c r="AH489">
        <v>57</v>
      </c>
      <c r="AI489">
        <v>65</v>
      </c>
      <c r="AJ489">
        <v>4</v>
      </c>
      <c r="AK489">
        <v>52</v>
      </c>
      <c r="AL489" t="s">
        <v>8697</v>
      </c>
      <c r="AM489" t="s">
        <v>8698</v>
      </c>
      <c r="AN489" t="s">
        <v>8699</v>
      </c>
      <c r="AO489" t="s">
        <v>8700</v>
      </c>
      <c r="AP489" t="s">
        <v>8701</v>
      </c>
      <c r="AQ489" t="s">
        <v>74</v>
      </c>
      <c r="AR489" t="s">
        <v>8685</v>
      </c>
      <c r="AS489" t="s">
        <v>8702</v>
      </c>
      <c r="AT489" t="s">
        <v>3935</v>
      </c>
      <c r="AU489">
        <v>2011</v>
      </c>
      <c r="AV489">
        <v>15</v>
      </c>
      <c r="AW489">
        <v>1</v>
      </c>
      <c r="AX489" t="s">
        <v>74</v>
      </c>
      <c r="AY489" t="s">
        <v>74</v>
      </c>
      <c r="AZ489" t="s">
        <v>74</v>
      </c>
      <c r="BA489" t="s">
        <v>74</v>
      </c>
      <c r="BB489">
        <v>1</v>
      </c>
      <c r="BC489">
        <v>22</v>
      </c>
      <c r="BD489" t="s">
        <v>74</v>
      </c>
      <c r="BE489" t="s">
        <v>8703</v>
      </c>
      <c r="BF489" t="str">
        <f>HYPERLINK("http://dx.doi.org/10.1007/s00792-010-0333-4","http://dx.doi.org/10.1007/s00792-010-0333-4")</f>
        <v>http://dx.doi.org/10.1007/s00792-010-0333-4</v>
      </c>
      <c r="BG489" t="s">
        <v>74</v>
      </c>
      <c r="BH489" t="s">
        <v>74</v>
      </c>
      <c r="BI489">
        <v>22</v>
      </c>
      <c r="BJ489" t="s">
        <v>1075</v>
      </c>
      <c r="BK489" t="s">
        <v>100</v>
      </c>
      <c r="BL489" t="s">
        <v>1075</v>
      </c>
      <c r="BM489" t="s">
        <v>8704</v>
      </c>
      <c r="BN489">
        <v>21061031</v>
      </c>
      <c r="BO489" t="s">
        <v>74</v>
      </c>
      <c r="BP489" t="s">
        <v>74</v>
      </c>
      <c r="BQ489" t="s">
        <v>74</v>
      </c>
      <c r="BR489" t="s">
        <v>103</v>
      </c>
      <c r="BS489" t="s">
        <v>8705</v>
      </c>
      <c r="BT489" t="str">
        <f>HYPERLINK("https%3A%2F%2Fwww.webofscience.com%2Fwos%2Fwoscc%2Ffull-record%2FWOS:000286004100001","View Full Record in Web of Science")</f>
        <v>View Full Record in Web of Science</v>
      </c>
    </row>
    <row r="490" spans="1:72" x14ac:dyDescent="0.15">
      <c r="A490" t="s">
        <v>72</v>
      </c>
      <c r="B490" t="s">
        <v>8706</v>
      </c>
      <c r="C490" t="s">
        <v>74</v>
      </c>
      <c r="D490" t="s">
        <v>74</v>
      </c>
      <c r="E490" t="s">
        <v>74</v>
      </c>
      <c r="F490" t="s">
        <v>8707</v>
      </c>
      <c r="G490" t="s">
        <v>74</v>
      </c>
      <c r="H490" t="s">
        <v>74</v>
      </c>
      <c r="I490" t="s">
        <v>8708</v>
      </c>
      <c r="J490" t="s">
        <v>8685</v>
      </c>
      <c r="K490" t="s">
        <v>74</v>
      </c>
      <c r="L490" t="s">
        <v>74</v>
      </c>
      <c r="M490" t="s">
        <v>78</v>
      </c>
      <c r="N490" t="s">
        <v>79</v>
      </c>
      <c r="O490" t="s">
        <v>74</v>
      </c>
      <c r="P490" t="s">
        <v>74</v>
      </c>
      <c r="Q490" t="s">
        <v>74</v>
      </c>
      <c r="R490" t="s">
        <v>74</v>
      </c>
      <c r="S490" t="s">
        <v>74</v>
      </c>
      <c r="T490" t="s">
        <v>8709</v>
      </c>
      <c r="U490" t="s">
        <v>8710</v>
      </c>
      <c r="V490" t="s">
        <v>8711</v>
      </c>
      <c r="W490" t="s">
        <v>8712</v>
      </c>
      <c r="X490" t="s">
        <v>8713</v>
      </c>
      <c r="Y490" t="s">
        <v>8714</v>
      </c>
      <c r="Z490" t="s">
        <v>8715</v>
      </c>
      <c r="AA490" t="s">
        <v>74</v>
      </c>
      <c r="AB490" t="s">
        <v>74</v>
      </c>
      <c r="AC490" t="s">
        <v>8716</v>
      </c>
      <c r="AD490" t="s">
        <v>8717</v>
      </c>
      <c r="AE490" t="s">
        <v>8718</v>
      </c>
      <c r="AF490" t="s">
        <v>74</v>
      </c>
      <c r="AG490">
        <v>31</v>
      </c>
      <c r="AH490">
        <v>16</v>
      </c>
      <c r="AI490">
        <v>19</v>
      </c>
      <c r="AJ490">
        <v>0</v>
      </c>
      <c r="AK490">
        <v>10</v>
      </c>
      <c r="AL490" t="s">
        <v>8697</v>
      </c>
      <c r="AM490" t="s">
        <v>8698</v>
      </c>
      <c r="AN490" t="s">
        <v>8719</v>
      </c>
      <c r="AO490" t="s">
        <v>8700</v>
      </c>
      <c r="AP490" t="s">
        <v>8701</v>
      </c>
      <c r="AQ490" t="s">
        <v>74</v>
      </c>
      <c r="AR490" t="s">
        <v>8685</v>
      </c>
      <c r="AS490" t="s">
        <v>8702</v>
      </c>
      <c r="AT490" t="s">
        <v>3935</v>
      </c>
      <c r="AU490">
        <v>2011</v>
      </c>
      <c r="AV490">
        <v>15</v>
      </c>
      <c r="AW490">
        <v>1</v>
      </c>
      <c r="AX490" t="s">
        <v>74</v>
      </c>
      <c r="AY490" t="s">
        <v>74</v>
      </c>
      <c r="AZ490" t="s">
        <v>74</v>
      </c>
      <c r="BA490" t="s">
        <v>74</v>
      </c>
      <c r="BB490">
        <v>23</v>
      </c>
      <c r="BC490">
        <v>29</v>
      </c>
      <c r="BD490" t="s">
        <v>74</v>
      </c>
      <c r="BE490" t="s">
        <v>8720</v>
      </c>
      <c r="BF490" t="str">
        <f>HYPERLINK("http://dx.doi.org/10.1007/s00792-010-0332-5","http://dx.doi.org/10.1007/s00792-010-0332-5")</f>
        <v>http://dx.doi.org/10.1007/s00792-010-0332-5</v>
      </c>
      <c r="BG490" t="s">
        <v>74</v>
      </c>
      <c r="BH490" t="s">
        <v>74</v>
      </c>
      <c r="BI490">
        <v>7</v>
      </c>
      <c r="BJ490" t="s">
        <v>1075</v>
      </c>
      <c r="BK490" t="s">
        <v>100</v>
      </c>
      <c r="BL490" t="s">
        <v>1075</v>
      </c>
      <c r="BM490" t="s">
        <v>8704</v>
      </c>
      <c r="BN490">
        <v>21069403</v>
      </c>
      <c r="BO490" t="s">
        <v>74</v>
      </c>
      <c r="BP490" t="s">
        <v>74</v>
      </c>
      <c r="BQ490" t="s">
        <v>74</v>
      </c>
      <c r="BR490" t="s">
        <v>103</v>
      </c>
      <c r="BS490" t="s">
        <v>8721</v>
      </c>
      <c r="BT490" t="str">
        <f>HYPERLINK("https%3A%2F%2Fwww.webofscience.com%2Fwos%2Fwoscc%2Ffull-record%2FWOS:000286004100002","View Full Record in Web of Science")</f>
        <v>View Full Record in Web of Science</v>
      </c>
    </row>
    <row r="491" spans="1:72" x14ac:dyDescent="0.15">
      <c r="A491" t="s">
        <v>72</v>
      </c>
      <c r="B491" t="s">
        <v>8722</v>
      </c>
      <c r="C491" t="s">
        <v>74</v>
      </c>
      <c r="D491" t="s">
        <v>74</v>
      </c>
      <c r="E491" t="s">
        <v>74</v>
      </c>
      <c r="F491" t="s">
        <v>8723</v>
      </c>
      <c r="G491" t="s">
        <v>74</v>
      </c>
      <c r="H491" t="s">
        <v>74</v>
      </c>
      <c r="I491" t="s">
        <v>8724</v>
      </c>
      <c r="J491" t="s">
        <v>8725</v>
      </c>
      <c r="K491" t="s">
        <v>74</v>
      </c>
      <c r="L491" t="s">
        <v>74</v>
      </c>
      <c r="M491" t="s">
        <v>78</v>
      </c>
      <c r="N491" t="s">
        <v>79</v>
      </c>
      <c r="O491" t="s">
        <v>74</v>
      </c>
      <c r="P491" t="s">
        <v>74</v>
      </c>
      <c r="Q491" t="s">
        <v>74</v>
      </c>
      <c r="R491" t="s">
        <v>74</v>
      </c>
      <c r="S491" t="s">
        <v>74</v>
      </c>
      <c r="T491" t="s">
        <v>8726</v>
      </c>
      <c r="U491" t="s">
        <v>8727</v>
      </c>
      <c r="V491" t="s">
        <v>8728</v>
      </c>
      <c r="W491" t="s">
        <v>8729</v>
      </c>
      <c r="X491" t="s">
        <v>8730</v>
      </c>
      <c r="Y491" t="s">
        <v>8731</v>
      </c>
      <c r="Z491" t="s">
        <v>8732</v>
      </c>
      <c r="AA491" t="s">
        <v>8733</v>
      </c>
      <c r="AB491" t="s">
        <v>74</v>
      </c>
      <c r="AC491" t="s">
        <v>8734</v>
      </c>
      <c r="AD491" t="s">
        <v>8735</v>
      </c>
      <c r="AE491" t="s">
        <v>8736</v>
      </c>
      <c r="AF491" t="s">
        <v>74</v>
      </c>
      <c r="AG491">
        <v>53</v>
      </c>
      <c r="AH491">
        <v>15</v>
      </c>
      <c r="AI491">
        <v>19</v>
      </c>
      <c r="AJ491">
        <v>3</v>
      </c>
      <c r="AK491">
        <v>17</v>
      </c>
      <c r="AL491" t="s">
        <v>214</v>
      </c>
      <c r="AM491" t="s">
        <v>215</v>
      </c>
      <c r="AN491" t="s">
        <v>216</v>
      </c>
      <c r="AO491" t="s">
        <v>8737</v>
      </c>
      <c r="AP491" t="s">
        <v>8738</v>
      </c>
      <c r="AQ491" t="s">
        <v>74</v>
      </c>
      <c r="AR491" t="s">
        <v>8739</v>
      </c>
      <c r="AS491" t="s">
        <v>8740</v>
      </c>
      <c r="AT491" t="s">
        <v>74</v>
      </c>
      <c r="AU491">
        <v>2011</v>
      </c>
      <c r="AV491">
        <v>20</v>
      </c>
      <c r="AW491">
        <v>6</v>
      </c>
      <c r="AX491" t="s">
        <v>74</v>
      </c>
      <c r="AY491" t="s">
        <v>74</v>
      </c>
      <c r="AZ491" t="s">
        <v>74</v>
      </c>
      <c r="BA491" t="s">
        <v>74</v>
      </c>
      <c r="BB491">
        <v>449</v>
      </c>
      <c r="BC491">
        <v>461</v>
      </c>
      <c r="BD491" t="s">
        <v>74</v>
      </c>
      <c r="BE491" t="s">
        <v>8741</v>
      </c>
      <c r="BF491" t="str">
        <f>HYPERLINK("http://dx.doi.org/10.1111/j.1365-2419.2011.00595.x","http://dx.doi.org/10.1111/j.1365-2419.2011.00595.x")</f>
        <v>http://dx.doi.org/10.1111/j.1365-2419.2011.00595.x</v>
      </c>
      <c r="BG491" t="s">
        <v>74</v>
      </c>
      <c r="BH491" t="s">
        <v>74</v>
      </c>
      <c r="BI491">
        <v>13</v>
      </c>
      <c r="BJ491" t="s">
        <v>8742</v>
      </c>
      <c r="BK491" t="s">
        <v>100</v>
      </c>
      <c r="BL491" t="s">
        <v>8742</v>
      </c>
      <c r="BM491" t="s">
        <v>8743</v>
      </c>
      <c r="BN491" t="s">
        <v>74</v>
      </c>
      <c r="BO491" t="s">
        <v>252</v>
      </c>
      <c r="BP491" t="s">
        <v>74</v>
      </c>
      <c r="BQ491" t="s">
        <v>74</v>
      </c>
      <c r="BR491" t="s">
        <v>103</v>
      </c>
      <c r="BS491" t="s">
        <v>8744</v>
      </c>
      <c r="BT491" t="str">
        <f>HYPERLINK("https%3A%2F%2Fwww.webofscience.com%2Fwos%2Fwoscc%2Ffull-record%2FWOS:000296134400001","View Full Record in Web of Science")</f>
        <v>View Full Record in Web of Science</v>
      </c>
    </row>
    <row r="492" spans="1:72" x14ac:dyDescent="0.15">
      <c r="A492" t="s">
        <v>72</v>
      </c>
      <c r="B492" t="s">
        <v>8745</v>
      </c>
      <c r="C492" t="s">
        <v>74</v>
      </c>
      <c r="D492" t="s">
        <v>74</v>
      </c>
      <c r="E492" t="s">
        <v>74</v>
      </c>
      <c r="F492" t="s">
        <v>8746</v>
      </c>
      <c r="G492" t="s">
        <v>74</v>
      </c>
      <c r="H492" t="s">
        <v>74</v>
      </c>
      <c r="I492" t="s">
        <v>8747</v>
      </c>
      <c r="J492" t="s">
        <v>8748</v>
      </c>
      <c r="K492" t="s">
        <v>74</v>
      </c>
      <c r="L492" t="s">
        <v>74</v>
      </c>
      <c r="M492" t="s">
        <v>78</v>
      </c>
      <c r="N492" t="s">
        <v>79</v>
      </c>
      <c r="O492" t="s">
        <v>74</v>
      </c>
      <c r="P492" t="s">
        <v>74</v>
      </c>
      <c r="Q492" t="s">
        <v>74</v>
      </c>
      <c r="R492" t="s">
        <v>74</v>
      </c>
      <c r="S492" t="s">
        <v>74</v>
      </c>
      <c r="T492" t="s">
        <v>8749</v>
      </c>
      <c r="U492" t="s">
        <v>8750</v>
      </c>
      <c r="V492" t="s">
        <v>8751</v>
      </c>
      <c r="W492" t="s">
        <v>8752</v>
      </c>
      <c r="X492" t="s">
        <v>8753</v>
      </c>
      <c r="Y492" t="s">
        <v>8754</v>
      </c>
      <c r="Z492" t="s">
        <v>8755</v>
      </c>
      <c r="AA492" t="s">
        <v>6260</v>
      </c>
      <c r="AB492" t="s">
        <v>8756</v>
      </c>
      <c r="AC492" t="s">
        <v>8757</v>
      </c>
      <c r="AD492" t="s">
        <v>8758</v>
      </c>
      <c r="AE492" t="s">
        <v>8759</v>
      </c>
      <c r="AF492" t="s">
        <v>74</v>
      </c>
      <c r="AG492">
        <v>55</v>
      </c>
      <c r="AH492">
        <v>12</v>
      </c>
      <c r="AI492">
        <v>17</v>
      </c>
      <c r="AJ492">
        <v>2</v>
      </c>
      <c r="AK492">
        <v>26</v>
      </c>
      <c r="AL492" t="s">
        <v>8760</v>
      </c>
      <c r="AM492" t="s">
        <v>8761</v>
      </c>
      <c r="AN492" t="s">
        <v>8762</v>
      </c>
      <c r="AO492" t="s">
        <v>8763</v>
      </c>
      <c r="AP492" t="s">
        <v>74</v>
      </c>
      <c r="AQ492" t="s">
        <v>74</v>
      </c>
      <c r="AR492" t="s">
        <v>8764</v>
      </c>
      <c r="AS492" t="s">
        <v>8765</v>
      </c>
      <c r="AT492" t="s">
        <v>74</v>
      </c>
      <c r="AU492">
        <v>2011</v>
      </c>
      <c r="AV492">
        <v>2</v>
      </c>
      <c r="AW492" t="s">
        <v>74</v>
      </c>
      <c r="AX492" t="s">
        <v>74</v>
      </c>
      <c r="AY492" t="s">
        <v>74</v>
      </c>
      <c r="AZ492" t="s">
        <v>74</v>
      </c>
      <c r="BA492" t="s">
        <v>74</v>
      </c>
      <c r="BB492" t="s">
        <v>74</v>
      </c>
      <c r="BC492" t="s">
        <v>74</v>
      </c>
      <c r="BD492">
        <v>255</v>
      </c>
      <c r="BE492" t="s">
        <v>8766</v>
      </c>
      <c r="BF492" t="str">
        <f>HYPERLINK("http://dx.doi.org/10.3389/fmicb.2011.00255","http://dx.doi.org/10.3389/fmicb.2011.00255")</f>
        <v>http://dx.doi.org/10.3389/fmicb.2011.00255</v>
      </c>
      <c r="BG492" t="s">
        <v>74</v>
      </c>
      <c r="BH492" t="s">
        <v>74</v>
      </c>
      <c r="BI492">
        <v>8</v>
      </c>
      <c r="BJ492" t="s">
        <v>325</v>
      </c>
      <c r="BK492" t="s">
        <v>100</v>
      </c>
      <c r="BL492" t="s">
        <v>325</v>
      </c>
      <c r="BM492" t="s">
        <v>8767</v>
      </c>
      <c r="BN492">
        <v>22207866</v>
      </c>
      <c r="BO492" t="s">
        <v>2181</v>
      </c>
      <c r="BP492" t="s">
        <v>74</v>
      </c>
      <c r="BQ492" t="s">
        <v>74</v>
      </c>
      <c r="BR492" t="s">
        <v>103</v>
      </c>
      <c r="BS492" t="s">
        <v>8768</v>
      </c>
      <c r="BT492" t="str">
        <f>HYPERLINK("https%3A%2F%2Fwww.webofscience.com%2Fwos%2Fwoscc%2Ffull-record%2FWOS:000208863500263","View Full Record in Web of Science")</f>
        <v>View Full Record in Web of Science</v>
      </c>
    </row>
    <row r="493" spans="1:72" x14ac:dyDescent="0.15">
      <c r="A493" t="s">
        <v>72</v>
      </c>
      <c r="B493" t="s">
        <v>8769</v>
      </c>
      <c r="C493" t="s">
        <v>74</v>
      </c>
      <c r="D493" t="s">
        <v>74</v>
      </c>
      <c r="E493" t="s">
        <v>74</v>
      </c>
      <c r="F493" t="s">
        <v>8770</v>
      </c>
      <c r="G493" t="s">
        <v>74</v>
      </c>
      <c r="H493" t="s">
        <v>74</v>
      </c>
      <c r="I493" t="s">
        <v>8771</v>
      </c>
      <c r="J493" t="s">
        <v>8748</v>
      </c>
      <c r="K493" t="s">
        <v>74</v>
      </c>
      <c r="L493" t="s">
        <v>74</v>
      </c>
      <c r="M493" t="s">
        <v>78</v>
      </c>
      <c r="N493" t="s">
        <v>79</v>
      </c>
      <c r="O493" t="s">
        <v>74</v>
      </c>
      <c r="P493" t="s">
        <v>74</v>
      </c>
      <c r="Q493" t="s">
        <v>74</v>
      </c>
      <c r="R493" t="s">
        <v>74</v>
      </c>
      <c r="S493" t="s">
        <v>74</v>
      </c>
      <c r="T493" t="s">
        <v>8772</v>
      </c>
      <c r="U493" t="s">
        <v>8773</v>
      </c>
      <c r="V493" t="s">
        <v>8774</v>
      </c>
      <c r="W493" t="s">
        <v>8775</v>
      </c>
      <c r="X493" t="s">
        <v>8776</v>
      </c>
      <c r="Y493" t="s">
        <v>8777</v>
      </c>
      <c r="Z493" t="s">
        <v>8778</v>
      </c>
      <c r="AA493" t="s">
        <v>8779</v>
      </c>
      <c r="AB493" t="s">
        <v>8780</v>
      </c>
      <c r="AC493" t="s">
        <v>8781</v>
      </c>
      <c r="AD493" t="s">
        <v>8782</v>
      </c>
      <c r="AE493" t="s">
        <v>8783</v>
      </c>
      <c r="AF493" t="s">
        <v>74</v>
      </c>
      <c r="AG493">
        <v>77</v>
      </c>
      <c r="AH493">
        <v>42</v>
      </c>
      <c r="AI493">
        <v>49</v>
      </c>
      <c r="AJ493">
        <v>0</v>
      </c>
      <c r="AK493">
        <v>26</v>
      </c>
      <c r="AL493" t="s">
        <v>8760</v>
      </c>
      <c r="AM493" t="s">
        <v>8761</v>
      </c>
      <c r="AN493" t="s">
        <v>8762</v>
      </c>
      <c r="AO493" t="s">
        <v>8763</v>
      </c>
      <c r="AP493" t="s">
        <v>74</v>
      </c>
      <c r="AQ493" t="s">
        <v>74</v>
      </c>
      <c r="AR493" t="s">
        <v>8764</v>
      </c>
      <c r="AS493" t="s">
        <v>8765</v>
      </c>
      <c r="AT493" t="s">
        <v>74</v>
      </c>
      <c r="AU493">
        <v>2011</v>
      </c>
      <c r="AV493">
        <v>2</v>
      </c>
      <c r="AW493" t="s">
        <v>74</v>
      </c>
      <c r="AX493" t="s">
        <v>74</v>
      </c>
      <c r="AY493" t="s">
        <v>74</v>
      </c>
      <c r="AZ493" t="s">
        <v>74</v>
      </c>
      <c r="BA493" t="s">
        <v>74</v>
      </c>
      <c r="BB493" t="s">
        <v>74</v>
      </c>
      <c r="BC493" t="s">
        <v>74</v>
      </c>
      <c r="BD493">
        <v>160</v>
      </c>
      <c r="BE493" t="s">
        <v>8784</v>
      </c>
      <c r="BF493" t="str">
        <f>HYPERLINK("http://dx.doi.org/10.3389/fmicb.2011.00160","http://dx.doi.org/10.3389/fmicb.2011.00160")</f>
        <v>http://dx.doi.org/10.3389/fmicb.2011.00160</v>
      </c>
      <c r="BG493" t="s">
        <v>74</v>
      </c>
      <c r="BH493" t="s">
        <v>74</v>
      </c>
      <c r="BI493">
        <v>12</v>
      </c>
      <c r="BJ493" t="s">
        <v>325</v>
      </c>
      <c r="BK493" t="s">
        <v>100</v>
      </c>
      <c r="BL493" t="s">
        <v>325</v>
      </c>
      <c r="BM493" t="s">
        <v>8767</v>
      </c>
      <c r="BN493">
        <v>21886638</v>
      </c>
      <c r="BO493" t="s">
        <v>2181</v>
      </c>
      <c r="BP493" t="s">
        <v>74</v>
      </c>
      <c r="BQ493" t="s">
        <v>74</v>
      </c>
      <c r="BR493" t="s">
        <v>103</v>
      </c>
      <c r="BS493" t="s">
        <v>8785</v>
      </c>
      <c r="BT493" t="str">
        <f>HYPERLINK("https%3A%2F%2Fwww.webofscience.com%2Fwos%2Fwoscc%2Ffull-record%2FWOS:000208863500169","View Full Record in Web of Science")</f>
        <v>View Full Record in Web of Science</v>
      </c>
    </row>
    <row r="494" spans="1:72" x14ac:dyDescent="0.15">
      <c r="A494" t="s">
        <v>72</v>
      </c>
      <c r="B494" t="s">
        <v>8786</v>
      </c>
      <c r="C494" t="s">
        <v>74</v>
      </c>
      <c r="D494" t="s">
        <v>74</v>
      </c>
      <c r="E494" t="s">
        <v>74</v>
      </c>
      <c r="F494" t="s">
        <v>8787</v>
      </c>
      <c r="G494" t="s">
        <v>74</v>
      </c>
      <c r="H494" t="s">
        <v>74</v>
      </c>
      <c r="I494" t="s">
        <v>8788</v>
      </c>
      <c r="J494" t="s">
        <v>8748</v>
      </c>
      <c r="K494" t="s">
        <v>74</v>
      </c>
      <c r="L494" t="s">
        <v>74</v>
      </c>
      <c r="M494" t="s">
        <v>78</v>
      </c>
      <c r="N494" t="s">
        <v>79</v>
      </c>
      <c r="O494" t="s">
        <v>74</v>
      </c>
      <c r="P494" t="s">
        <v>74</v>
      </c>
      <c r="Q494" t="s">
        <v>74</v>
      </c>
      <c r="R494" t="s">
        <v>74</v>
      </c>
      <c r="S494" t="s">
        <v>74</v>
      </c>
      <c r="T494" t="s">
        <v>8789</v>
      </c>
      <c r="U494" t="s">
        <v>74</v>
      </c>
      <c r="V494" t="s">
        <v>8790</v>
      </c>
      <c r="W494" t="s">
        <v>8791</v>
      </c>
      <c r="X494" t="s">
        <v>8792</v>
      </c>
      <c r="Y494" t="s">
        <v>8793</v>
      </c>
      <c r="Z494" t="s">
        <v>8794</v>
      </c>
      <c r="AA494" t="s">
        <v>8795</v>
      </c>
      <c r="AB494" t="s">
        <v>8796</v>
      </c>
      <c r="AC494" t="s">
        <v>8797</v>
      </c>
      <c r="AD494" t="s">
        <v>8797</v>
      </c>
      <c r="AE494" t="s">
        <v>8798</v>
      </c>
      <c r="AF494" t="s">
        <v>74</v>
      </c>
      <c r="AG494">
        <v>38</v>
      </c>
      <c r="AH494">
        <v>52</v>
      </c>
      <c r="AI494">
        <v>55</v>
      </c>
      <c r="AJ494">
        <v>0</v>
      </c>
      <c r="AK494">
        <v>18</v>
      </c>
      <c r="AL494" t="s">
        <v>8799</v>
      </c>
      <c r="AM494" t="s">
        <v>8761</v>
      </c>
      <c r="AN494" t="s">
        <v>8800</v>
      </c>
      <c r="AO494" t="s">
        <v>8763</v>
      </c>
      <c r="AP494" t="s">
        <v>74</v>
      </c>
      <c r="AQ494" t="s">
        <v>74</v>
      </c>
      <c r="AR494" t="s">
        <v>8764</v>
      </c>
      <c r="AS494" t="s">
        <v>8765</v>
      </c>
      <c r="AT494" t="s">
        <v>74</v>
      </c>
      <c r="AU494">
        <v>2011</v>
      </c>
      <c r="AV494">
        <v>2</v>
      </c>
      <c r="AW494" t="s">
        <v>74</v>
      </c>
      <c r="AX494" t="s">
        <v>74</v>
      </c>
      <c r="AY494" t="s">
        <v>74</v>
      </c>
      <c r="AZ494" t="s">
        <v>74</v>
      </c>
      <c r="BA494" t="s">
        <v>74</v>
      </c>
      <c r="BB494" t="s">
        <v>74</v>
      </c>
      <c r="BC494" t="s">
        <v>74</v>
      </c>
      <c r="BD494">
        <v>217</v>
      </c>
      <c r="BE494" t="s">
        <v>8801</v>
      </c>
      <c r="BF494" t="str">
        <f>HYPERLINK("http://dx.doi.org/10.3389/fmicb.2011.00217","http://dx.doi.org/10.3389/fmicb.2011.00217")</f>
        <v>http://dx.doi.org/10.3389/fmicb.2011.00217</v>
      </c>
      <c r="BG494" t="s">
        <v>74</v>
      </c>
      <c r="BH494" t="s">
        <v>74</v>
      </c>
      <c r="BI494">
        <v>14</v>
      </c>
      <c r="BJ494" t="s">
        <v>325</v>
      </c>
      <c r="BK494" t="s">
        <v>100</v>
      </c>
      <c r="BL494" t="s">
        <v>325</v>
      </c>
      <c r="BM494" t="s">
        <v>8767</v>
      </c>
      <c r="BN494">
        <v>22131985</v>
      </c>
      <c r="BO494" t="s">
        <v>7824</v>
      </c>
      <c r="BP494" t="s">
        <v>74</v>
      </c>
      <c r="BQ494" t="s">
        <v>74</v>
      </c>
      <c r="BR494" t="s">
        <v>103</v>
      </c>
      <c r="BS494" t="s">
        <v>8802</v>
      </c>
      <c r="BT494" t="str">
        <f>HYPERLINK("https%3A%2F%2Fwww.webofscience.com%2Fwos%2Fwoscc%2Ffull-record%2FWOS:000208863500225","View Full Record in Web of Science")</f>
        <v>View Full Record in Web of Science</v>
      </c>
    </row>
    <row r="495" spans="1:72" x14ac:dyDescent="0.15">
      <c r="A495" t="s">
        <v>72</v>
      </c>
      <c r="B495" t="s">
        <v>8803</v>
      </c>
      <c r="C495" t="s">
        <v>74</v>
      </c>
      <c r="D495" t="s">
        <v>74</v>
      </c>
      <c r="E495" t="s">
        <v>74</v>
      </c>
      <c r="F495" t="s">
        <v>8804</v>
      </c>
      <c r="G495" t="s">
        <v>74</v>
      </c>
      <c r="H495" t="s">
        <v>74</v>
      </c>
      <c r="I495" t="s">
        <v>8805</v>
      </c>
      <c r="J495" t="s">
        <v>8806</v>
      </c>
      <c r="K495" t="s">
        <v>74</v>
      </c>
      <c r="L495" t="s">
        <v>74</v>
      </c>
      <c r="M495" t="s">
        <v>78</v>
      </c>
      <c r="N495" t="s">
        <v>79</v>
      </c>
      <c r="O495" t="s">
        <v>74</v>
      </c>
      <c r="P495" t="s">
        <v>74</v>
      </c>
      <c r="Q495" t="s">
        <v>74</v>
      </c>
      <c r="R495" t="s">
        <v>74</v>
      </c>
      <c r="S495" t="s">
        <v>74</v>
      </c>
      <c r="T495" t="s">
        <v>8807</v>
      </c>
      <c r="U495" t="s">
        <v>8808</v>
      </c>
      <c r="V495" t="s">
        <v>8809</v>
      </c>
      <c r="W495" t="s">
        <v>8810</v>
      </c>
      <c r="X495" t="s">
        <v>8811</v>
      </c>
      <c r="Y495" t="s">
        <v>8812</v>
      </c>
      <c r="Z495" t="s">
        <v>8813</v>
      </c>
      <c r="AA495" t="s">
        <v>8814</v>
      </c>
      <c r="AB495" t="s">
        <v>8815</v>
      </c>
      <c r="AC495" t="s">
        <v>8816</v>
      </c>
      <c r="AD495" t="s">
        <v>8817</v>
      </c>
      <c r="AE495" t="s">
        <v>8818</v>
      </c>
      <c r="AF495" t="s">
        <v>74</v>
      </c>
      <c r="AG495">
        <v>41</v>
      </c>
      <c r="AH495">
        <v>11</v>
      </c>
      <c r="AI495">
        <v>12</v>
      </c>
      <c r="AJ495">
        <v>1</v>
      </c>
      <c r="AK495">
        <v>2</v>
      </c>
      <c r="AL495" t="s">
        <v>8760</v>
      </c>
      <c r="AM495" t="s">
        <v>8761</v>
      </c>
      <c r="AN495" t="s">
        <v>8762</v>
      </c>
      <c r="AO495" t="s">
        <v>74</v>
      </c>
      <c r="AP495" t="s">
        <v>8819</v>
      </c>
      <c r="AQ495" t="s">
        <v>74</v>
      </c>
      <c r="AR495" t="s">
        <v>8820</v>
      </c>
      <c r="AS495" t="s">
        <v>8821</v>
      </c>
      <c r="AT495" t="s">
        <v>74</v>
      </c>
      <c r="AU495">
        <v>2011</v>
      </c>
      <c r="AV495">
        <v>5</v>
      </c>
      <c r="AW495" t="s">
        <v>74</v>
      </c>
      <c r="AX495" t="s">
        <v>74</v>
      </c>
      <c r="AY495" t="s">
        <v>74</v>
      </c>
      <c r="AZ495" t="s">
        <v>74</v>
      </c>
      <c r="BA495" t="s">
        <v>74</v>
      </c>
      <c r="BB495" t="s">
        <v>74</v>
      </c>
      <c r="BC495" t="s">
        <v>74</v>
      </c>
      <c r="BD495">
        <v>75</v>
      </c>
      <c r="BE495" t="s">
        <v>8822</v>
      </c>
      <c r="BF495" t="str">
        <f>HYPERLINK("http://dx.doi.org/10.3389/fnsys.2011.00075","http://dx.doi.org/10.3389/fnsys.2011.00075")</f>
        <v>http://dx.doi.org/10.3389/fnsys.2011.00075</v>
      </c>
      <c r="BG495" t="s">
        <v>74</v>
      </c>
      <c r="BH495" t="s">
        <v>74</v>
      </c>
      <c r="BI495">
        <v>12</v>
      </c>
      <c r="BJ495" t="s">
        <v>8823</v>
      </c>
      <c r="BK495" t="s">
        <v>6441</v>
      </c>
      <c r="BL495" t="s">
        <v>8824</v>
      </c>
      <c r="BM495" t="s">
        <v>8825</v>
      </c>
      <c r="BN495">
        <v>22007161</v>
      </c>
      <c r="BO495" t="s">
        <v>8826</v>
      </c>
      <c r="BP495" t="s">
        <v>74</v>
      </c>
      <c r="BQ495" t="s">
        <v>74</v>
      </c>
      <c r="BR495" t="s">
        <v>103</v>
      </c>
      <c r="BS495" t="s">
        <v>8827</v>
      </c>
      <c r="BT495" t="str">
        <f>HYPERLINK("https%3A%2F%2Fwww.webofscience.com%2Fwos%2Fwoscc%2Ffull-record%2FWOS:000214846000075","View Full Record in Web of Science")</f>
        <v>View Full Record in Web of Science</v>
      </c>
    </row>
    <row r="496" spans="1:72" x14ac:dyDescent="0.15">
      <c r="A496" t="s">
        <v>72</v>
      </c>
      <c r="B496" t="s">
        <v>8828</v>
      </c>
      <c r="C496" t="s">
        <v>74</v>
      </c>
      <c r="D496" t="s">
        <v>74</v>
      </c>
      <c r="E496" t="s">
        <v>74</v>
      </c>
      <c r="F496" t="s">
        <v>8829</v>
      </c>
      <c r="G496" t="s">
        <v>74</v>
      </c>
      <c r="H496" t="s">
        <v>74</v>
      </c>
      <c r="I496" t="s">
        <v>8830</v>
      </c>
      <c r="J496" t="s">
        <v>8831</v>
      </c>
      <c r="K496" t="s">
        <v>74</v>
      </c>
      <c r="L496" t="s">
        <v>74</v>
      </c>
      <c r="M496" t="s">
        <v>78</v>
      </c>
      <c r="N496" t="s">
        <v>79</v>
      </c>
      <c r="O496" t="s">
        <v>74</v>
      </c>
      <c r="P496" t="s">
        <v>74</v>
      </c>
      <c r="Q496" t="s">
        <v>74</v>
      </c>
      <c r="R496" t="s">
        <v>74</v>
      </c>
      <c r="S496" t="s">
        <v>74</v>
      </c>
      <c r="T496" t="s">
        <v>8832</v>
      </c>
      <c r="U496" t="s">
        <v>8833</v>
      </c>
      <c r="V496" t="s">
        <v>8834</v>
      </c>
      <c r="W496" t="s">
        <v>8835</v>
      </c>
      <c r="X496" t="s">
        <v>8836</v>
      </c>
      <c r="Y496" t="s">
        <v>8837</v>
      </c>
      <c r="Z496" t="s">
        <v>8838</v>
      </c>
      <c r="AA496" t="s">
        <v>8839</v>
      </c>
      <c r="AB496" t="s">
        <v>8840</v>
      </c>
      <c r="AC496" t="s">
        <v>8841</v>
      </c>
      <c r="AD496" t="s">
        <v>8842</v>
      </c>
      <c r="AE496" t="s">
        <v>8843</v>
      </c>
      <c r="AF496" t="s">
        <v>74</v>
      </c>
      <c r="AG496">
        <v>35</v>
      </c>
      <c r="AH496">
        <v>11</v>
      </c>
      <c r="AI496">
        <v>16</v>
      </c>
      <c r="AJ496">
        <v>3</v>
      </c>
      <c r="AK496">
        <v>47</v>
      </c>
      <c r="AL496" t="s">
        <v>3995</v>
      </c>
      <c r="AM496" t="s">
        <v>3996</v>
      </c>
      <c r="AN496" t="s">
        <v>3997</v>
      </c>
      <c r="AO496" t="s">
        <v>8844</v>
      </c>
      <c r="AP496" t="s">
        <v>74</v>
      </c>
      <c r="AQ496" t="s">
        <v>74</v>
      </c>
      <c r="AR496" t="s">
        <v>8845</v>
      </c>
      <c r="AS496" t="s">
        <v>8846</v>
      </c>
      <c r="AT496" t="s">
        <v>74</v>
      </c>
      <c r="AU496">
        <v>2011</v>
      </c>
      <c r="AV496">
        <v>38</v>
      </c>
      <c r="AW496">
        <v>1</v>
      </c>
      <c r="AX496" t="s">
        <v>74</v>
      </c>
      <c r="AY496" t="s">
        <v>74</v>
      </c>
      <c r="AZ496" t="s">
        <v>74</v>
      </c>
      <c r="BA496" t="s">
        <v>74</v>
      </c>
      <c r="BB496">
        <v>54</v>
      </c>
      <c r="BC496">
        <v>62</v>
      </c>
      <c r="BD496" t="s">
        <v>74</v>
      </c>
      <c r="BE496" t="s">
        <v>8847</v>
      </c>
      <c r="BF496" t="str">
        <f>HYPERLINK("http://dx.doi.org/10.1071/FP10023","http://dx.doi.org/10.1071/FP10023")</f>
        <v>http://dx.doi.org/10.1071/FP10023</v>
      </c>
      <c r="BG496" t="s">
        <v>74</v>
      </c>
      <c r="BH496" t="s">
        <v>74</v>
      </c>
      <c r="BI496">
        <v>9</v>
      </c>
      <c r="BJ496" t="s">
        <v>3611</v>
      </c>
      <c r="BK496" t="s">
        <v>100</v>
      </c>
      <c r="BL496" t="s">
        <v>3611</v>
      </c>
      <c r="BM496" t="s">
        <v>8848</v>
      </c>
      <c r="BN496">
        <v>32480862</v>
      </c>
      <c r="BO496" t="s">
        <v>74</v>
      </c>
      <c r="BP496" t="s">
        <v>74</v>
      </c>
      <c r="BQ496" t="s">
        <v>74</v>
      </c>
      <c r="BR496" t="s">
        <v>103</v>
      </c>
      <c r="BS496" t="s">
        <v>8849</v>
      </c>
      <c r="BT496" t="str">
        <f>HYPERLINK("https%3A%2F%2Fwww.webofscience.com%2Fwos%2Fwoscc%2Ffull-record%2FWOS:000285392500006","View Full Record in Web of Science")</f>
        <v>View Full Record in Web of Science</v>
      </c>
    </row>
    <row r="497" spans="1:72" x14ac:dyDescent="0.15">
      <c r="A497" t="s">
        <v>2363</v>
      </c>
      <c r="B497" t="s">
        <v>8850</v>
      </c>
      <c r="C497" t="s">
        <v>74</v>
      </c>
      <c r="D497" t="s">
        <v>74</v>
      </c>
      <c r="E497" t="s">
        <v>8851</v>
      </c>
      <c r="F497" t="s">
        <v>8852</v>
      </c>
      <c r="G497" t="s">
        <v>74</v>
      </c>
      <c r="H497" t="s">
        <v>74</v>
      </c>
      <c r="I497" t="s">
        <v>8853</v>
      </c>
      <c r="J497" t="s">
        <v>8854</v>
      </c>
      <c r="K497" t="s">
        <v>74</v>
      </c>
      <c r="L497" t="s">
        <v>74</v>
      </c>
      <c r="M497" t="s">
        <v>78</v>
      </c>
      <c r="N497" t="s">
        <v>2370</v>
      </c>
      <c r="O497" t="s">
        <v>74</v>
      </c>
      <c r="P497" t="s">
        <v>74</v>
      </c>
      <c r="Q497" t="s">
        <v>74</v>
      </c>
      <c r="R497" t="s">
        <v>74</v>
      </c>
      <c r="S497" t="s">
        <v>74</v>
      </c>
      <c r="T497" t="s">
        <v>74</v>
      </c>
      <c r="U497" t="s">
        <v>74</v>
      </c>
      <c r="V497" t="s">
        <v>74</v>
      </c>
      <c r="W497" t="s">
        <v>74</v>
      </c>
      <c r="X497" t="s">
        <v>74</v>
      </c>
      <c r="Y497" t="s">
        <v>74</v>
      </c>
      <c r="Z497" t="s">
        <v>74</v>
      </c>
      <c r="AA497" t="s">
        <v>74</v>
      </c>
      <c r="AB497" t="s">
        <v>74</v>
      </c>
      <c r="AC497" t="s">
        <v>74</v>
      </c>
      <c r="AD497" t="s">
        <v>74</v>
      </c>
      <c r="AE497" t="s">
        <v>74</v>
      </c>
      <c r="AF497" t="s">
        <v>74</v>
      </c>
      <c r="AG497">
        <v>0</v>
      </c>
      <c r="AH497">
        <v>0</v>
      </c>
      <c r="AI497">
        <v>0</v>
      </c>
      <c r="AJ497">
        <v>0</v>
      </c>
      <c r="AK497">
        <v>0</v>
      </c>
      <c r="AL497" t="s">
        <v>8855</v>
      </c>
      <c r="AM497" t="s">
        <v>241</v>
      </c>
      <c r="AN497" t="s">
        <v>8856</v>
      </c>
      <c r="AO497" t="s">
        <v>74</v>
      </c>
      <c r="AP497" t="s">
        <v>74</v>
      </c>
      <c r="AQ497" t="s">
        <v>8857</v>
      </c>
      <c r="AR497" t="s">
        <v>74</v>
      </c>
      <c r="AS497" t="s">
        <v>74</v>
      </c>
      <c r="AT497" t="s">
        <v>74</v>
      </c>
      <c r="AU497">
        <v>2011</v>
      </c>
      <c r="AV497" t="s">
        <v>74</v>
      </c>
      <c r="AW497" t="s">
        <v>74</v>
      </c>
      <c r="AX497" t="s">
        <v>74</v>
      </c>
      <c r="AY497" t="s">
        <v>74</v>
      </c>
      <c r="AZ497" t="s">
        <v>74</v>
      </c>
      <c r="BA497" t="s">
        <v>74</v>
      </c>
      <c r="BB497">
        <v>145</v>
      </c>
      <c r="BC497">
        <v>150</v>
      </c>
      <c r="BD497" t="s">
        <v>74</v>
      </c>
      <c r="BE497" t="s">
        <v>74</v>
      </c>
      <c r="BF497" t="s">
        <v>74</v>
      </c>
      <c r="BG497" t="s">
        <v>74</v>
      </c>
      <c r="BH497" t="s">
        <v>74</v>
      </c>
      <c r="BI497">
        <v>6</v>
      </c>
      <c r="BJ497" t="s">
        <v>4121</v>
      </c>
      <c r="BK497" t="s">
        <v>2384</v>
      </c>
      <c r="BL497" t="s">
        <v>822</v>
      </c>
      <c r="BM497" t="s">
        <v>8858</v>
      </c>
      <c r="BN497" t="s">
        <v>74</v>
      </c>
      <c r="BO497" t="s">
        <v>74</v>
      </c>
      <c r="BP497" t="s">
        <v>74</v>
      </c>
      <c r="BQ497" t="s">
        <v>74</v>
      </c>
      <c r="BR497" t="s">
        <v>103</v>
      </c>
      <c r="BS497" t="s">
        <v>8859</v>
      </c>
      <c r="BT497" t="str">
        <f>HYPERLINK("https%3A%2F%2Fwww.webofscience.com%2Fwos%2Fwoscc%2Ffull-record%2FWOS:000354886000007","View Full Record in Web of Science")</f>
        <v>View Full Record in Web of Science</v>
      </c>
    </row>
    <row r="498" spans="1:72" x14ac:dyDescent="0.15">
      <c r="A498" t="s">
        <v>2363</v>
      </c>
      <c r="B498" t="s">
        <v>8850</v>
      </c>
      <c r="C498" t="s">
        <v>74</v>
      </c>
      <c r="D498" t="s">
        <v>74</v>
      </c>
      <c r="E498" t="s">
        <v>8851</v>
      </c>
      <c r="F498" t="s">
        <v>8852</v>
      </c>
      <c r="G498" t="s">
        <v>74</v>
      </c>
      <c r="H498" t="s">
        <v>74</v>
      </c>
      <c r="I498" t="s">
        <v>8860</v>
      </c>
      <c r="J498" t="s">
        <v>8854</v>
      </c>
      <c r="K498" t="s">
        <v>74</v>
      </c>
      <c r="L498" t="s">
        <v>74</v>
      </c>
      <c r="M498" t="s">
        <v>78</v>
      </c>
      <c r="N498" t="s">
        <v>2370</v>
      </c>
      <c r="O498" t="s">
        <v>74</v>
      </c>
      <c r="P498" t="s">
        <v>74</v>
      </c>
      <c r="Q498" t="s">
        <v>74</v>
      </c>
      <c r="R498" t="s">
        <v>74</v>
      </c>
      <c r="S498" t="s">
        <v>74</v>
      </c>
      <c r="T498" t="s">
        <v>74</v>
      </c>
      <c r="U498" t="s">
        <v>74</v>
      </c>
      <c r="V498" t="s">
        <v>74</v>
      </c>
      <c r="W498" t="s">
        <v>74</v>
      </c>
      <c r="X498" t="s">
        <v>74</v>
      </c>
      <c r="Y498" t="s">
        <v>74</v>
      </c>
      <c r="Z498" t="s">
        <v>74</v>
      </c>
      <c r="AA498" t="s">
        <v>74</v>
      </c>
      <c r="AB498" t="s">
        <v>74</v>
      </c>
      <c r="AC498" t="s">
        <v>74</v>
      </c>
      <c r="AD498" t="s">
        <v>74</v>
      </c>
      <c r="AE498" t="s">
        <v>74</v>
      </c>
      <c r="AF498" t="s">
        <v>74</v>
      </c>
      <c r="AG498">
        <v>0</v>
      </c>
      <c r="AH498">
        <v>0</v>
      </c>
      <c r="AI498">
        <v>0</v>
      </c>
      <c r="AJ498">
        <v>0</v>
      </c>
      <c r="AK498">
        <v>0</v>
      </c>
      <c r="AL498" t="s">
        <v>8855</v>
      </c>
      <c r="AM498" t="s">
        <v>241</v>
      </c>
      <c r="AN498" t="s">
        <v>8856</v>
      </c>
      <c r="AO498" t="s">
        <v>74</v>
      </c>
      <c r="AP498" t="s">
        <v>74</v>
      </c>
      <c r="AQ498" t="s">
        <v>8857</v>
      </c>
      <c r="AR498" t="s">
        <v>74</v>
      </c>
      <c r="AS498" t="s">
        <v>74</v>
      </c>
      <c r="AT498" t="s">
        <v>74</v>
      </c>
      <c r="AU498">
        <v>2011</v>
      </c>
      <c r="AV498" t="s">
        <v>74</v>
      </c>
      <c r="AW498" t="s">
        <v>74</v>
      </c>
      <c r="AX498" t="s">
        <v>74</v>
      </c>
      <c r="AY498" t="s">
        <v>74</v>
      </c>
      <c r="AZ498" t="s">
        <v>74</v>
      </c>
      <c r="BA498" t="s">
        <v>74</v>
      </c>
      <c r="BB498">
        <v>169</v>
      </c>
      <c r="BC498">
        <v>175</v>
      </c>
      <c r="BD498" t="s">
        <v>74</v>
      </c>
      <c r="BE498" t="s">
        <v>74</v>
      </c>
      <c r="BF498" t="s">
        <v>74</v>
      </c>
      <c r="BG498" t="s">
        <v>74</v>
      </c>
      <c r="BH498" t="s">
        <v>74</v>
      </c>
      <c r="BI498">
        <v>7</v>
      </c>
      <c r="BJ498" t="s">
        <v>4121</v>
      </c>
      <c r="BK498" t="s">
        <v>2384</v>
      </c>
      <c r="BL498" t="s">
        <v>822</v>
      </c>
      <c r="BM498" t="s">
        <v>8858</v>
      </c>
      <c r="BN498" t="s">
        <v>74</v>
      </c>
      <c r="BO498" t="s">
        <v>74</v>
      </c>
      <c r="BP498" t="s">
        <v>74</v>
      </c>
      <c r="BQ498" t="s">
        <v>74</v>
      </c>
      <c r="BR498" t="s">
        <v>103</v>
      </c>
      <c r="BS498" t="s">
        <v>8861</v>
      </c>
      <c r="BT498" t="str">
        <f>HYPERLINK("https%3A%2F%2Fwww.webofscience.com%2Fwos%2Fwoscc%2Ffull-record%2FWOS:000354886000010","View Full Record in Web of Science")</f>
        <v>View Full Record in Web of Science</v>
      </c>
    </row>
    <row r="499" spans="1:72" x14ac:dyDescent="0.15">
      <c r="A499" t="s">
        <v>2363</v>
      </c>
      <c r="B499" t="s">
        <v>8850</v>
      </c>
      <c r="C499" t="s">
        <v>74</v>
      </c>
      <c r="D499" t="s">
        <v>74</v>
      </c>
      <c r="E499" t="s">
        <v>8851</v>
      </c>
      <c r="F499" t="s">
        <v>8852</v>
      </c>
      <c r="G499" t="s">
        <v>74</v>
      </c>
      <c r="H499" t="s">
        <v>74</v>
      </c>
      <c r="I499" t="s">
        <v>8862</v>
      </c>
      <c r="J499" t="s">
        <v>8854</v>
      </c>
      <c r="K499" t="s">
        <v>74</v>
      </c>
      <c r="L499" t="s">
        <v>74</v>
      </c>
      <c r="M499" t="s">
        <v>78</v>
      </c>
      <c r="N499" t="s">
        <v>2370</v>
      </c>
      <c r="O499" t="s">
        <v>74</v>
      </c>
      <c r="P499" t="s">
        <v>74</v>
      </c>
      <c r="Q499" t="s">
        <v>74</v>
      </c>
      <c r="R499" t="s">
        <v>74</v>
      </c>
      <c r="S499" t="s">
        <v>74</v>
      </c>
      <c r="T499" t="s">
        <v>74</v>
      </c>
      <c r="U499" t="s">
        <v>74</v>
      </c>
      <c r="V499" t="s">
        <v>74</v>
      </c>
      <c r="W499" t="s">
        <v>74</v>
      </c>
      <c r="X499" t="s">
        <v>74</v>
      </c>
      <c r="Y499" t="s">
        <v>74</v>
      </c>
      <c r="Z499" t="s">
        <v>74</v>
      </c>
      <c r="AA499" t="s">
        <v>74</v>
      </c>
      <c r="AB499" t="s">
        <v>74</v>
      </c>
      <c r="AC499" t="s">
        <v>74</v>
      </c>
      <c r="AD499" t="s">
        <v>74</v>
      </c>
      <c r="AE499" t="s">
        <v>74</v>
      </c>
      <c r="AF499" t="s">
        <v>74</v>
      </c>
      <c r="AG499">
        <v>0</v>
      </c>
      <c r="AH499">
        <v>0</v>
      </c>
      <c r="AI499">
        <v>0</v>
      </c>
      <c r="AJ499">
        <v>0</v>
      </c>
      <c r="AK499">
        <v>0</v>
      </c>
      <c r="AL499" t="s">
        <v>8855</v>
      </c>
      <c r="AM499" t="s">
        <v>241</v>
      </c>
      <c r="AN499" t="s">
        <v>8856</v>
      </c>
      <c r="AO499" t="s">
        <v>74</v>
      </c>
      <c r="AP499" t="s">
        <v>74</v>
      </c>
      <c r="AQ499" t="s">
        <v>8857</v>
      </c>
      <c r="AR499" t="s">
        <v>74</v>
      </c>
      <c r="AS499" t="s">
        <v>74</v>
      </c>
      <c r="AT499" t="s">
        <v>74</v>
      </c>
      <c r="AU499">
        <v>2011</v>
      </c>
      <c r="AV499" t="s">
        <v>74</v>
      </c>
      <c r="AW499" t="s">
        <v>74</v>
      </c>
      <c r="AX499" t="s">
        <v>74</v>
      </c>
      <c r="AY499" t="s">
        <v>74</v>
      </c>
      <c r="AZ499" t="s">
        <v>74</v>
      </c>
      <c r="BA499" t="s">
        <v>74</v>
      </c>
      <c r="BB499">
        <v>183</v>
      </c>
      <c r="BC499">
        <v>186</v>
      </c>
      <c r="BD499" t="s">
        <v>74</v>
      </c>
      <c r="BE499" t="s">
        <v>74</v>
      </c>
      <c r="BF499" t="s">
        <v>74</v>
      </c>
      <c r="BG499" t="s">
        <v>74</v>
      </c>
      <c r="BH499" t="s">
        <v>74</v>
      </c>
      <c r="BI499">
        <v>4</v>
      </c>
      <c r="BJ499" t="s">
        <v>4121</v>
      </c>
      <c r="BK499" t="s">
        <v>2384</v>
      </c>
      <c r="BL499" t="s">
        <v>822</v>
      </c>
      <c r="BM499" t="s">
        <v>8858</v>
      </c>
      <c r="BN499" t="s">
        <v>74</v>
      </c>
      <c r="BO499" t="s">
        <v>74</v>
      </c>
      <c r="BP499" t="s">
        <v>74</v>
      </c>
      <c r="BQ499" t="s">
        <v>74</v>
      </c>
      <c r="BR499" t="s">
        <v>103</v>
      </c>
      <c r="BS499" t="s">
        <v>8863</v>
      </c>
      <c r="BT499" t="str">
        <f>HYPERLINK("https%3A%2F%2Fwww.webofscience.com%2Fwos%2Fwoscc%2Ffull-record%2FWOS:000354886000012","View Full Record in Web of Science")</f>
        <v>View Full Record in Web of Science</v>
      </c>
    </row>
    <row r="500" spans="1:72" x14ac:dyDescent="0.15">
      <c r="A500" t="s">
        <v>72</v>
      </c>
      <c r="B500" t="s">
        <v>8864</v>
      </c>
      <c r="C500" t="s">
        <v>74</v>
      </c>
      <c r="D500" t="s">
        <v>74</v>
      </c>
      <c r="E500" t="s">
        <v>74</v>
      </c>
      <c r="F500" t="s">
        <v>8865</v>
      </c>
      <c r="G500" t="s">
        <v>74</v>
      </c>
      <c r="H500" t="s">
        <v>74</v>
      </c>
      <c r="I500" t="s">
        <v>8866</v>
      </c>
      <c r="J500" t="s">
        <v>8867</v>
      </c>
      <c r="K500" t="s">
        <v>74</v>
      </c>
      <c r="L500" t="s">
        <v>74</v>
      </c>
      <c r="M500" t="s">
        <v>78</v>
      </c>
      <c r="N500" t="s">
        <v>79</v>
      </c>
      <c r="O500" t="s">
        <v>74</v>
      </c>
      <c r="P500" t="s">
        <v>74</v>
      </c>
      <c r="Q500" t="s">
        <v>74</v>
      </c>
      <c r="R500" t="s">
        <v>74</v>
      </c>
      <c r="S500" t="s">
        <v>74</v>
      </c>
      <c r="T500" t="s">
        <v>8868</v>
      </c>
      <c r="U500" t="s">
        <v>8869</v>
      </c>
      <c r="V500" t="s">
        <v>8870</v>
      </c>
      <c r="W500" t="s">
        <v>8871</v>
      </c>
      <c r="X500" t="s">
        <v>8872</v>
      </c>
      <c r="Y500" t="s">
        <v>8873</v>
      </c>
      <c r="Z500" t="s">
        <v>8874</v>
      </c>
      <c r="AA500" t="s">
        <v>74</v>
      </c>
      <c r="AB500" t="s">
        <v>8875</v>
      </c>
      <c r="AC500" t="s">
        <v>8876</v>
      </c>
      <c r="AD500" t="s">
        <v>8877</v>
      </c>
      <c r="AE500" t="s">
        <v>8878</v>
      </c>
      <c r="AF500" t="s">
        <v>74</v>
      </c>
      <c r="AG500">
        <v>44</v>
      </c>
      <c r="AH500">
        <v>60</v>
      </c>
      <c r="AI500">
        <v>62</v>
      </c>
      <c r="AJ500">
        <v>0</v>
      </c>
      <c r="AK500">
        <v>5</v>
      </c>
      <c r="AL500" t="s">
        <v>474</v>
      </c>
      <c r="AM500" t="s">
        <v>475</v>
      </c>
      <c r="AN500" t="s">
        <v>476</v>
      </c>
      <c r="AO500" t="s">
        <v>8879</v>
      </c>
      <c r="AP500" t="s">
        <v>8880</v>
      </c>
      <c r="AQ500" t="s">
        <v>74</v>
      </c>
      <c r="AR500" t="s">
        <v>8881</v>
      </c>
      <c r="AS500" t="s">
        <v>8882</v>
      </c>
      <c r="AT500" t="s">
        <v>74</v>
      </c>
      <c r="AU500">
        <v>2011</v>
      </c>
      <c r="AV500">
        <v>26</v>
      </c>
      <c r="AW500">
        <v>7</v>
      </c>
      <c r="AX500" t="s">
        <v>74</v>
      </c>
      <c r="AY500" t="s">
        <v>74</v>
      </c>
      <c r="AZ500" t="s">
        <v>74</v>
      </c>
      <c r="BA500" t="s">
        <v>74</v>
      </c>
      <c r="BB500">
        <v>569</v>
      </c>
      <c r="BC500">
        <v>592</v>
      </c>
      <c r="BD500" t="s">
        <v>74</v>
      </c>
      <c r="BE500" t="s">
        <v>8883</v>
      </c>
      <c r="BF500" t="str">
        <f>HYPERLINK("http://dx.doi.org/10.1080/10106049.2011.606925","http://dx.doi.org/10.1080/10106049.2011.606925")</f>
        <v>http://dx.doi.org/10.1080/10106049.2011.606925</v>
      </c>
      <c r="BG500" t="s">
        <v>74</v>
      </c>
      <c r="BH500" t="s">
        <v>74</v>
      </c>
      <c r="BI500">
        <v>24</v>
      </c>
      <c r="BJ500" t="s">
        <v>8884</v>
      </c>
      <c r="BK500" t="s">
        <v>100</v>
      </c>
      <c r="BL500" t="s">
        <v>8885</v>
      </c>
      <c r="BM500" t="s">
        <v>8886</v>
      </c>
      <c r="BN500" t="s">
        <v>74</v>
      </c>
      <c r="BO500" t="s">
        <v>74</v>
      </c>
      <c r="BP500" t="s">
        <v>74</v>
      </c>
      <c r="BQ500" t="s">
        <v>74</v>
      </c>
      <c r="BR500" t="s">
        <v>103</v>
      </c>
      <c r="BS500" t="s">
        <v>8887</v>
      </c>
      <c r="BT500" t="str">
        <f>HYPERLINK("https%3A%2F%2Fwww.webofscience.com%2Fwos%2Fwoscc%2Ffull-record%2FWOS:000208631800006","View Full Record in Web of Science")</f>
        <v>View Full Record in Web of Science</v>
      </c>
    </row>
    <row r="501" spans="1:72" x14ac:dyDescent="0.15">
      <c r="A501" t="s">
        <v>72</v>
      </c>
      <c r="B501" t="s">
        <v>8888</v>
      </c>
      <c r="C501" t="s">
        <v>74</v>
      </c>
      <c r="D501" t="s">
        <v>74</v>
      </c>
      <c r="E501" t="s">
        <v>74</v>
      </c>
      <c r="F501" t="s">
        <v>8889</v>
      </c>
      <c r="G501" t="s">
        <v>74</v>
      </c>
      <c r="H501" t="s">
        <v>74</v>
      </c>
      <c r="I501" t="s">
        <v>8890</v>
      </c>
      <c r="J501" t="s">
        <v>8891</v>
      </c>
      <c r="K501" t="s">
        <v>74</v>
      </c>
      <c r="L501" t="s">
        <v>74</v>
      </c>
      <c r="M501" t="s">
        <v>78</v>
      </c>
      <c r="N501" t="s">
        <v>79</v>
      </c>
      <c r="O501" t="s">
        <v>74</v>
      </c>
      <c r="P501" t="s">
        <v>74</v>
      </c>
      <c r="Q501" t="s">
        <v>74</v>
      </c>
      <c r="R501" t="s">
        <v>74</v>
      </c>
      <c r="S501" t="s">
        <v>74</v>
      </c>
      <c r="T501" t="s">
        <v>8892</v>
      </c>
      <c r="U501" t="s">
        <v>8893</v>
      </c>
      <c r="V501" t="s">
        <v>8894</v>
      </c>
      <c r="W501" t="s">
        <v>8895</v>
      </c>
      <c r="X501" t="s">
        <v>262</v>
      </c>
      <c r="Y501" t="s">
        <v>1086</v>
      </c>
      <c r="Z501" t="s">
        <v>1087</v>
      </c>
      <c r="AA501" t="s">
        <v>74</v>
      </c>
      <c r="AB501" t="s">
        <v>74</v>
      </c>
      <c r="AC501" t="s">
        <v>8896</v>
      </c>
      <c r="AD501" t="s">
        <v>8897</v>
      </c>
      <c r="AE501" t="s">
        <v>8898</v>
      </c>
      <c r="AF501" t="s">
        <v>74</v>
      </c>
      <c r="AG501">
        <v>48</v>
      </c>
      <c r="AH501">
        <v>13</v>
      </c>
      <c r="AI501">
        <v>15</v>
      </c>
      <c r="AJ501">
        <v>2</v>
      </c>
      <c r="AK501">
        <v>31</v>
      </c>
      <c r="AL501" t="s">
        <v>8899</v>
      </c>
      <c r="AM501" t="s">
        <v>8698</v>
      </c>
      <c r="AN501" t="s">
        <v>8900</v>
      </c>
      <c r="AO501" t="s">
        <v>8901</v>
      </c>
      <c r="AP501" t="s">
        <v>8902</v>
      </c>
      <c r="AQ501" t="s">
        <v>74</v>
      </c>
      <c r="AR501" t="s">
        <v>8903</v>
      </c>
      <c r="AS501" t="s">
        <v>8904</v>
      </c>
      <c r="AT501" t="s">
        <v>74</v>
      </c>
      <c r="AU501">
        <v>2011</v>
      </c>
      <c r="AV501">
        <v>45</v>
      </c>
      <c r="AW501">
        <v>1</v>
      </c>
      <c r="AX501" t="s">
        <v>74</v>
      </c>
      <c r="AY501" t="s">
        <v>74</v>
      </c>
      <c r="AZ501" t="s">
        <v>74</v>
      </c>
      <c r="BA501" t="s">
        <v>74</v>
      </c>
      <c r="BB501">
        <v>15</v>
      </c>
      <c r="BC501">
        <v>26</v>
      </c>
      <c r="BD501" t="s">
        <v>74</v>
      </c>
      <c r="BE501" t="s">
        <v>74</v>
      </c>
      <c r="BF501" t="s">
        <v>74</v>
      </c>
      <c r="BG501" t="s">
        <v>74</v>
      </c>
      <c r="BH501" t="s">
        <v>74</v>
      </c>
      <c r="BI501">
        <v>12</v>
      </c>
      <c r="BJ501" t="s">
        <v>774</v>
      </c>
      <c r="BK501" t="s">
        <v>100</v>
      </c>
      <c r="BL501" t="s">
        <v>774</v>
      </c>
      <c r="BM501" t="s">
        <v>8905</v>
      </c>
      <c r="BN501" t="s">
        <v>74</v>
      </c>
      <c r="BO501" t="s">
        <v>2317</v>
      </c>
      <c r="BP501" t="s">
        <v>74</v>
      </c>
      <c r="BQ501" t="s">
        <v>74</v>
      </c>
      <c r="BR501" t="s">
        <v>103</v>
      </c>
      <c r="BS501" t="s">
        <v>8906</v>
      </c>
      <c r="BT501" t="str">
        <f>HYPERLINK("https%3A%2F%2Fwww.webofscience.com%2Fwos%2Fwoscc%2Ffull-record%2FWOS:000287890800002","View Full Record in Web of Science")</f>
        <v>View Full Record in Web of Science</v>
      </c>
    </row>
    <row r="502" spans="1:72" x14ac:dyDescent="0.15">
      <c r="A502" t="s">
        <v>72</v>
      </c>
      <c r="B502" t="s">
        <v>8907</v>
      </c>
      <c r="C502" t="s">
        <v>74</v>
      </c>
      <c r="D502" t="s">
        <v>74</v>
      </c>
      <c r="E502" t="s">
        <v>74</v>
      </c>
      <c r="F502" t="s">
        <v>8908</v>
      </c>
      <c r="G502" t="s">
        <v>74</v>
      </c>
      <c r="H502" t="s">
        <v>74</v>
      </c>
      <c r="I502" t="s">
        <v>8909</v>
      </c>
      <c r="J502" t="s">
        <v>1884</v>
      </c>
      <c r="K502" t="s">
        <v>74</v>
      </c>
      <c r="L502" t="s">
        <v>74</v>
      </c>
      <c r="M502" t="s">
        <v>78</v>
      </c>
      <c r="N502" t="s">
        <v>79</v>
      </c>
      <c r="O502" t="s">
        <v>74</v>
      </c>
      <c r="P502" t="s">
        <v>74</v>
      </c>
      <c r="Q502" t="s">
        <v>74</v>
      </c>
      <c r="R502" t="s">
        <v>74</v>
      </c>
      <c r="S502" t="s">
        <v>74</v>
      </c>
      <c r="T502" t="s">
        <v>74</v>
      </c>
      <c r="U502" t="s">
        <v>8910</v>
      </c>
      <c r="V502" t="s">
        <v>8911</v>
      </c>
      <c r="W502" t="s">
        <v>8912</v>
      </c>
      <c r="X502" t="s">
        <v>8913</v>
      </c>
      <c r="Y502" t="s">
        <v>8914</v>
      </c>
      <c r="Z502" t="s">
        <v>8915</v>
      </c>
      <c r="AA502" t="s">
        <v>8916</v>
      </c>
      <c r="AB502" t="s">
        <v>8917</v>
      </c>
      <c r="AC502" t="s">
        <v>8918</v>
      </c>
      <c r="AD502" t="s">
        <v>8919</v>
      </c>
      <c r="AE502" t="s">
        <v>8920</v>
      </c>
      <c r="AF502" t="s">
        <v>74</v>
      </c>
      <c r="AG502">
        <v>61</v>
      </c>
      <c r="AH502">
        <v>25</v>
      </c>
      <c r="AI502">
        <v>27</v>
      </c>
      <c r="AJ502">
        <v>1</v>
      </c>
      <c r="AK502">
        <v>23</v>
      </c>
      <c r="AL502" t="s">
        <v>718</v>
      </c>
      <c r="AM502" t="s">
        <v>719</v>
      </c>
      <c r="AN502" t="s">
        <v>720</v>
      </c>
      <c r="AO502" t="s">
        <v>1894</v>
      </c>
      <c r="AP502" t="s">
        <v>1895</v>
      </c>
      <c r="AQ502" t="s">
        <v>74</v>
      </c>
      <c r="AR502" t="s">
        <v>1896</v>
      </c>
      <c r="AS502" t="s">
        <v>1897</v>
      </c>
      <c r="AT502" t="s">
        <v>5196</v>
      </c>
      <c r="AU502">
        <v>2011</v>
      </c>
      <c r="AV502">
        <v>75</v>
      </c>
      <c r="AW502">
        <v>1</v>
      </c>
      <c r="AX502" t="s">
        <v>74</v>
      </c>
      <c r="AY502" t="s">
        <v>74</v>
      </c>
      <c r="AZ502" t="s">
        <v>74</v>
      </c>
      <c r="BA502" t="s">
        <v>74</v>
      </c>
      <c r="BB502">
        <v>1</v>
      </c>
      <c r="BC502">
        <v>20</v>
      </c>
      <c r="BD502" t="s">
        <v>74</v>
      </c>
      <c r="BE502" t="s">
        <v>8921</v>
      </c>
      <c r="BF502" t="str">
        <f>HYPERLINK("http://dx.doi.org/10.1016/j.gca.2010.09.037","http://dx.doi.org/10.1016/j.gca.2010.09.037")</f>
        <v>http://dx.doi.org/10.1016/j.gca.2010.09.037</v>
      </c>
      <c r="BG502" t="s">
        <v>74</v>
      </c>
      <c r="BH502" t="s">
        <v>74</v>
      </c>
      <c r="BI502">
        <v>20</v>
      </c>
      <c r="BJ502" t="s">
        <v>774</v>
      </c>
      <c r="BK502" t="s">
        <v>100</v>
      </c>
      <c r="BL502" t="s">
        <v>774</v>
      </c>
      <c r="BM502" t="s">
        <v>8922</v>
      </c>
      <c r="BN502" t="s">
        <v>74</v>
      </c>
      <c r="BO502" t="s">
        <v>74</v>
      </c>
      <c r="BP502" t="s">
        <v>74</v>
      </c>
      <c r="BQ502" t="s">
        <v>74</v>
      </c>
      <c r="BR502" t="s">
        <v>103</v>
      </c>
      <c r="BS502" t="s">
        <v>8923</v>
      </c>
      <c r="BT502" t="str">
        <f>HYPERLINK("https%3A%2F%2Fwww.webofscience.com%2Fwos%2Fwoscc%2Ffull-record%2FWOS:000285172600001","View Full Record in Web of Science")</f>
        <v>View Full Record in Web of Science</v>
      </c>
    </row>
    <row r="503" spans="1:72" x14ac:dyDescent="0.15">
      <c r="A503" t="s">
        <v>72</v>
      </c>
      <c r="B503" t="s">
        <v>8924</v>
      </c>
      <c r="C503" t="s">
        <v>74</v>
      </c>
      <c r="D503" t="s">
        <v>74</v>
      </c>
      <c r="E503" t="s">
        <v>74</v>
      </c>
      <c r="F503" t="s">
        <v>8925</v>
      </c>
      <c r="G503" t="s">
        <v>74</v>
      </c>
      <c r="H503" t="s">
        <v>74</v>
      </c>
      <c r="I503" t="s">
        <v>8926</v>
      </c>
      <c r="J503" t="s">
        <v>8927</v>
      </c>
      <c r="K503" t="s">
        <v>74</v>
      </c>
      <c r="L503" t="s">
        <v>74</v>
      </c>
      <c r="M503" t="s">
        <v>8928</v>
      </c>
      <c r="N503" t="s">
        <v>79</v>
      </c>
      <c r="O503" t="s">
        <v>74</v>
      </c>
      <c r="P503" t="s">
        <v>74</v>
      </c>
      <c r="Q503" t="s">
        <v>74</v>
      </c>
      <c r="R503" t="s">
        <v>74</v>
      </c>
      <c r="S503" t="s">
        <v>74</v>
      </c>
      <c r="T503" t="s">
        <v>8929</v>
      </c>
      <c r="U503" t="s">
        <v>74</v>
      </c>
      <c r="V503" t="s">
        <v>8930</v>
      </c>
      <c r="W503" t="s">
        <v>8931</v>
      </c>
      <c r="X503" t="s">
        <v>8932</v>
      </c>
      <c r="Y503" t="s">
        <v>8933</v>
      </c>
      <c r="Z503" t="s">
        <v>74</v>
      </c>
      <c r="AA503" t="s">
        <v>74</v>
      </c>
      <c r="AB503" t="s">
        <v>74</v>
      </c>
      <c r="AC503" t="s">
        <v>74</v>
      </c>
      <c r="AD503" t="s">
        <v>74</v>
      </c>
      <c r="AE503" t="s">
        <v>74</v>
      </c>
      <c r="AF503" t="s">
        <v>74</v>
      </c>
      <c r="AG503">
        <v>1</v>
      </c>
      <c r="AH503">
        <v>0</v>
      </c>
      <c r="AI503">
        <v>0</v>
      </c>
      <c r="AJ503">
        <v>0</v>
      </c>
      <c r="AK503">
        <v>0</v>
      </c>
      <c r="AL503" t="s">
        <v>8934</v>
      </c>
      <c r="AM503" t="s">
        <v>8935</v>
      </c>
      <c r="AN503" t="s">
        <v>8936</v>
      </c>
      <c r="AO503" t="s">
        <v>8937</v>
      </c>
      <c r="AP503" t="s">
        <v>8938</v>
      </c>
      <c r="AQ503" t="s">
        <v>74</v>
      </c>
      <c r="AR503" t="s">
        <v>8927</v>
      </c>
      <c r="AS503" t="s">
        <v>8939</v>
      </c>
      <c r="AT503" t="s">
        <v>74</v>
      </c>
      <c r="AU503">
        <v>2011</v>
      </c>
      <c r="AV503" t="s">
        <v>74</v>
      </c>
      <c r="AW503">
        <v>11</v>
      </c>
      <c r="AX503" t="s">
        <v>74</v>
      </c>
      <c r="AY503" t="s">
        <v>74</v>
      </c>
      <c r="AZ503" t="s">
        <v>74</v>
      </c>
      <c r="BA503" t="s">
        <v>74</v>
      </c>
      <c r="BB503">
        <v>113</v>
      </c>
      <c r="BC503">
        <v>115</v>
      </c>
      <c r="BD503" t="s">
        <v>74</v>
      </c>
      <c r="BE503" t="s">
        <v>74</v>
      </c>
      <c r="BF503" t="s">
        <v>74</v>
      </c>
      <c r="BG503" t="s">
        <v>74</v>
      </c>
      <c r="BH503" t="s">
        <v>74</v>
      </c>
      <c r="BI503">
        <v>3</v>
      </c>
      <c r="BJ503" t="s">
        <v>774</v>
      </c>
      <c r="BK503" t="s">
        <v>6441</v>
      </c>
      <c r="BL503" t="s">
        <v>774</v>
      </c>
      <c r="BM503" t="s">
        <v>8940</v>
      </c>
      <c r="BN503" t="s">
        <v>74</v>
      </c>
      <c r="BO503" t="s">
        <v>74</v>
      </c>
      <c r="BP503" t="s">
        <v>74</v>
      </c>
      <c r="BQ503" t="s">
        <v>74</v>
      </c>
      <c r="BR503" t="s">
        <v>103</v>
      </c>
      <c r="BS503" t="s">
        <v>8941</v>
      </c>
      <c r="BT503" t="str">
        <f>HYPERLINK("https%3A%2F%2Fwww.webofscience.com%2Fwos%2Fwoscc%2Ffull-record%2FWOS:000442196800038","View Full Record in Web of Science")</f>
        <v>View Full Record in Web of Science</v>
      </c>
    </row>
    <row r="504" spans="1:72" x14ac:dyDescent="0.15">
      <c r="A504" t="s">
        <v>72</v>
      </c>
      <c r="B504" t="s">
        <v>8942</v>
      </c>
      <c r="C504" t="s">
        <v>74</v>
      </c>
      <c r="D504" t="s">
        <v>74</v>
      </c>
      <c r="E504" t="s">
        <v>74</v>
      </c>
      <c r="F504" t="s">
        <v>8943</v>
      </c>
      <c r="G504" t="s">
        <v>74</v>
      </c>
      <c r="H504" t="s">
        <v>74</v>
      </c>
      <c r="I504" t="s">
        <v>8944</v>
      </c>
      <c r="J504" t="s">
        <v>8945</v>
      </c>
      <c r="K504" t="s">
        <v>74</v>
      </c>
      <c r="L504" t="s">
        <v>74</v>
      </c>
      <c r="M504" t="s">
        <v>8946</v>
      </c>
      <c r="N504" t="s">
        <v>79</v>
      </c>
      <c r="O504" t="s">
        <v>74</v>
      </c>
      <c r="P504" t="s">
        <v>74</v>
      </c>
      <c r="Q504" t="s">
        <v>74</v>
      </c>
      <c r="R504" t="s">
        <v>74</v>
      </c>
      <c r="S504" t="s">
        <v>74</v>
      </c>
      <c r="T504" t="s">
        <v>74</v>
      </c>
      <c r="U504" t="s">
        <v>74</v>
      </c>
      <c r="V504" t="s">
        <v>8947</v>
      </c>
      <c r="W504" t="s">
        <v>8948</v>
      </c>
      <c r="X504" t="s">
        <v>8949</v>
      </c>
      <c r="Y504" t="s">
        <v>8950</v>
      </c>
      <c r="Z504" t="s">
        <v>74</v>
      </c>
      <c r="AA504" t="s">
        <v>74</v>
      </c>
      <c r="AB504" t="s">
        <v>74</v>
      </c>
      <c r="AC504" t="s">
        <v>74</v>
      </c>
      <c r="AD504" t="s">
        <v>74</v>
      </c>
      <c r="AE504" t="s">
        <v>74</v>
      </c>
      <c r="AF504" t="s">
        <v>74</v>
      </c>
      <c r="AG504">
        <v>16</v>
      </c>
      <c r="AH504">
        <v>0</v>
      </c>
      <c r="AI504">
        <v>0</v>
      </c>
      <c r="AJ504">
        <v>0</v>
      </c>
      <c r="AK504">
        <v>0</v>
      </c>
      <c r="AL504" t="s">
        <v>8951</v>
      </c>
      <c r="AM504" t="s">
        <v>8952</v>
      </c>
      <c r="AN504" t="s">
        <v>8953</v>
      </c>
      <c r="AO504" t="s">
        <v>8954</v>
      </c>
      <c r="AP504" t="s">
        <v>8955</v>
      </c>
      <c r="AQ504" t="s">
        <v>74</v>
      </c>
      <c r="AR504" t="s">
        <v>8956</v>
      </c>
      <c r="AS504" t="s">
        <v>8957</v>
      </c>
      <c r="AT504" t="s">
        <v>74</v>
      </c>
      <c r="AU504">
        <v>2011</v>
      </c>
      <c r="AV504">
        <v>33</v>
      </c>
      <c r="AW504">
        <v>3</v>
      </c>
      <c r="AX504" t="s">
        <v>74</v>
      </c>
      <c r="AY504" t="s">
        <v>74</v>
      </c>
      <c r="AZ504" t="s">
        <v>74</v>
      </c>
      <c r="BA504" t="s">
        <v>74</v>
      </c>
      <c r="BB504">
        <v>119</v>
      </c>
      <c r="BC504">
        <v>127</v>
      </c>
      <c r="BD504" t="s">
        <v>74</v>
      </c>
      <c r="BE504" t="s">
        <v>74</v>
      </c>
      <c r="BF504" t="s">
        <v>74</v>
      </c>
      <c r="BG504" t="s">
        <v>74</v>
      </c>
      <c r="BH504" t="s">
        <v>74</v>
      </c>
      <c r="BI504">
        <v>9</v>
      </c>
      <c r="BJ504" t="s">
        <v>774</v>
      </c>
      <c r="BK504" t="s">
        <v>6441</v>
      </c>
      <c r="BL504" t="s">
        <v>774</v>
      </c>
      <c r="BM504" t="s">
        <v>8958</v>
      </c>
      <c r="BN504" t="s">
        <v>74</v>
      </c>
      <c r="BO504" t="s">
        <v>74</v>
      </c>
      <c r="BP504" t="s">
        <v>74</v>
      </c>
      <c r="BQ504" t="s">
        <v>74</v>
      </c>
      <c r="BR504" t="s">
        <v>103</v>
      </c>
      <c r="BS504" t="s">
        <v>8959</v>
      </c>
      <c r="BT504" t="str">
        <f>HYPERLINK("https%3A%2F%2Fwww.webofscience.com%2Fwos%2Fwoscc%2Ffull-record%2FWOS:000439602200008","View Full Record in Web of Science")</f>
        <v>View Full Record in Web of Science</v>
      </c>
    </row>
    <row r="505" spans="1:72" x14ac:dyDescent="0.15">
      <c r="A505" t="s">
        <v>72</v>
      </c>
      <c r="B505" t="s">
        <v>8960</v>
      </c>
      <c r="C505" t="s">
        <v>74</v>
      </c>
      <c r="D505" t="s">
        <v>74</v>
      </c>
      <c r="E505" t="s">
        <v>74</v>
      </c>
      <c r="F505" t="s">
        <v>8961</v>
      </c>
      <c r="G505" t="s">
        <v>74</v>
      </c>
      <c r="H505" t="s">
        <v>74</v>
      </c>
      <c r="I505" t="s">
        <v>8962</v>
      </c>
      <c r="J505" t="s">
        <v>8945</v>
      </c>
      <c r="K505" t="s">
        <v>74</v>
      </c>
      <c r="L505" t="s">
        <v>74</v>
      </c>
      <c r="M505" t="s">
        <v>8928</v>
      </c>
      <c r="N505" t="s">
        <v>79</v>
      </c>
      <c r="O505" t="s">
        <v>74</v>
      </c>
      <c r="P505" t="s">
        <v>74</v>
      </c>
      <c r="Q505" t="s">
        <v>74</v>
      </c>
      <c r="R505" t="s">
        <v>74</v>
      </c>
      <c r="S505" t="s">
        <v>74</v>
      </c>
      <c r="T505" t="s">
        <v>74</v>
      </c>
      <c r="U505" t="s">
        <v>8963</v>
      </c>
      <c r="V505" t="s">
        <v>8964</v>
      </c>
      <c r="W505" t="s">
        <v>8965</v>
      </c>
      <c r="X505" t="s">
        <v>8932</v>
      </c>
      <c r="Y505" t="s">
        <v>8966</v>
      </c>
      <c r="Z505" t="s">
        <v>74</v>
      </c>
      <c r="AA505" t="s">
        <v>74</v>
      </c>
      <c r="AB505" t="s">
        <v>74</v>
      </c>
      <c r="AC505" t="s">
        <v>74</v>
      </c>
      <c r="AD505" t="s">
        <v>74</v>
      </c>
      <c r="AE505" t="s">
        <v>74</v>
      </c>
      <c r="AF505" t="s">
        <v>74</v>
      </c>
      <c r="AG505">
        <v>22</v>
      </c>
      <c r="AH505">
        <v>0</v>
      </c>
      <c r="AI505">
        <v>0</v>
      </c>
      <c r="AJ505">
        <v>0</v>
      </c>
      <c r="AK505">
        <v>0</v>
      </c>
      <c r="AL505" t="s">
        <v>8951</v>
      </c>
      <c r="AM505" t="s">
        <v>8952</v>
      </c>
      <c r="AN505" t="s">
        <v>8953</v>
      </c>
      <c r="AO505" t="s">
        <v>8954</v>
      </c>
      <c r="AP505" t="s">
        <v>8955</v>
      </c>
      <c r="AQ505" t="s">
        <v>74</v>
      </c>
      <c r="AR505" t="s">
        <v>8956</v>
      </c>
      <c r="AS505" t="s">
        <v>8957</v>
      </c>
      <c r="AT505" t="s">
        <v>74</v>
      </c>
      <c r="AU505">
        <v>2011</v>
      </c>
      <c r="AV505">
        <v>33</v>
      </c>
      <c r="AW505">
        <v>5</v>
      </c>
      <c r="AX505" t="s">
        <v>74</v>
      </c>
      <c r="AY505" t="s">
        <v>74</v>
      </c>
      <c r="AZ505" t="s">
        <v>74</v>
      </c>
      <c r="BA505" t="s">
        <v>74</v>
      </c>
      <c r="BB505">
        <v>134</v>
      </c>
      <c r="BC505">
        <v>138</v>
      </c>
      <c r="BD505" t="s">
        <v>74</v>
      </c>
      <c r="BE505" t="s">
        <v>74</v>
      </c>
      <c r="BF505" t="s">
        <v>74</v>
      </c>
      <c r="BG505" t="s">
        <v>74</v>
      </c>
      <c r="BH505" t="s">
        <v>74</v>
      </c>
      <c r="BI505">
        <v>5</v>
      </c>
      <c r="BJ505" t="s">
        <v>774</v>
      </c>
      <c r="BK505" t="s">
        <v>6441</v>
      </c>
      <c r="BL505" t="s">
        <v>774</v>
      </c>
      <c r="BM505" t="s">
        <v>8967</v>
      </c>
      <c r="BN505" t="s">
        <v>74</v>
      </c>
      <c r="BO505" t="s">
        <v>74</v>
      </c>
      <c r="BP505" t="s">
        <v>74</v>
      </c>
      <c r="BQ505" t="s">
        <v>74</v>
      </c>
      <c r="BR505" t="s">
        <v>103</v>
      </c>
      <c r="BS505" t="s">
        <v>8968</v>
      </c>
      <c r="BT505" t="str">
        <f>HYPERLINK("https%3A%2F%2Fwww.webofscience.com%2Fwos%2Fwoscc%2Ffull-record%2FWOS:000439604600011","View Full Record in Web of Science")</f>
        <v>View Full Record in Web of Science</v>
      </c>
    </row>
    <row r="506" spans="1:72" x14ac:dyDescent="0.15">
      <c r="A506" t="s">
        <v>72</v>
      </c>
      <c r="B506" t="s">
        <v>8969</v>
      </c>
      <c r="C506" t="s">
        <v>74</v>
      </c>
      <c r="D506" t="s">
        <v>74</v>
      </c>
      <c r="E506" t="s">
        <v>74</v>
      </c>
      <c r="F506" t="s">
        <v>8970</v>
      </c>
      <c r="G506" t="s">
        <v>74</v>
      </c>
      <c r="H506" t="s">
        <v>74</v>
      </c>
      <c r="I506" t="s">
        <v>8971</v>
      </c>
      <c r="J506" t="s">
        <v>8945</v>
      </c>
      <c r="K506" t="s">
        <v>74</v>
      </c>
      <c r="L506" t="s">
        <v>74</v>
      </c>
      <c r="M506" t="s">
        <v>8928</v>
      </c>
      <c r="N506" t="s">
        <v>79</v>
      </c>
      <c r="O506" t="s">
        <v>74</v>
      </c>
      <c r="P506" t="s">
        <v>74</v>
      </c>
      <c r="Q506" t="s">
        <v>74</v>
      </c>
      <c r="R506" t="s">
        <v>74</v>
      </c>
      <c r="S506" t="s">
        <v>74</v>
      </c>
      <c r="T506" t="s">
        <v>74</v>
      </c>
      <c r="U506" t="s">
        <v>74</v>
      </c>
      <c r="V506" t="s">
        <v>8972</v>
      </c>
      <c r="W506" t="s">
        <v>8973</v>
      </c>
      <c r="X506" t="s">
        <v>8932</v>
      </c>
      <c r="Y506" t="s">
        <v>8974</v>
      </c>
      <c r="Z506" t="s">
        <v>74</v>
      </c>
      <c r="AA506" t="s">
        <v>74</v>
      </c>
      <c r="AB506" t="s">
        <v>74</v>
      </c>
      <c r="AC506" t="s">
        <v>74</v>
      </c>
      <c r="AD506" t="s">
        <v>74</v>
      </c>
      <c r="AE506" t="s">
        <v>74</v>
      </c>
      <c r="AF506" t="s">
        <v>74</v>
      </c>
      <c r="AG506">
        <v>32</v>
      </c>
      <c r="AH506">
        <v>3</v>
      </c>
      <c r="AI506">
        <v>3</v>
      </c>
      <c r="AJ506">
        <v>0</v>
      </c>
      <c r="AK506">
        <v>0</v>
      </c>
      <c r="AL506" t="s">
        <v>8951</v>
      </c>
      <c r="AM506" t="s">
        <v>8952</v>
      </c>
      <c r="AN506" t="s">
        <v>8953</v>
      </c>
      <c r="AO506" t="s">
        <v>8954</v>
      </c>
      <c r="AP506" t="s">
        <v>8955</v>
      </c>
      <c r="AQ506" t="s">
        <v>74</v>
      </c>
      <c r="AR506" t="s">
        <v>8956</v>
      </c>
      <c r="AS506" t="s">
        <v>8957</v>
      </c>
      <c r="AT506" t="s">
        <v>74</v>
      </c>
      <c r="AU506">
        <v>2011</v>
      </c>
      <c r="AV506">
        <v>33</v>
      </c>
      <c r="AW506">
        <v>4</v>
      </c>
      <c r="AX506" t="s">
        <v>74</v>
      </c>
      <c r="AY506" t="s">
        <v>74</v>
      </c>
      <c r="AZ506" t="s">
        <v>74</v>
      </c>
      <c r="BA506" t="s">
        <v>74</v>
      </c>
      <c r="BB506">
        <v>142</v>
      </c>
      <c r="BC506">
        <v>152</v>
      </c>
      <c r="BD506" t="s">
        <v>74</v>
      </c>
      <c r="BE506" t="s">
        <v>74</v>
      </c>
      <c r="BF506" t="s">
        <v>74</v>
      </c>
      <c r="BG506" t="s">
        <v>74</v>
      </c>
      <c r="BH506" t="s">
        <v>74</v>
      </c>
      <c r="BI506">
        <v>11</v>
      </c>
      <c r="BJ506" t="s">
        <v>774</v>
      </c>
      <c r="BK506" t="s">
        <v>6441</v>
      </c>
      <c r="BL506" t="s">
        <v>774</v>
      </c>
      <c r="BM506" t="s">
        <v>8975</v>
      </c>
      <c r="BN506" t="s">
        <v>74</v>
      </c>
      <c r="BO506" t="s">
        <v>74</v>
      </c>
      <c r="BP506" t="s">
        <v>74</v>
      </c>
      <c r="BQ506" t="s">
        <v>74</v>
      </c>
      <c r="BR506" t="s">
        <v>103</v>
      </c>
      <c r="BS506" t="s">
        <v>8976</v>
      </c>
      <c r="BT506" t="str">
        <f>HYPERLINK("https%3A%2F%2Fwww.webofscience.com%2Fwos%2Fwoscc%2Ffull-record%2FWOS:000439603300011","View Full Record in Web of Science")</f>
        <v>View Full Record in Web of Science</v>
      </c>
    </row>
    <row r="507" spans="1:72" x14ac:dyDescent="0.15">
      <c r="A507" t="s">
        <v>72</v>
      </c>
      <c r="B507" t="s">
        <v>8977</v>
      </c>
      <c r="C507" t="s">
        <v>74</v>
      </c>
      <c r="D507" t="s">
        <v>74</v>
      </c>
      <c r="E507" t="s">
        <v>74</v>
      </c>
      <c r="F507" t="s">
        <v>8978</v>
      </c>
      <c r="G507" t="s">
        <v>74</v>
      </c>
      <c r="H507" t="s">
        <v>74</v>
      </c>
      <c r="I507" t="s">
        <v>8979</v>
      </c>
      <c r="J507" t="s">
        <v>8980</v>
      </c>
      <c r="K507" t="s">
        <v>74</v>
      </c>
      <c r="L507" t="s">
        <v>74</v>
      </c>
      <c r="M507" t="s">
        <v>78</v>
      </c>
      <c r="N507" t="s">
        <v>79</v>
      </c>
      <c r="O507" t="s">
        <v>74</v>
      </c>
      <c r="P507" t="s">
        <v>74</v>
      </c>
      <c r="Q507" t="s">
        <v>74</v>
      </c>
      <c r="R507" t="s">
        <v>74</v>
      </c>
      <c r="S507" t="s">
        <v>74</v>
      </c>
      <c r="T507" t="s">
        <v>8981</v>
      </c>
      <c r="U507" t="s">
        <v>8982</v>
      </c>
      <c r="V507" t="s">
        <v>8983</v>
      </c>
      <c r="W507" t="s">
        <v>8984</v>
      </c>
      <c r="X507" t="s">
        <v>8932</v>
      </c>
      <c r="Y507" t="s">
        <v>8985</v>
      </c>
      <c r="Z507" t="s">
        <v>8986</v>
      </c>
      <c r="AA507" t="s">
        <v>8987</v>
      </c>
      <c r="AB507" t="s">
        <v>8988</v>
      </c>
      <c r="AC507" t="s">
        <v>8989</v>
      </c>
      <c r="AD507" t="s">
        <v>8990</v>
      </c>
      <c r="AE507" t="s">
        <v>8991</v>
      </c>
      <c r="AF507" t="s">
        <v>74</v>
      </c>
      <c r="AG507">
        <v>45</v>
      </c>
      <c r="AH507">
        <v>10</v>
      </c>
      <c r="AI507">
        <v>12</v>
      </c>
      <c r="AJ507">
        <v>0</v>
      </c>
      <c r="AK507">
        <v>6</v>
      </c>
      <c r="AL507" t="s">
        <v>8992</v>
      </c>
      <c r="AM507" t="s">
        <v>4403</v>
      </c>
      <c r="AN507" t="s">
        <v>8993</v>
      </c>
      <c r="AO507" t="s">
        <v>8994</v>
      </c>
      <c r="AP507" t="s">
        <v>74</v>
      </c>
      <c r="AQ507" t="s">
        <v>74</v>
      </c>
      <c r="AR507" t="s">
        <v>8995</v>
      </c>
      <c r="AS507" t="s">
        <v>8996</v>
      </c>
      <c r="AT507" t="s">
        <v>74</v>
      </c>
      <c r="AU507">
        <v>2011</v>
      </c>
      <c r="AV507">
        <v>55</v>
      </c>
      <c r="AW507">
        <v>4</v>
      </c>
      <c r="AX507" t="s">
        <v>74</v>
      </c>
      <c r="AY507" t="s">
        <v>74</v>
      </c>
      <c r="AZ507" t="s">
        <v>74</v>
      </c>
      <c r="BA507" t="s">
        <v>74</v>
      </c>
      <c r="BB507">
        <v>285</v>
      </c>
      <c r="BC507">
        <v>300</v>
      </c>
      <c r="BD507" t="s">
        <v>74</v>
      </c>
      <c r="BE507" t="s">
        <v>74</v>
      </c>
      <c r="BF507" t="s">
        <v>74</v>
      </c>
      <c r="BG507" t="s">
        <v>74</v>
      </c>
      <c r="BH507" t="s">
        <v>74</v>
      </c>
      <c r="BI507">
        <v>16</v>
      </c>
      <c r="BJ507" t="s">
        <v>397</v>
      </c>
      <c r="BK507" t="s">
        <v>100</v>
      </c>
      <c r="BL507" t="s">
        <v>397</v>
      </c>
      <c r="BM507" t="s">
        <v>8997</v>
      </c>
      <c r="BN507" t="s">
        <v>74</v>
      </c>
      <c r="BO507" t="s">
        <v>74</v>
      </c>
      <c r="BP507" t="s">
        <v>74</v>
      </c>
      <c r="BQ507" t="s">
        <v>74</v>
      </c>
      <c r="BR507" t="s">
        <v>103</v>
      </c>
      <c r="BS507" t="s">
        <v>8998</v>
      </c>
      <c r="BT507" t="str">
        <f>HYPERLINK("https%3A%2F%2Fwww.webofscience.com%2Fwos%2Fwoscc%2Ffull-record%2FWOS:000299356500001","View Full Record in Web of Science")</f>
        <v>View Full Record in Web of Science</v>
      </c>
    </row>
    <row r="508" spans="1:72" x14ac:dyDescent="0.15">
      <c r="A508" t="s">
        <v>72</v>
      </c>
      <c r="B508" t="s">
        <v>8999</v>
      </c>
      <c r="C508" t="s">
        <v>74</v>
      </c>
      <c r="D508" t="s">
        <v>74</v>
      </c>
      <c r="E508" t="s">
        <v>74</v>
      </c>
      <c r="F508" t="s">
        <v>9000</v>
      </c>
      <c r="G508" t="s">
        <v>74</v>
      </c>
      <c r="H508" t="s">
        <v>74</v>
      </c>
      <c r="I508" t="s">
        <v>9001</v>
      </c>
      <c r="J508" t="s">
        <v>8980</v>
      </c>
      <c r="K508" t="s">
        <v>74</v>
      </c>
      <c r="L508" t="s">
        <v>74</v>
      </c>
      <c r="M508" t="s">
        <v>78</v>
      </c>
      <c r="N508" t="s">
        <v>79</v>
      </c>
      <c r="O508" t="s">
        <v>74</v>
      </c>
      <c r="P508" t="s">
        <v>74</v>
      </c>
      <c r="Q508" t="s">
        <v>74</v>
      </c>
      <c r="R508" t="s">
        <v>74</v>
      </c>
      <c r="S508" t="s">
        <v>74</v>
      </c>
      <c r="T508" t="s">
        <v>9002</v>
      </c>
      <c r="U508" t="s">
        <v>9003</v>
      </c>
      <c r="V508" t="s">
        <v>9004</v>
      </c>
      <c r="W508" t="s">
        <v>9005</v>
      </c>
      <c r="X508" t="s">
        <v>9006</v>
      </c>
      <c r="Y508" t="s">
        <v>9007</v>
      </c>
      <c r="Z508" t="s">
        <v>9008</v>
      </c>
      <c r="AA508" t="s">
        <v>9009</v>
      </c>
      <c r="AB508" t="s">
        <v>9010</v>
      </c>
      <c r="AC508" t="s">
        <v>9011</v>
      </c>
      <c r="AD508" t="s">
        <v>4377</v>
      </c>
      <c r="AE508" t="s">
        <v>9012</v>
      </c>
      <c r="AF508" t="s">
        <v>74</v>
      </c>
      <c r="AG508">
        <v>37</v>
      </c>
      <c r="AH508">
        <v>15</v>
      </c>
      <c r="AI508">
        <v>17</v>
      </c>
      <c r="AJ508">
        <v>0</v>
      </c>
      <c r="AK508">
        <v>4</v>
      </c>
      <c r="AL508" t="s">
        <v>8992</v>
      </c>
      <c r="AM508" t="s">
        <v>4403</v>
      </c>
      <c r="AN508" t="s">
        <v>8993</v>
      </c>
      <c r="AO508" t="s">
        <v>8994</v>
      </c>
      <c r="AP508" t="s">
        <v>9013</v>
      </c>
      <c r="AQ508" t="s">
        <v>74</v>
      </c>
      <c r="AR508" t="s">
        <v>8995</v>
      </c>
      <c r="AS508" t="s">
        <v>8996</v>
      </c>
      <c r="AT508" t="s">
        <v>74</v>
      </c>
      <c r="AU508">
        <v>2011</v>
      </c>
      <c r="AV508">
        <v>55</v>
      </c>
      <c r="AW508">
        <v>4</v>
      </c>
      <c r="AX508" t="s">
        <v>74</v>
      </c>
      <c r="AY508" t="s">
        <v>74</v>
      </c>
      <c r="AZ508" t="s">
        <v>74</v>
      </c>
      <c r="BA508" t="s">
        <v>74</v>
      </c>
      <c r="BB508">
        <v>301</v>
      </c>
      <c r="BC508">
        <v>322</v>
      </c>
      <c r="BD508" t="s">
        <v>74</v>
      </c>
      <c r="BE508" t="s">
        <v>74</v>
      </c>
      <c r="BF508" t="s">
        <v>74</v>
      </c>
      <c r="BG508" t="s">
        <v>74</v>
      </c>
      <c r="BH508" t="s">
        <v>74</v>
      </c>
      <c r="BI508">
        <v>22</v>
      </c>
      <c r="BJ508" t="s">
        <v>397</v>
      </c>
      <c r="BK508" t="s">
        <v>100</v>
      </c>
      <c r="BL508" t="s">
        <v>397</v>
      </c>
      <c r="BM508" t="s">
        <v>8997</v>
      </c>
      <c r="BN508" t="s">
        <v>74</v>
      </c>
      <c r="BO508" t="s">
        <v>74</v>
      </c>
      <c r="BP508" t="s">
        <v>74</v>
      </c>
      <c r="BQ508" t="s">
        <v>74</v>
      </c>
      <c r="BR508" t="s">
        <v>103</v>
      </c>
      <c r="BS508" t="s">
        <v>9014</v>
      </c>
      <c r="BT508" t="str">
        <f>HYPERLINK("https%3A%2F%2Fwww.webofscience.com%2Fwos%2Fwoscc%2Ffull-record%2FWOS:000299356500002","View Full Record in Web of Science")</f>
        <v>View Full Record in Web of Science</v>
      </c>
    </row>
    <row r="509" spans="1:72" x14ac:dyDescent="0.15">
      <c r="A509" t="s">
        <v>72</v>
      </c>
      <c r="B509" t="s">
        <v>9015</v>
      </c>
      <c r="C509" t="s">
        <v>74</v>
      </c>
      <c r="D509" t="s">
        <v>74</v>
      </c>
      <c r="E509" t="s">
        <v>74</v>
      </c>
      <c r="F509" t="s">
        <v>9016</v>
      </c>
      <c r="G509" t="s">
        <v>74</v>
      </c>
      <c r="H509" t="s">
        <v>74</v>
      </c>
      <c r="I509" t="s">
        <v>9017</v>
      </c>
      <c r="J509" t="s">
        <v>8980</v>
      </c>
      <c r="K509" t="s">
        <v>74</v>
      </c>
      <c r="L509" t="s">
        <v>74</v>
      </c>
      <c r="M509" t="s">
        <v>78</v>
      </c>
      <c r="N509" t="s">
        <v>79</v>
      </c>
      <c r="O509" t="s">
        <v>74</v>
      </c>
      <c r="P509" t="s">
        <v>74</v>
      </c>
      <c r="Q509" t="s">
        <v>74</v>
      </c>
      <c r="R509" t="s">
        <v>74</v>
      </c>
      <c r="S509" t="s">
        <v>74</v>
      </c>
      <c r="T509" t="s">
        <v>9018</v>
      </c>
      <c r="U509" t="s">
        <v>9019</v>
      </c>
      <c r="V509" t="s">
        <v>9020</v>
      </c>
      <c r="W509" t="s">
        <v>9021</v>
      </c>
      <c r="X509" t="s">
        <v>9022</v>
      </c>
      <c r="Y509" t="s">
        <v>9023</v>
      </c>
      <c r="Z509" t="s">
        <v>9024</v>
      </c>
      <c r="AA509" t="s">
        <v>74</v>
      </c>
      <c r="AB509" t="s">
        <v>9025</v>
      </c>
      <c r="AC509" t="s">
        <v>9026</v>
      </c>
      <c r="AD509" t="s">
        <v>4377</v>
      </c>
      <c r="AE509" t="s">
        <v>9027</v>
      </c>
      <c r="AF509" t="s">
        <v>74</v>
      </c>
      <c r="AG509">
        <v>28</v>
      </c>
      <c r="AH509">
        <v>8</v>
      </c>
      <c r="AI509">
        <v>9</v>
      </c>
      <c r="AJ509">
        <v>0</v>
      </c>
      <c r="AK509">
        <v>4</v>
      </c>
      <c r="AL509" t="s">
        <v>8992</v>
      </c>
      <c r="AM509" t="s">
        <v>4403</v>
      </c>
      <c r="AN509" t="s">
        <v>8993</v>
      </c>
      <c r="AO509" t="s">
        <v>8994</v>
      </c>
      <c r="AP509" t="s">
        <v>9013</v>
      </c>
      <c r="AQ509" t="s">
        <v>74</v>
      </c>
      <c r="AR509" t="s">
        <v>8995</v>
      </c>
      <c r="AS509" t="s">
        <v>8996</v>
      </c>
      <c r="AT509" t="s">
        <v>74</v>
      </c>
      <c r="AU509">
        <v>2011</v>
      </c>
      <c r="AV509">
        <v>55</v>
      </c>
      <c r="AW509">
        <v>4</v>
      </c>
      <c r="AX509" t="s">
        <v>74</v>
      </c>
      <c r="AY509" t="s">
        <v>74</v>
      </c>
      <c r="AZ509" t="s">
        <v>74</v>
      </c>
      <c r="BA509" t="s">
        <v>74</v>
      </c>
      <c r="BB509">
        <v>323</v>
      </c>
      <c r="BC509">
        <v>334</v>
      </c>
      <c r="BD509" t="s">
        <v>74</v>
      </c>
      <c r="BE509" t="s">
        <v>74</v>
      </c>
      <c r="BF509" t="s">
        <v>74</v>
      </c>
      <c r="BG509" t="s">
        <v>74</v>
      </c>
      <c r="BH509" t="s">
        <v>74</v>
      </c>
      <c r="BI509">
        <v>12</v>
      </c>
      <c r="BJ509" t="s">
        <v>397</v>
      </c>
      <c r="BK509" t="s">
        <v>100</v>
      </c>
      <c r="BL509" t="s">
        <v>397</v>
      </c>
      <c r="BM509" t="s">
        <v>8997</v>
      </c>
      <c r="BN509" t="s">
        <v>74</v>
      </c>
      <c r="BO509" t="s">
        <v>74</v>
      </c>
      <c r="BP509" t="s">
        <v>74</v>
      </c>
      <c r="BQ509" t="s">
        <v>74</v>
      </c>
      <c r="BR509" t="s">
        <v>103</v>
      </c>
      <c r="BS509" t="s">
        <v>9028</v>
      </c>
      <c r="BT509" t="str">
        <f>HYPERLINK("https%3A%2F%2Fwww.webofscience.com%2Fwos%2Fwoscc%2Ffull-record%2FWOS:000299356500003","View Full Record in Web of Science")</f>
        <v>View Full Record in Web of Science</v>
      </c>
    </row>
    <row r="510" spans="1:72" x14ac:dyDescent="0.15">
      <c r="A510" t="s">
        <v>72</v>
      </c>
      <c r="B510" t="s">
        <v>9015</v>
      </c>
      <c r="C510" t="s">
        <v>74</v>
      </c>
      <c r="D510" t="s">
        <v>74</v>
      </c>
      <c r="E510" t="s">
        <v>74</v>
      </c>
      <c r="F510" t="s">
        <v>9016</v>
      </c>
      <c r="G510" t="s">
        <v>74</v>
      </c>
      <c r="H510" t="s">
        <v>74</v>
      </c>
      <c r="I510" t="s">
        <v>9029</v>
      </c>
      <c r="J510" t="s">
        <v>8980</v>
      </c>
      <c r="K510" t="s">
        <v>74</v>
      </c>
      <c r="L510" t="s">
        <v>74</v>
      </c>
      <c r="M510" t="s">
        <v>78</v>
      </c>
      <c r="N510" t="s">
        <v>79</v>
      </c>
      <c r="O510" t="s">
        <v>74</v>
      </c>
      <c r="P510" t="s">
        <v>74</v>
      </c>
      <c r="Q510" t="s">
        <v>74</v>
      </c>
      <c r="R510" t="s">
        <v>74</v>
      </c>
      <c r="S510" t="s">
        <v>74</v>
      </c>
      <c r="T510" t="s">
        <v>9030</v>
      </c>
      <c r="U510" t="s">
        <v>9031</v>
      </c>
      <c r="V510" t="s">
        <v>9032</v>
      </c>
      <c r="W510" t="s">
        <v>9021</v>
      </c>
      <c r="X510" t="s">
        <v>9022</v>
      </c>
      <c r="Y510" t="s">
        <v>9023</v>
      </c>
      <c r="Z510" t="s">
        <v>9024</v>
      </c>
      <c r="AA510" t="s">
        <v>74</v>
      </c>
      <c r="AB510" t="s">
        <v>9025</v>
      </c>
      <c r="AC510" t="s">
        <v>9026</v>
      </c>
      <c r="AD510" t="s">
        <v>4377</v>
      </c>
      <c r="AE510" t="s">
        <v>9033</v>
      </c>
      <c r="AF510" t="s">
        <v>74</v>
      </c>
      <c r="AG510">
        <v>39</v>
      </c>
      <c r="AH510">
        <v>10</v>
      </c>
      <c r="AI510">
        <v>11</v>
      </c>
      <c r="AJ510">
        <v>1</v>
      </c>
      <c r="AK510">
        <v>5</v>
      </c>
      <c r="AL510" t="s">
        <v>8992</v>
      </c>
      <c r="AM510" t="s">
        <v>4403</v>
      </c>
      <c r="AN510" t="s">
        <v>8993</v>
      </c>
      <c r="AO510" t="s">
        <v>8994</v>
      </c>
      <c r="AP510" t="s">
        <v>9013</v>
      </c>
      <c r="AQ510" t="s">
        <v>74</v>
      </c>
      <c r="AR510" t="s">
        <v>8995</v>
      </c>
      <c r="AS510" t="s">
        <v>8996</v>
      </c>
      <c r="AT510" t="s">
        <v>74</v>
      </c>
      <c r="AU510">
        <v>2011</v>
      </c>
      <c r="AV510">
        <v>55</v>
      </c>
      <c r="AW510">
        <v>4</v>
      </c>
      <c r="AX510" t="s">
        <v>74</v>
      </c>
      <c r="AY510" t="s">
        <v>74</v>
      </c>
      <c r="AZ510" t="s">
        <v>74</v>
      </c>
      <c r="BA510" t="s">
        <v>74</v>
      </c>
      <c r="BB510">
        <v>335</v>
      </c>
      <c r="BC510">
        <v>343</v>
      </c>
      <c r="BD510" t="s">
        <v>74</v>
      </c>
      <c r="BE510" t="s">
        <v>74</v>
      </c>
      <c r="BF510" t="s">
        <v>74</v>
      </c>
      <c r="BG510" t="s">
        <v>74</v>
      </c>
      <c r="BH510" t="s">
        <v>74</v>
      </c>
      <c r="BI510">
        <v>9</v>
      </c>
      <c r="BJ510" t="s">
        <v>397</v>
      </c>
      <c r="BK510" t="s">
        <v>100</v>
      </c>
      <c r="BL510" t="s">
        <v>397</v>
      </c>
      <c r="BM510" t="s">
        <v>8997</v>
      </c>
      <c r="BN510" t="s">
        <v>74</v>
      </c>
      <c r="BO510" t="s">
        <v>74</v>
      </c>
      <c r="BP510" t="s">
        <v>74</v>
      </c>
      <c r="BQ510" t="s">
        <v>74</v>
      </c>
      <c r="BR510" t="s">
        <v>103</v>
      </c>
      <c r="BS510" t="s">
        <v>9034</v>
      </c>
      <c r="BT510" t="str">
        <f>HYPERLINK("https%3A%2F%2Fwww.webofscience.com%2Fwos%2Fwoscc%2Ffull-record%2FWOS:000299356500004","View Full Record in Web of Science")</f>
        <v>View Full Record in Web of Science</v>
      </c>
    </row>
    <row r="511" spans="1:72" x14ac:dyDescent="0.15">
      <c r="A511" t="s">
        <v>72</v>
      </c>
      <c r="B511" t="s">
        <v>9035</v>
      </c>
      <c r="C511" t="s">
        <v>74</v>
      </c>
      <c r="D511" t="s">
        <v>74</v>
      </c>
      <c r="E511" t="s">
        <v>74</v>
      </c>
      <c r="F511" t="s">
        <v>9036</v>
      </c>
      <c r="G511" t="s">
        <v>74</v>
      </c>
      <c r="H511" t="s">
        <v>74</v>
      </c>
      <c r="I511" t="s">
        <v>9037</v>
      </c>
      <c r="J511" t="s">
        <v>8980</v>
      </c>
      <c r="K511" t="s">
        <v>74</v>
      </c>
      <c r="L511" t="s">
        <v>74</v>
      </c>
      <c r="M511" t="s">
        <v>78</v>
      </c>
      <c r="N511" t="s">
        <v>79</v>
      </c>
      <c r="O511" t="s">
        <v>74</v>
      </c>
      <c r="P511" t="s">
        <v>74</v>
      </c>
      <c r="Q511" t="s">
        <v>74</v>
      </c>
      <c r="R511" t="s">
        <v>74</v>
      </c>
      <c r="S511" t="s">
        <v>74</v>
      </c>
      <c r="T511" t="s">
        <v>9038</v>
      </c>
      <c r="U511" t="s">
        <v>9039</v>
      </c>
      <c r="V511" t="s">
        <v>9040</v>
      </c>
      <c r="W511" t="s">
        <v>9041</v>
      </c>
      <c r="X511" t="s">
        <v>9042</v>
      </c>
      <c r="Y511" t="s">
        <v>9043</v>
      </c>
      <c r="Z511" t="s">
        <v>9044</v>
      </c>
      <c r="AA511" t="s">
        <v>74</v>
      </c>
      <c r="AB511" t="s">
        <v>74</v>
      </c>
      <c r="AC511" t="s">
        <v>9045</v>
      </c>
      <c r="AD511" t="s">
        <v>9046</v>
      </c>
      <c r="AE511" t="s">
        <v>9047</v>
      </c>
      <c r="AF511" t="s">
        <v>74</v>
      </c>
      <c r="AG511">
        <v>74</v>
      </c>
      <c r="AH511">
        <v>10</v>
      </c>
      <c r="AI511">
        <v>10</v>
      </c>
      <c r="AJ511">
        <v>0</v>
      </c>
      <c r="AK511">
        <v>5</v>
      </c>
      <c r="AL511" t="s">
        <v>8992</v>
      </c>
      <c r="AM511" t="s">
        <v>4403</v>
      </c>
      <c r="AN511" t="s">
        <v>8993</v>
      </c>
      <c r="AO511" t="s">
        <v>8994</v>
      </c>
      <c r="AP511" t="s">
        <v>9013</v>
      </c>
      <c r="AQ511" t="s">
        <v>74</v>
      </c>
      <c r="AR511" t="s">
        <v>8995</v>
      </c>
      <c r="AS511" t="s">
        <v>8996</v>
      </c>
      <c r="AT511" t="s">
        <v>74</v>
      </c>
      <c r="AU511">
        <v>2011</v>
      </c>
      <c r="AV511">
        <v>55</v>
      </c>
      <c r="AW511">
        <v>4</v>
      </c>
      <c r="AX511" t="s">
        <v>74</v>
      </c>
      <c r="AY511" t="s">
        <v>74</v>
      </c>
      <c r="AZ511" t="s">
        <v>74</v>
      </c>
      <c r="BA511" t="s">
        <v>74</v>
      </c>
      <c r="BB511">
        <v>345</v>
      </c>
      <c r="BC511">
        <v>360</v>
      </c>
      <c r="BD511" t="s">
        <v>74</v>
      </c>
      <c r="BE511" t="s">
        <v>74</v>
      </c>
      <c r="BF511" t="s">
        <v>74</v>
      </c>
      <c r="BG511" t="s">
        <v>74</v>
      </c>
      <c r="BH511" t="s">
        <v>74</v>
      </c>
      <c r="BI511">
        <v>16</v>
      </c>
      <c r="BJ511" t="s">
        <v>397</v>
      </c>
      <c r="BK511" t="s">
        <v>100</v>
      </c>
      <c r="BL511" t="s">
        <v>397</v>
      </c>
      <c r="BM511" t="s">
        <v>8997</v>
      </c>
      <c r="BN511" t="s">
        <v>74</v>
      </c>
      <c r="BO511" t="s">
        <v>74</v>
      </c>
      <c r="BP511" t="s">
        <v>74</v>
      </c>
      <c r="BQ511" t="s">
        <v>74</v>
      </c>
      <c r="BR511" t="s">
        <v>103</v>
      </c>
      <c r="BS511" t="s">
        <v>9048</v>
      </c>
      <c r="BT511" t="str">
        <f>HYPERLINK("https%3A%2F%2Fwww.webofscience.com%2Fwos%2Fwoscc%2Ffull-record%2FWOS:000299356500005","View Full Record in Web of Science")</f>
        <v>View Full Record in Web of Science</v>
      </c>
    </row>
    <row r="512" spans="1:72" x14ac:dyDescent="0.15">
      <c r="A512" t="s">
        <v>2017</v>
      </c>
      <c r="B512" t="s">
        <v>9049</v>
      </c>
      <c r="C512" t="s">
        <v>74</v>
      </c>
      <c r="D512" t="s">
        <v>9050</v>
      </c>
      <c r="E512" t="s">
        <v>74</v>
      </c>
      <c r="F512" t="s">
        <v>9051</v>
      </c>
      <c r="G512" t="s">
        <v>74</v>
      </c>
      <c r="H512" t="s">
        <v>74</v>
      </c>
      <c r="I512" t="s">
        <v>9052</v>
      </c>
      <c r="J512" t="s">
        <v>9053</v>
      </c>
      <c r="K512" t="s">
        <v>2391</v>
      </c>
      <c r="L512" t="s">
        <v>74</v>
      </c>
      <c r="M512" t="s">
        <v>78</v>
      </c>
      <c r="N512" t="s">
        <v>2370</v>
      </c>
      <c r="O512" t="s">
        <v>74</v>
      </c>
      <c r="P512" t="s">
        <v>74</v>
      </c>
      <c r="Q512" t="s">
        <v>74</v>
      </c>
      <c r="R512" t="s">
        <v>74</v>
      </c>
      <c r="S512" t="s">
        <v>74</v>
      </c>
      <c r="T512" t="s">
        <v>74</v>
      </c>
      <c r="U512" t="s">
        <v>9054</v>
      </c>
      <c r="V512" t="s">
        <v>9055</v>
      </c>
      <c r="W512" t="s">
        <v>9056</v>
      </c>
      <c r="X512" t="s">
        <v>74</v>
      </c>
      <c r="Y512" t="s">
        <v>9057</v>
      </c>
      <c r="Z512" t="s">
        <v>9058</v>
      </c>
      <c r="AA512" t="s">
        <v>74</v>
      </c>
      <c r="AB512" t="s">
        <v>74</v>
      </c>
      <c r="AC512" t="s">
        <v>74</v>
      </c>
      <c r="AD512" t="s">
        <v>74</v>
      </c>
      <c r="AE512" t="s">
        <v>74</v>
      </c>
      <c r="AF512" t="s">
        <v>74</v>
      </c>
      <c r="AG512">
        <v>42</v>
      </c>
      <c r="AH512">
        <v>10</v>
      </c>
      <c r="AI512">
        <v>11</v>
      </c>
      <c r="AJ512">
        <v>0</v>
      </c>
      <c r="AK512">
        <v>3</v>
      </c>
      <c r="AL512" t="s">
        <v>2396</v>
      </c>
      <c r="AM512" t="s">
        <v>2397</v>
      </c>
      <c r="AN512" t="s">
        <v>2398</v>
      </c>
      <c r="AO512" t="s">
        <v>2399</v>
      </c>
      <c r="AP512" t="s">
        <v>74</v>
      </c>
      <c r="AQ512" t="s">
        <v>9059</v>
      </c>
      <c r="AR512" t="s">
        <v>2401</v>
      </c>
      <c r="AS512" t="s">
        <v>74</v>
      </c>
      <c r="AT512" t="s">
        <v>74</v>
      </c>
      <c r="AU512">
        <v>2011</v>
      </c>
      <c r="AV512">
        <v>36</v>
      </c>
      <c r="AW512" t="s">
        <v>74</v>
      </c>
      <c r="AX512" t="s">
        <v>74</v>
      </c>
      <c r="AY512" t="s">
        <v>74</v>
      </c>
      <c r="AZ512" t="s">
        <v>74</v>
      </c>
      <c r="BA512" t="s">
        <v>74</v>
      </c>
      <c r="BB512">
        <v>649</v>
      </c>
      <c r="BC512">
        <v>657</v>
      </c>
      <c r="BD512" t="s">
        <v>74</v>
      </c>
      <c r="BE512" t="s">
        <v>9060</v>
      </c>
      <c r="BF512" t="str">
        <f>HYPERLINK("http://dx.doi.org/10.1144/M36.64","http://dx.doi.org/10.1144/M36.64")</f>
        <v>http://dx.doi.org/10.1144/M36.64</v>
      </c>
      <c r="BG512" t="s">
        <v>74</v>
      </c>
      <c r="BH512" t="s">
        <v>74</v>
      </c>
      <c r="BI512">
        <v>9</v>
      </c>
      <c r="BJ512" t="s">
        <v>397</v>
      </c>
      <c r="BK512" t="s">
        <v>2384</v>
      </c>
      <c r="BL512" t="s">
        <v>397</v>
      </c>
      <c r="BM512" t="s">
        <v>9061</v>
      </c>
      <c r="BN512" t="s">
        <v>74</v>
      </c>
      <c r="BO512" t="s">
        <v>74</v>
      </c>
      <c r="BP512" t="s">
        <v>74</v>
      </c>
      <c r="BQ512" t="s">
        <v>74</v>
      </c>
      <c r="BR512" t="s">
        <v>103</v>
      </c>
      <c r="BS512" t="s">
        <v>9062</v>
      </c>
      <c r="BT512" t="str">
        <f>HYPERLINK("https%3A%2F%2Fwww.webofscience.com%2Fwos%2Fwoscc%2Ffull-record%2FWOS:000300897200064","View Full Record in Web of Science")</f>
        <v>View Full Record in Web of Science</v>
      </c>
    </row>
    <row r="513" spans="1:72" x14ac:dyDescent="0.15">
      <c r="A513" t="s">
        <v>72</v>
      </c>
      <c r="B513" t="s">
        <v>9063</v>
      </c>
      <c r="C513" t="s">
        <v>74</v>
      </c>
      <c r="D513" t="s">
        <v>74</v>
      </c>
      <c r="E513" t="s">
        <v>74</v>
      </c>
      <c r="F513" t="s">
        <v>9064</v>
      </c>
      <c r="G513" t="s">
        <v>74</v>
      </c>
      <c r="H513" t="s">
        <v>74</v>
      </c>
      <c r="I513" t="s">
        <v>9065</v>
      </c>
      <c r="J513" t="s">
        <v>9066</v>
      </c>
      <c r="K513" t="s">
        <v>74</v>
      </c>
      <c r="L513" t="s">
        <v>74</v>
      </c>
      <c r="M513" t="s">
        <v>78</v>
      </c>
      <c r="N513" t="s">
        <v>79</v>
      </c>
      <c r="O513" t="s">
        <v>74</v>
      </c>
      <c r="P513" t="s">
        <v>74</v>
      </c>
      <c r="Q513" t="s">
        <v>74</v>
      </c>
      <c r="R513" t="s">
        <v>74</v>
      </c>
      <c r="S513" t="s">
        <v>74</v>
      </c>
      <c r="T513" t="s">
        <v>74</v>
      </c>
      <c r="U513" t="s">
        <v>9067</v>
      </c>
      <c r="V513" t="s">
        <v>9068</v>
      </c>
      <c r="W513" t="s">
        <v>9069</v>
      </c>
      <c r="X513" t="s">
        <v>9070</v>
      </c>
      <c r="Y513" t="s">
        <v>9071</v>
      </c>
      <c r="Z513" t="s">
        <v>9072</v>
      </c>
      <c r="AA513" t="s">
        <v>9073</v>
      </c>
      <c r="AB513" t="s">
        <v>9074</v>
      </c>
      <c r="AC513" t="s">
        <v>9075</v>
      </c>
      <c r="AD513" t="s">
        <v>9076</v>
      </c>
      <c r="AE513" t="s">
        <v>9077</v>
      </c>
      <c r="AF513" t="s">
        <v>74</v>
      </c>
      <c r="AG513">
        <v>28</v>
      </c>
      <c r="AH513">
        <v>61</v>
      </c>
      <c r="AI513">
        <v>63</v>
      </c>
      <c r="AJ513">
        <v>0</v>
      </c>
      <c r="AK513">
        <v>19</v>
      </c>
      <c r="AL513" t="s">
        <v>5125</v>
      </c>
      <c r="AM513" t="s">
        <v>496</v>
      </c>
      <c r="AN513" t="s">
        <v>5126</v>
      </c>
      <c r="AO513" t="s">
        <v>9078</v>
      </c>
      <c r="AP513" t="s">
        <v>74</v>
      </c>
      <c r="AQ513" t="s">
        <v>74</v>
      </c>
      <c r="AR513" t="s">
        <v>9066</v>
      </c>
      <c r="AS513" t="s">
        <v>397</v>
      </c>
      <c r="AT513" t="s">
        <v>3935</v>
      </c>
      <c r="AU513">
        <v>2011</v>
      </c>
      <c r="AV513">
        <v>39</v>
      </c>
      <c r="AW513">
        <v>1</v>
      </c>
      <c r="AX513" t="s">
        <v>74</v>
      </c>
      <c r="AY513" t="s">
        <v>74</v>
      </c>
      <c r="AZ513" t="s">
        <v>74</v>
      </c>
      <c r="BA513" t="s">
        <v>74</v>
      </c>
      <c r="BB513">
        <v>19</v>
      </c>
      <c r="BC513">
        <v>22</v>
      </c>
      <c r="BD513" t="s">
        <v>74</v>
      </c>
      <c r="BE513" t="s">
        <v>9079</v>
      </c>
      <c r="BF513" t="str">
        <f>HYPERLINK("http://dx.doi.org/10.1130/G31129.1","http://dx.doi.org/10.1130/G31129.1")</f>
        <v>http://dx.doi.org/10.1130/G31129.1</v>
      </c>
      <c r="BG513" t="s">
        <v>74</v>
      </c>
      <c r="BH513" t="s">
        <v>74</v>
      </c>
      <c r="BI513">
        <v>4</v>
      </c>
      <c r="BJ513" t="s">
        <v>397</v>
      </c>
      <c r="BK513" t="s">
        <v>100</v>
      </c>
      <c r="BL513" t="s">
        <v>397</v>
      </c>
      <c r="BM513" t="s">
        <v>9080</v>
      </c>
      <c r="BN513" t="s">
        <v>74</v>
      </c>
      <c r="BO513" t="s">
        <v>74</v>
      </c>
      <c r="BP513" t="s">
        <v>74</v>
      </c>
      <c r="BQ513" t="s">
        <v>74</v>
      </c>
      <c r="BR513" t="s">
        <v>103</v>
      </c>
      <c r="BS513" t="s">
        <v>9081</v>
      </c>
      <c r="BT513" t="str">
        <f>HYPERLINK("https%3A%2F%2Fwww.webofscience.com%2Fwos%2Fwoscc%2Ffull-record%2FWOS:000285696000007","View Full Record in Web of Science")</f>
        <v>View Full Record in Web of Science</v>
      </c>
    </row>
    <row r="514" spans="1:72" x14ac:dyDescent="0.15">
      <c r="A514" t="s">
        <v>72</v>
      </c>
      <c r="B514" t="s">
        <v>9082</v>
      </c>
      <c r="C514" t="s">
        <v>74</v>
      </c>
      <c r="D514" t="s">
        <v>74</v>
      </c>
      <c r="E514" t="s">
        <v>74</v>
      </c>
      <c r="F514" t="s">
        <v>9083</v>
      </c>
      <c r="G514" t="s">
        <v>74</v>
      </c>
      <c r="H514" t="s">
        <v>74</v>
      </c>
      <c r="I514" t="s">
        <v>9084</v>
      </c>
      <c r="J514" t="s">
        <v>9066</v>
      </c>
      <c r="K514" t="s">
        <v>74</v>
      </c>
      <c r="L514" t="s">
        <v>74</v>
      </c>
      <c r="M514" t="s">
        <v>78</v>
      </c>
      <c r="N514" t="s">
        <v>79</v>
      </c>
      <c r="O514" t="s">
        <v>74</v>
      </c>
      <c r="P514" t="s">
        <v>74</v>
      </c>
      <c r="Q514" t="s">
        <v>74</v>
      </c>
      <c r="R514" t="s">
        <v>74</v>
      </c>
      <c r="S514" t="s">
        <v>74</v>
      </c>
      <c r="T514" t="s">
        <v>74</v>
      </c>
      <c r="U514" t="s">
        <v>9085</v>
      </c>
      <c r="V514" t="s">
        <v>9086</v>
      </c>
      <c r="W514" t="s">
        <v>9087</v>
      </c>
      <c r="X514" t="s">
        <v>9088</v>
      </c>
      <c r="Y514" t="s">
        <v>9089</v>
      </c>
      <c r="Z514" t="s">
        <v>74</v>
      </c>
      <c r="AA514" t="s">
        <v>9090</v>
      </c>
      <c r="AB514" t="s">
        <v>9091</v>
      </c>
      <c r="AC514" t="s">
        <v>9092</v>
      </c>
      <c r="AD514" t="s">
        <v>9093</v>
      </c>
      <c r="AE514" t="s">
        <v>9094</v>
      </c>
      <c r="AF514" t="s">
        <v>74</v>
      </c>
      <c r="AG514">
        <v>28</v>
      </c>
      <c r="AH514">
        <v>38</v>
      </c>
      <c r="AI514">
        <v>41</v>
      </c>
      <c r="AJ514">
        <v>1</v>
      </c>
      <c r="AK514">
        <v>12</v>
      </c>
      <c r="AL514" t="s">
        <v>5125</v>
      </c>
      <c r="AM514" t="s">
        <v>496</v>
      </c>
      <c r="AN514" t="s">
        <v>5126</v>
      </c>
      <c r="AO514" t="s">
        <v>9078</v>
      </c>
      <c r="AP514" t="s">
        <v>74</v>
      </c>
      <c r="AQ514" t="s">
        <v>74</v>
      </c>
      <c r="AR514" t="s">
        <v>9066</v>
      </c>
      <c r="AS514" t="s">
        <v>397</v>
      </c>
      <c r="AT514" t="s">
        <v>3935</v>
      </c>
      <c r="AU514">
        <v>2011</v>
      </c>
      <c r="AV514">
        <v>39</v>
      </c>
      <c r="AW514">
        <v>1</v>
      </c>
      <c r="AX514" t="s">
        <v>74</v>
      </c>
      <c r="AY514" t="s">
        <v>74</v>
      </c>
      <c r="AZ514" t="s">
        <v>74</v>
      </c>
      <c r="BA514" t="s">
        <v>74</v>
      </c>
      <c r="BB514">
        <v>23</v>
      </c>
      <c r="BC514">
        <v>26</v>
      </c>
      <c r="BD514" t="s">
        <v>74</v>
      </c>
      <c r="BE514" t="s">
        <v>9095</v>
      </c>
      <c r="BF514" t="str">
        <f>HYPERLINK("http://dx.doi.org/10.1130/G31591.1","http://dx.doi.org/10.1130/G31591.1")</f>
        <v>http://dx.doi.org/10.1130/G31591.1</v>
      </c>
      <c r="BG514" t="s">
        <v>74</v>
      </c>
      <c r="BH514" t="s">
        <v>74</v>
      </c>
      <c r="BI514">
        <v>4</v>
      </c>
      <c r="BJ514" t="s">
        <v>397</v>
      </c>
      <c r="BK514" t="s">
        <v>100</v>
      </c>
      <c r="BL514" t="s">
        <v>397</v>
      </c>
      <c r="BM514" t="s">
        <v>9080</v>
      </c>
      <c r="BN514" t="s">
        <v>74</v>
      </c>
      <c r="BO514" t="s">
        <v>74</v>
      </c>
      <c r="BP514" t="s">
        <v>74</v>
      </c>
      <c r="BQ514" t="s">
        <v>74</v>
      </c>
      <c r="BR514" t="s">
        <v>103</v>
      </c>
      <c r="BS514" t="s">
        <v>9096</v>
      </c>
      <c r="BT514" t="str">
        <f>HYPERLINK("https%3A%2F%2Fwww.webofscience.com%2Fwos%2Fwoscc%2Ffull-record%2FWOS:000285696000008","View Full Record in Web of Science")</f>
        <v>View Full Record in Web of Science</v>
      </c>
    </row>
    <row r="515" spans="1:72" x14ac:dyDescent="0.15">
      <c r="A515" t="s">
        <v>72</v>
      </c>
      <c r="B515" t="s">
        <v>9097</v>
      </c>
      <c r="C515" t="s">
        <v>74</v>
      </c>
      <c r="D515" t="s">
        <v>74</v>
      </c>
      <c r="E515" t="s">
        <v>74</v>
      </c>
      <c r="F515" t="s">
        <v>9098</v>
      </c>
      <c r="G515" t="s">
        <v>74</v>
      </c>
      <c r="H515" t="s">
        <v>74</v>
      </c>
      <c r="I515" t="s">
        <v>9099</v>
      </c>
      <c r="J515" t="s">
        <v>9066</v>
      </c>
      <c r="K515" t="s">
        <v>74</v>
      </c>
      <c r="L515" t="s">
        <v>74</v>
      </c>
      <c r="M515" t="s">
        <v>78</v>
      </c>
      <c r="N515" t="s">
        <v>79</v>
      </c>
      <c r="O515" t="s">
        <v>74</v>
      </c>
      <c r="P515" t="s">
        <v>74</v>
      </c>
      <c r="Q515" t="s">
        <v>74</v>
      </c>
      <c r="R515" t="s">
        <v>74</v>
      </c>
      <c r="S515" t="s">
        <v>74</v>
      </c>
      <c r="T515" t="s">
        <v>74</v>
      </c>
      <c r="U515" t="s">
        <v>9100</v>
      </c>
      <c r="V515" t="s">
        <v>9101</v>
      </c>
      <c r="W515" t="s">
        <v>9102</v>
      </c>
      <c r="X515" t="s">
        <v>9103</v>
      </c>
      <c r="Y515" t="s">
        <v>9104</v>
      </c>
      <c r="Z515" t="s">
        <v>74</v>
      </c>
      <c r="AA515" t="s">
        <v>74</v>
      </c>
      <c r="AB515" t="s">
        <v>9105</v>
      </c>
      <c r="AC515" t="s">
        <v>9106</v>
      </c>
      <c r="AD515" t="s">
        <v>9107</v>
      </c>
      <c r="AE515" t="s">
        <v>9108</v>
      </c>
      <c r="AF515" t="s">
        <v>74</v>
      </c>
      <c r="AG515">
        <v>45</v>
      </c>
      <c r="AH515">
        <v>134</v>
      </c>
      <c r="AI515">
        <v>148</v>
      </c>
      <c r="AJ515">
        <v>1</v>
      </c>
      <c r="AK515">
        <v>39</v>
      </c>
      <c r="AL515" t="s">
        <v>5125</v>
      </c>
      <c r="AM515" t="s">
        <v>496</v>
      </c>
      <c r="AN515" t="s">
        <v>5126</v>
      </c>
      <c r="AO515" t="s">
        <v>9078</v>
      </c>
      <c r="AP515" t="s">
        <v>74</v>
      </c>
      <c r="AQ515" t="s">
        <v>74</v>
      </c>
      <c r="AR515" t="s">
        <v>9066</v>
      </c>
      <c r="AS515" t="s">
        <v>397</v>
      </c>
      <c r="AT515" t="s">
        <v>3935</v>
      </c>
      <c r="AU515">
        <v>2011</v>
      </c>
      <c r="AV515">
        <v>39</v>
      </c>
      <c r="AW515">
        <v>1</v>
      </c>
      <c r="AX515" t="s">
        <v>74</v>
      </c>
      <c r="AY515" t="s">
        <v>74</v>
      </c>
      <c r="AZ515" t="s">
        <v>74</v>
      </c>
      <c r="BA515" t="s">
        <v>74</v>
      </c>
      <c r="BB515">
        <v>39</v>
      </c>
      <c r="BC515">
        <v>42</v>
      </c>
      <c r="BD515" t="s">
        <v>74</v>
      </c>
      <c r="BE515" t="s">
        <v>9109</v>
      </c>
      <c r="BF515" t="str">
        <f>HYPERLINK("http://dx.doi.org/10.1130/G31461.1","http://dx.doi.org/10.1130/G31461.1")</f>
        <v>http://dx.doi.org/10.1130/G31461.1</v>
      </c>
      <c r="BG515" t="s">
        <v>74</v>
      </c>
      <c r="BH515" t="s">
        <v>74</v>
      </c>
      <c r="BI515">
        <v>4</v>
      </c>
      <c r="BJ515" t="s">
        <v>397</v>
      </c>
      <c r="BK515" t="s">
        <v>100</v>
      </c>
      <c r="BL515" t="s">
        <v>397</v>
      </c>
      <c r="BM515" t="s">
        <v>9080</v>
      </c>
      <c r="BN515" t="s">
        <v>74</v>
      </c>
      <c r="BO515" t="s">
        <v>74</v>
      </c>
      <c r="BP515" t="s">
        <v>74</v>
      </c>
      <c r="BQ515" t="s">
        <v>74</v>
      </c>
      <c r="BR515" t="s">
        <v>103</v>
      </c>
      <c r="BS515" t="s">
        <v>9110</v>
      </c>
      <c r="BT515" t="str">
        <f>HYPERLINK("https%3A%2F%2Fwww.webofscience.com%2Fwos%2Fwoscc%2Ffull-record%2FWOS:000285696000012","View Full Record in Web of Science")</f>
        <v>View Full Record in Web of Science</v>
      </c>
    </row>
    <row r="516" spans="1:72" x14ac:dyDescent="0.15">
      <c r="A516" t="s">
        <v>72</v>
      </c>
      <c r="B516" t="s">
        <v>9111</v>
      </c>
      <c r="C516" t="s">
        <v>74</v>
      </c>
      <c r="D516" t="s">
        <v>74</v>
      </c>
      <c r="E516" t="s">
        <v>74</v>
      </c>
      <c r="F516" t="s">
        <v>9112</v>
      </c>
      <c r="G516" t="s">
        <v>74</v>
      </c>
      <c r="H516" t="s">
        <v>74</v>
      </c>
      <c r="I516" t="s">
        <v>9113</v>
      </c>
      <c r="J516" t="s">
        <v>9114</v>
      </c>
      <c r="K516" t="s">
        <v>74</v>
      </c>
      <c r="L516" t="s">
        <v>74</v>
      </c>
      <c r="M516" t="s">
        <v>78</v>
      </c>
      <c r="N516" t="s">
        <v>79</v>
      </c>
      <c r="O516" t="s">
        <v>74</v>
      </c>
      <c r="P516" t="s">
        <v>74</v>
      </c>
      <c r="Q516" t="s">
        <v>74</v>
      </c>
      <c r="R516" t="s">
        <v>74</v>
      </c>
      <c r="S516" t="s">
        <v>74</v>
      </c>
      <c r="T516" t="s">
        <v>9115</v>
      </c>
      <c r="U516" t="s">
        <v>9116</v>
      </c>
      <c r="V516" t="s">
        <v>9117</v>
      </c>
      <c r="W516" t="s">
        <v>9118</v>
      </c>
      <c r="X516" t="s">
        <v>9119</v>
      </c>
      <c r="Y516" t="s">
        <v>9120</v>
      </c>
      <c r="Z516" t="s">
        <v>9121</v>
      </c>
      <c r="AA516" t="s">
        <v>9122</v>
      </c>
      <c r="AB516" t="s">
        <v>9123</v>
      </c>
      <c r="AC516" t="s">
        <v>9124</v>
      </c>
      <c r="AD516" t="s">
        <v>9125</v>
      </c>
      <c r="AE516" t="s">
        <v>9126</v>
      </c>
      <c r="AF516" t="s">
        <v>74</v>
      </c>
      <c r="AG516">
        <v>75</v>
      </c>
      <c r="AH516">
        <v>68</v>
      </c>
      <c r="AI516">
        <v>74</v>
      </c>
      <c r="AJ516">
        <v>0</v>
      </c>
      <c r="AK516">
        <v>60</v>
      </c>
      <c r="AL516" t="s">
        <v>767</v>
      </c>
      <c r="AM516" t="s">
        <v>640</v>
      </c>
      <c r="AN516" t="s">
        <v>768</v>
      </c>
      <c r="AO516" t="s">
        <v>9127</v>
      </c>
      <c r="AP516" t="s">
        <v>9128</v>
      </c>
      <c r="AQ516" t="s">
        <v>74</v>
      </c>
      <c r="AR516" t="s">
        <v>9114</v>
      </c>
      <c r="AS516" t="s">
        <v>9129</v>
      </c>
      <c r="AT516" t="s">
        <v>5196</v>
      </c>
      <c r="AU516">
        <v>2011</v>
      </c>
      <c r="AV516">
        <v>125</v>
      </c>
      <c r="AW516">
        <v>1</v>
      </c>
      <c r="AX516" t="s">
        <v>74</v>
      </c>
      <c r="AY516" t="s">
        <v>74</v>
      </c>
      <c r="AZ516" t="s">
        <v>74</v>
      </c>
      <c r="BA516" t="s">
        <v>74</v>
      </c>
      <c r="BB516">
        <v>92</v>
      </c>
      <c r="BC516">
        <v>108</v>
      </c>
      <c r="BD516" t="s">
        <v>74</v>
      </c>
      <c r="BE516" t="s">
        <v>9130</v>
      </c>
      <c r="BF516" t="str">
        <f>HYPERLINK("http://dx.doi.org/10.1016/j.geomorph.2010.09.007","http://dx.doi.org/10.1016/j.geomorph.2010.09.007")</f>
        <v>http://dx.doi.org/10.1016/j.geomorph.2010.09.007</v>
      </c>
      <c r="BG516" t="s">
        <v>74</v>
      </c>
      <c r="BH516" t="s">
        <v>74</v>
      </c>
      <c r="BI516">
        <v>17</v>
      </c>
      <c r="BJ516" t="s">
        <v>222</v>
      </c>
      <c r="BK516" t="s">
        <v>100</v>
      </c>
      <c r="BL516" t="s">
        <v>223</v>
      </c>
      <c r="BM516" t="s">
        <v>9131</v>
      </c>
      <c r="BN516" t="s">
        <v>74</v>
      </c>
      <c r="BO516" t="s">
        <v>74</v>
      </c>
      <c r="BP516" t="s">
        <v>74</v>
      </c>
      <c r="BQ516" t="s">
        <v>74</v>
      </c>
      <c r="BR516" t="s">
        <v>103</v>
      </c>
      <c r="BS516" t="s">
        <v>9132</v>
      </c>
      <c r="BT516" t="str">
        <f>HYPERLINK("https%3A%2F%2Fwww.webofscience.com%2Fwos%2Fwoscc%2Ffull-record%2FWOS:000285235100009","View Full Record in Web of Science")</f>
        <v>View Full Record in Web of Science</v>
      </c>
    </row>
    <row r="517" spans="1:72" x14ac:dyDescent="0.15">
      <c r="A517" t="s">
        <v>72</v>
      </c>
      <c r="B517" t="s">
        <v>9133</v>
      </c>
      <c r="C517" t="s">
        <v>74</v>
      </c>
      <c r="D517" t="s">
        <v>74</v>
      </c>
      <c r="E517" t="s">
        <v>74</v>
      </c>
      <c r="F517" t="s">
        <v>9134</v>
      </c>
      <c r="G517" t="s">
        <v>74</v>
      </c>
      <c r="H517" t="s">
        <v>74</v>
      </c>
      <c r="I517" t="s">
        <v>9135</v>
      </c>
      <c r="J517" t="s">
        <v>9136</v>
      </c>
      <c r="K517" t="s">
        <v>74</v>
      </c>
      <c r="L517" t="s">
        <v>74</v>
      </c>
      <c r="M517" t="s">
        <v>78</v>
      </c>
      <c r="N517" t="s">
        <v>79</v>
      </c>
      <c r="O517" t="s">
        <v>74</v>
      </c>
      <c r="P517" t="s">
        <v>74</v>
      </c>
      <c r="Q517" t="s">
        <v>74</v>
      </c>
      <c r="R517" t="s">
        <v>74</v>
      </c>
      <c r="S517" t="s">
        <v>74</v>
      </c>
      <c r="T517" t="s">
        <v>9137</v>
      </c>
      <c r="U517" t="s">
        <v>9138</v>
      </c>
      <c r="V517" t="s">
        <v>9139</v>
      </c>
      <c r="W517" t="s">
        <v>9140</v>
      </c>
      <c r="X517" t="s">
        <v>9141</v>
      </c>
      <c r="Y517" t="s">
        <v>9142</v>
      </c>
      <c r="Z517" t="s">
        <v>9143</v>
      </c>
      <c r="AA517" t="s">
        <v>9144</v>
      </c>
      <c r="AB517" t="s">
        <v>9145</v>
      </c>
      <c r="AC517" t="s">
        <v>74</v>
      </c>
      <c r="AD517" t="s">
        <v>74</v>
      </c>
      <c r="AE517" t="s">
        <v>74</v>
      </c>
      <c r="AF517" t="s">
        <v>74</v>
      </c>
      <c r="AG517">
        <v>107</v>
      </c>
      <c r="AH517">
        <v>37</v>
      </c>
      <c r="AI517">
        <v>40</v>
      </c>
      <c r="AJ517">
        <v>0</v>
      </c>
      <c r="AK517">
        <v>12</v>
      </c>
      <c r="AL517" t="s">
        <v>9146</v>
      </c>
      <c r="AM517" t="s">
        <v>719</v>
      </c>
      <c r="AN517" t="s">
        <v>9147</v>
      </c>
      <c r="AO517" t="s">
        <v>9148</v>
      </c>
      <c r="AP517" t="s">
        <v>9149</v>
      </c>
      <c r="AQ517" t="s">
        <v>74</v>
      </c>
      <c r="AR517" t="s">
        <v>9150</v>
      </c>
      <c r="AS517" t="s">
        <v>9151</v>
      </c>
      <c r="AT517" t="s">
        <v>3935</v>
      </c>
      <c r="AU517">
        <v>2011</v>
      </c>
      <c r="AV517">
        <v>184</v>
      </c>
      <c r="AW517">
        <v>1</v>
      </c>
      <c r="AX517" t="s">
        <v>74</v>
      </c>
      <c r="AY517" t="s">
        <v>74</v>
      </c>
      <c r="AZ517" t="s">
        <v>74</v>
      </c>
      <c r="BA517" t="s">
        <v>74</v>
      </c>
      <c r="BB517">
        <v>90</v>
      </c>
      <c r="BC517">
        <v>110</v>
      </c>
      <c r="BD517" t="s">
        <v>74</v>
      </c>
      <c r="BE517" t="s">
        <v>9152</v>
      </c>
      <c r="BF517" t="str">
        <f>HYPERLINK("http://dx.doi.org/10.1111/j.1365-246X.2010.04867.x","http://dx.doi.org/10.1111/j.1365-246X.2010.04867.x")</f>
        <v>http://dx.doi.org/10.1111/j.1365-246X.2010.04867.x</v>
      </c>
      <c r="BG517" t="s">
        <v>74</v>
      </c>
      <c r="BH517" t="s">
        <v>74</v>
      </c>
      <c r="BI517">
        <v>21</v>
      </c>
      <c r="BJ517" t="s">
        <v>774</v>
      </c>
      <c r="BK517" t="s">
        <v>100</v>
      </c>
      <c r="BL517" t="s">
        <v>774</v>
      </c>
      <c r="BM517" t="s">
        <v>9153</v>
      </c>
      <c r="BN517" t="s">
        <v>74</v>
      </c>
      <c r="BO517" t="s">
        <v>74</v>
      </c>
      <c r="BP517" t="s">
        <v>74</v>
      </c>
      <c r="BQ517" t="s">
        <v>74</v>
      </c>
      <c r="BR517" t="s">
        <v>103</v>
      </c>
      <c r="BS517" t="s">
        <v>9154</v>
      </c>
      <c r="BT517" t="str">
        <f>HYPERLINK("https%3A%2F%2Fwww.webofscience.com%2Fwos%2Fwoscc%2Ffull-record%2FWOS:000285357300007","View Full Record in Web of Science")</f>
        <v>View Full Record in Web of Science</v>
      </c>
    </row>
    <row r="518" spans="1:72" x14ac:dyDescent="0.15">
      <c r="A518" t="s">
        <v>72</v>
      </c>
      <c r="B518" t="s">
        <v>9155</v>
      </c>
      <c r="C518" t="s">
        <v>74</v>
      </c>
      <c r="D518" t="s">
        <v>74</v>
      </c>
      <c r="E518" t="s">
        <v>74</v>
      </c>
      <c r="F518" t="s">
        <v>9156</v>
      </c>
      <c r="G518" t="s">
        <v>74</v>
      </c>
      <c r="H518" t="s">
        <v>74</v>
      </c>
      <c r="I518" t="s">
        <v>9157</v>
      </c>
      <c r="J518" t="s">
        <v>9158</v>
      </c>
      <c r="K518" t="s">
        <v>74</v>
      </c>
      <c r="L518" t="s">
        <v>74</v>
      </c>
      <c r="M518" t="s">
        <v>78</v>
      </c>
      <c r="N518" t="s">
        <v>79</v>
      </c>
      <c r="O518" t="s">
        <v>74</v>
      </c>
      <c r="P518" t="s">
        <v>74</v>
      </c>
      <c r="Q518" t="s">
        <v>74</v>
      </c>
      <c r="R518" t="s">
        <v>74</v>
      </c>
      <c r="S518" t="s">
        <v>74</v>
      </c>
      <c r="T518" t="s">
        <v>74</v>
      </c>
      <c r="U518" t="s">
        <v>9159</v>
      </c>
      <c r="V518" t="s">
        <v>9160</v>
      </c>
      <c r="W518" t="s">
        <v>9161</v>
      </c>
      <c r="X518" t="s">
        <v>9162</v>
      </c>
      <c r="Y518" t="s">
        <v>9163</v>
      </c>
      <c r="Z518" t="s">
        <v>9164</v>
      </c>
      <c r="AA518" t="s">
        <v>9165</v>
      </c>
      <c r="AB518" t="s">
        <v>9166</v>
      </c>
      <c r="AC518" t="s">
        <v>74</v>
      </c>
      <c r="AD518" t="s">
        <v>74</v>
      </c>
      <c r="AE518" t="s">
        <v>74</v>
      </c>
      <c r="AF518" t="s">
        <v>74</v>
      </c>
      <c r="AG518">
        <v>68</v>
      </c>
      <c r="AH518">
        <v>57</v>
      </c>
      <c r="AI518">
        <v>59</v>
      </c>
      <c r="AJ518">
        <v>1</v>
      </c>
      <c r="AK518">
        <v>25</v>
      </c>
      <c r="AL518" t="s">
        <v>2955</v>
      </c>
      <c r="AM518" t="s">
        <v>2956</v>
      </c>
      <c r="AN518" t="s">
        <v>2957</v>
      </c>
      <c r="AO518" t="s">
        <v>9167</v>
      </c>
      <c r="AP518" t="s">
        <v>9168</v>
      </c>
      <c r="AQ518" t="s">
        <v>74</v>
      </c>
      <c r="AR518" t="s">
        <v>9169</v>
      </c>
      <c r="AS518" t="s">
        <v>9170</v>
      </c>
      <c r="AT518" t="s">
        <v>74</v>
      </c>
      <c r="AU518">
        <v>2011</v>
      </c>
      <c r="AV518">
        <v>4</v>
      </c>
      <c r="AW518">
        <v>1</v>
      </c>
      <c r="AX518" t="s">
        <v>74</v>
      </c>
      <c r="AY518" t="s">
        <v>74</v>
      </c>
      <c r="AZ518" t="s">
        <v>74</v>
      </c>
      <c r="BA518" t="s">
        <v>74</v>
      </c>
      <c r="BB518">
        <v>117</v>
      </c>
      <c r="BC518">
        <v>136</v>
      </c>
      <c r="BD518" t="s">
        <v>74</v>
      </c>
      <c r="BE518" t="s">
        <v>9171</v>
      </c>
      <c r="BF518" t="str">
        <f>HYPERLINK("http://dx.doi.org/10.5194/gmd-4-117-2011","http://dx.doi.org/10.5194/gmd-4-117-2011")</f>
        <v>http://dx.doi.org/10.5194/gmd-4-117-2011</v>
      </c>
      <c r="BG518" t="s">
        <v>74</v>
      </c>
      <c r="BH518" t="s">
        <v>74</v>
      </c>
      <c r="BI518">
        <v>20</v>
      </c>
      <c r="BJ518" t="s">
        <v>396</v>
      </c>
      <c r="BK518" t="s">
        <v>100</v>
      </c>
      <c r="BL518" t="s">
        <v>397</v>
      </c>
      <c r="BM518" t="s">
        <v>9172</v>
      </c>
      <c r="BN518" t="s">
        <v>74</v>
      </c>
      <c r="BO518" t="s">
        <v>2456</v>
      </c>
      <c r="BP518" t="s">
        <v>74</v>
      </c>
      <c r="BQ518" t="s">
        <v>74</v>
      </c>
      <c r="BR518" t="s">
        <v>103</v>
      </c>
      <c r="BS518" t="s">
        <v>9173</v>
      </c>
      <c r="BT518" t="str">
        <f>HYPERLINK("https%3A%2F%2Fwww.webofscience.com%2Fwos%2Fwoscc%2Ffull-record%2FWOS:000288910700008","View Full Record in Web of Science")</f>
        <v>View Full Record in Web of Science</v>
      </c>
    </row>
    <row r="519" spans="1:72" x14ac:dyDescent="0.15">
      <c r="A519" t="s">
        <v>72</v>
      </c>
      <c r="B519" t="s">
        <v>9174</v>
      </c>
      <c r="C519" t="s">
        <v>74</v>
      </c>
      <c r="D519" t="s">
        <v>74</v>
      </c>
      <c r="E519" t="s">
        <v>74</v>
      </c>
      <c r="F519" t="s">
        <v>9175</v>
      </c>
      <c r="G519" t="s">
        <v>74</v>
      </c>
      <c r="H519" t="s">
        <v>74</v>
      </c>
      <c r="I519" t="s">
        <v>9176</v>
      </c>
      <c r="J519" t="s">
        <v>9158</v>
      </c>
      <c r="K519" t="s">
        <v>74</v>
      </c>
      <c r="L519" t="s">
        <v>74</v>
      </c>
      <c r="M519" t="s">
        <v>78</v>
      </c>
      <c r="N519" t="s">
        <v>79</v>
      </c>
      <c r="O519" t="s">
        <v>74</v>
      </c>
      <c r="P519" t="s">
        <v>74</v>
      </c>
      <c r="Q519" t="s">
        <v>74</v>
      </c>
      <c r="R519" t="s">
        <v>74</v>
      </c>
      <c r="S519" t="s">
        <v>74</v>
      </c>
      <c r="T519" t="s">
        <v>74</v>
      </c>
      <c r="U519" t="s">
        <v>9177</v>
      </c>
      <c r="V519" t="s">
        <v>9178</v>
      </c>
      <c r="W519" t="s">
        <v>9179</v>
      </c>
      <c r="X519" t="s">
        <v>9180</v>
      </c>
      <c r="Y519" t="s">
        <v>9181</v>
      </c>
      <c r="Z519" t="s">
        <v>9182</v>
      </c>
      <c r="AA519" t="s">
        <v>9183</v>
      </c>
      <c r="AB519" t="s">
        <v>9184</v>
      </c>
      <c r="AC519" t="s">
        <v>9185</v>
      </c>
      <c r="AD519" t="s">
        <v>9186</v>
      </c>
      <c r="AE519" t="s">
        <v>9187</v>
      </c>
      <c r="AF519" t="s">
        <v>74</v>
      </c>
      <c r="AG519">
        <v>115</v>
      </c>
      <c r="AH519">
        <v>93</v>
      </c>
      <c r="AI519">
        <v>97</v>
      </c>
      <c r="AJ519">
        <v>0</v>
      </c>
      <c r="AK519">
        <v>14</v>
      </c>
      <c r="AL519" t="s">
        <v>2955</v>
      </c>
      <c r="AM519" t="s">
        <v>2956</v>
      </c>
      <c r="AN519" t="s">
        <v>2957</v>
      </c>
      <c r="AO519" t="s">
        <v>9167</v>
      </c>
      <c r="AP519" t="s">
        <v>9168</v>
      </c>
      <c r="AQ519" t="s">
        <v>74</v>
      </c>
      <c r="AR519" t="s">
        <v>9169</v>
      </c>
      <c r="AS519" t="s">
        <v>9170</v>
      </c>
      <c r="AT519" t="s">
        <v>74</v>
      </c>
      <c r="AU519">
        <v>2011</v>
      </c>
      <c r="AV519">
        <v>4</v>
      </c>
      <c r="AW519">
        <v>2</v>
      </c>
      <c r="AX519" t="s">
        <v>74</v>
      </c>
      <c r="AY519" t="s">
        <v>74</v>
      </c>
      <c r="AZ519" t="s">
        <v>74</v>
      </c>
      <c r="BA519" t="s">
        <v>74</v>
      </c>
      <c r="BB519">
        <v>483</v>
      </c>
      <c r="BC519">
        <v>509</v>
      </c>
      <c r="BD519" t="s">
        <v>74</v>
      </c>
      <c r="BE519" t="s">
        <v>9188</v>
      </c>
      <c r="BF519" t="str">
        <f>HYPERLINK("http://dx.doi.org/10.5194/gmd-4-483-2011","http://dx.doi.org/10.5194/gmd-4-483-2011")</f>
        <v>http://dx.doi.org/10.5194/gmd-4-483-2011</v>
      </c>
      <c r="BG519" t="s">
        <v>74</v>
      </c>
      <c r="BH519" t="s">
        <v>74</v>
      </c>
      <c r="BI519">
        <v>27</v>
      </c>
      <c r="BJ519" t="s">
        <v>396</v>
      </c>
      <c r="BK519" t="s">
        <v>100</v>
      </c>
      <c r="BL519" t="s">
        <v>397</v>
      </c>
      <c r="BM519" t="s">
        <v>9189</v>
      </c>
      <c r="BN519" t="s">
        <v>74</v>
      </c>
      <c r="BO519" t="s">
        <v>6771</v>
      </c>
      <c r="BP519" t="s">
        <v>74</v>
      </c>
      <c r="BQ519" t="s">
        <v>74</v>
      </c>
      <c r="BR519" t="s">
        <v>103</v>
      </c>
      <c r="BS519" t="s">
        <v>9190</v>
      </c>
      <c r="BT519" t="str">
        <f>HYPERLINK("https%3A%2F%2Fwww.webofscience.com%2Fwos%2Fwoscc%2Ffull-record%2FWOS:000291939100014","View Full Record in Web of Science")</f>
        <v>View Full Record in Web of Science</v>
      </c>
    </row>
    <row r="520" spans="1:72" x14ac:dyDescent="0.15">
      <c r="A520" t="s">
        <v>72</v>
      </c>
      <c r="B520" t="s">
        <v>9191</v>
      </c>
      <c r="C520" t="s">
        <v>74</v>
      </c>
      <c r="D520" t="s">
        <v>74</v>
      </c>
      <c r="E520" t="s">
        <v>74</v>
      </c>
      <c r="F520" t="s">
        <v>9192</v>
      </c>
      <c r="G520" t="s">
        <v>74</v>
      </c>
      <c r="H520" t="s">
        <v>74</v>
      </c>
      <c r="I520" t="s">
        <v>9193</v>
      </c>
      <c r="J520" t="s">
        <v>9194</v>
      </c>
      <c r="K520" t="s">
        <v>74</v>
      </c>
      <c r="L520" t="s">
        <v>74</v>
      </c>
      <c r="M520" t="s">
        <v>78</v>
      </c>
      <c r="N520" t="s">
        <v>79</v>
      </c>
      <c r="O520" t="s">
        <v>74</v>
      </c>
      <c r="P520" t="s">
        <v>74</v>
      </c>
      <c r="Q520" t="s">
        <v>74</v>
      </c>
      <c r="R520" t="s">
        <v>74</v>
      </c>
      <c r="S520" t="s">
        <v>74</v>
      </c>
      <c r="T520" t="s">
        <v>9195</v>
      </c>
      <c r="U520" t="s">
        <v>9196</v>
      </c>
      <c r="V520" t="s">
        <v>9197</v>
      </c>
      <c r="W520" t="s">
        <v>9198</v>
      </c>
      <c r="X520" t="s">
        <v>9199</v>
      </c>
      <c r="Y520" t="s">
        <v>9200</v>
      </c>
      <c r="Z520" t="s">
        <v>9201</v>
      </c>
      <c r="AA520" t="s">
        <v>74</v>
      </c>
      <c r="AB520" t="s">
        <v>9202</v>
      </c>
      <c r="AC520" t="s">
        <v>9203</v>
      </c>
      <c r="AD520" t="s">
        <v>9204</v>
      </c>
      <c r="AE520" t="s">
        <v>9205</v>
      </c>
      <c r="AF520" t="s">
        <v>74</v>
      </c>
      <c r="AG520">
        <v>31</v>
      </c>
      <c r="AH520">
        <v>4</v>
      </c>
      <c r="AI520">
        <v>4</v>
      </c>
      <c r="AJ520">
        <v>0</v>
      </c>
      <c r="AK520">
        <v>19</v>
      </c>
      <c r="AL520" t="s">
        <v>474</v>
      </c>
      <c r="AM520" t="s">
        <v>475</v>
      </c>
      <c r="AN520" t="s">
        <v>476</v>
      </c>
      <c r="AO520" t="s">
        <v>9206</v>
      </c>
      <c r="AP520" t="s">
        <v>9207</v>
      </c>
      <c r="AQ520" t="s">
        <v>74</v>
      </c>
      <c r="AR520" t="s">
        <v>9194</v>
      </c>
      <c r="AS520" t="s">
        <v>9194</v>
      </c>
      <c r="AT520" t="s">
        <v>74</v>
      </c>
      <c r="AU520">
        <v>2011</v>
      </c>
      <c r="AV520">
        <v>133</v>
      </c>
      <c r="AW520" t="s">
        <v>601</v>
      </c>
      <c r="AX520" t="s">
        <v>74</v>
      </c>
      <c r="AY520" t="s">
        <v>74</v>
      </c>
      <c r="AZ520" t="s">
        <v>74</v>
      </c>
      <c r="BA520" t="s">
        <v>74</v>
      </c>
      <c r="BB520">
        <v>195</v>
      </c>
      <c r="BC520">
        <v>206</v>
      </c>
      <c r="BD520" t="s">
        <v>74</v>
      </c>
      <c r="BE520" t="s">
        <v>9208</v>
      </c>
      <c r="BF520" t="str">
        <f>HYPERLINK("http://dx.doi.org/10.1080/11035897.2011.633708","http://dx.doi.org/10.1080/11035897.2011.633708")</f>
        <v>http://dx.doi.org/10.1080/11035897.2011.633708</v>
      </c>
      <c r="BG520" t="s">
        <v>74</v>
      </c>
      <c r="BH520" t="s">
        <v>74</v>
      </c>
      <c r="BI520">
        <v>12</v>
      </c>
      <c r="BJ520" t="s">
        <v>2291</v>
      </c>
      <c r="BK520" t="s">
        <v>100</v>
      </c>
      <c r="BL520" t="s">
        <v>2291</v>
      </c>
      <c r="BM520" t="s">
        <v>9209</v>
      </c>
      <c r="BN520" t="s">
        <v>74</v>
      </c>
      <c r="BO520" t="s">
        <v>74</v>
      </c>
      <c r="BP520" t="s">
        <v>74</v>
      </c>
      <c r="BQ520" t="s">
        <v>74</v>
      </c>
      <c r="BR520" t="s">
        <v>103</v>
      </c>
      <c r="BS520" t="s">
        <v>9210</v>
      </c>
      <c r="BT520" t="str">
        <f>HYPERLINK("https%3A%2F%2Fwww.webofscience.com%2Fwos%2Fwoscc%2Ffull-record%2FWOS:000299035100007","View Full Record in Web of Science")</f>
        <v>View Full Record in Web of Science</v>
      </c>
    </row>
    <row r="521" spans="1:72" x14ac:dyDescent="0.15">
      <c r="A521" t="s">
        <v>72</v>
      </c>
      <c r="B521" t="s">
        <v>9211</v>
      </c>
      <c r="C521" t="s">
        <v>74</v>
      </c>
      <c r="D521" t="s">
        <v>74</v>
      </c>
      <c r="E521" t="s">
        <v>74</v>
      </c>
      <c r="F521" t="s">
        <v>9212</v>
      </c>
      <c r="G521" t="s">
        <v>74</v>
      </c>
      <c r="H521" t="s">
        <v>74</v>
      </c>
      <c r="I521" t="s">
        <v>9213</v>
      </c>
      <c r="J521" t="s">
        <v>9214</v>
      </c>
      <c r="K521" t="s">
        <v>74</v>
      </c>
      <c r="L521" t="s">
        <v>74</v>
      </c>
      <c r="M521" t="s">
        <v>78</v>
      </c>
      <c r="N521" t="s">
        <v>79</v>
      </c>
      <c r="O521" t="s">
        <v>74</v>
      </c>
      <c r="P521" t="s">
        <v>74</v>
      </c>
      <c r="Q521" t="s">
        <v>74</v>
      </c>
      <c r="R521" t="s">
        <v>74</v>
      </c>
      <c r="S521" t="s">
        <v>74</v>
      </c>
      <c r="T521" t="s">
        <v>9215</v>
      </c>
      <c r="U521" t="s">
        <v>9216</v>
      </c>
      <c r="V521" t="s">
        <v>9217</v>
      </c>
      <c r="W521" t="s">
        <v>9218</v>
      </c>
      <c r="X521" t="s">
        <v>9219</v>
      </c>
      <c r="Y521" t="s">
        <v>9220</v>
      </c>
      <c r="Z521" t="s">
        <v>9221</v>
      </c>
      <c r="AA521" t="s">
        <v>9222</v>
      </c>
      <c r="AB521" t="s">
        <v>9223</v>
      </c>
      <c r="AC521" t="s">
        <v>9224</v>
      </c>
      <c r="AD521" t="s">
        <v>9225</v>
      </c>
      <c r="AE521" t="s">
        <v>9226</v>
      </c>
      <c r="AF521" t="s">
        <v>74</v>
      </c>
      <c r="AG521">
        <v>77</v>
      </c>
      <c r="AH521">
        <v>66</v>
      </c>
      <c r="AI521">
        <v>78</v>
      </c>
      <c r="AJ521">
        <v>1</v>
      </c>
      <c r="AK521">
        <v>106</v>
      </c>
      <c r="AL521" t="s">
        <v>9227</v>
      </c>
      <c r="AM521" t="s">
        <v>913</v>
      </c>
      <c r="AN521" t="s">
        <v>8389</v>
      </c>
      <c r="AO521" t="s">
        <v>9228</v>
      </c>
      <c r="AP521" t="s">
        <v>9229</v>
      </c>
      <c r="AQ521" t="s">
        <v>74</v>
      </c>
      <c r="AR521" t="s">
        <v>9214</v>
      </c>
      <c r="AS521" t="s">
        <v>9230</v>
      </c>
      <c r="AT521" t="s">
        <v>3935</v>
      </c>
      <c r="AU521">
        <v>2011</v>
      </c>
      <c r="AV521">
        <v>106</v>
      </c>
      <c r="AW521">
        <v>1</v>
      </c>
      <c r="AX521" t="s">
        <v>74</v>
      </c>
      <c r="AY521" t="s">
        <v>74</v>
      </c>
      <c r="AZ521" t="s">
        <v>74</v>
      </c>
      <c r="BA521" t="s">
        <v>74</v>
      </c>
      <c r="BB521">
        <v>172</v>
      </c>
      <c r="BC521">
        <v>182</v>
      </c>
      <c r="BD521" t="s">
        <v>74</v>
      </c>
      <c r="BE521" t="s">
        <v>9231</v>
      </c>
      <c r="BF521" t="str">
        <f>HYPERLINK("http://dx.doi.org/10.1038/hdy.2010.17","http://dx.doi.org/10.1038/hdy.2010.17")</f>
        <v>http://dx.doi.org/10.1038/hdy.2010.17</v>
      </c>
      <c r="BG521" t="s">
        <v>74</v>
      </c>
      <c r="BH521" t="s">
        <v>74</v>
      </c>
      <c r="BI521">
        <v>11</v>
      </c>
      <c r="BJ521" t="s">
        <v>9232</v>
      </c>
      <c r="BK521" t="s">
        <v>100</v>
      </c>
      <c r="BL521" t="s">
        <v>9233</v>
      </c>
      <c r="BM521" t="s">
        <v>9234</v>
      </c>
      <c r="BN521">
        <v>20216571</v>
      </c>
      <c r="BO521" t="s">
        <v>923</v>
      </c>
      <c r="BP521" t="s">
        <v>74</v>
      </c>
      <c r="BQ521" t="s">
        <v>74</v>
      </c>
      <c r="BR521" t="s">
        <v>103</v>
      </c>
      <c r="BS521" t="s">
        <v>9235</v>
      </c>
      <c r="BT521" t="str">
        <f>HYPERLINK("https%3A%2F%2Fwww.webofscience.com%2Fwos%2Fwoscc%2Ffull-record%2FWOS:000285336100017","View Full Record in Web of Science")</f>
        <v>View Full Record in Web of Science</v>
      </c>
    </row>
    <row r="522" spans="1:72" x14ac:dyDescent="0.15">
      <c r="A522" t="s">
        <v>72</v>
      </c>
      <c r="B522" t="s">
        <v>9236</v>
      </c>
      <c r="C522" t="s">
        <v>74</v>
      </c>
      <c r="D522" t="s">
        <v>74</v>
      </c>
      <c r="E522" t="s">
        <v>74</v>
      </c>
      <c r="F522" t="s">
        <v>9237</v>
      </c>
      <c r="G522" t="s">
        <v>74</v>
      </c>
      <c r="H522" t="s">
        <v>74</v>
      </c>
      <c r="I522" t="s">
        <v>9238</v>
      </c>
      <c r="J522" t="s">
        <v>9239</v>
      </c>
      <c r="K522" t="s">
        <v>74</v>
      </c>
      <c r="L522" t="s">
        <v>74</v>
      </c>
      <c r="M522" t="s">
        <v>78</v>
      </c>
      <c r="N522" t="s">
        <v>79</v>
      </c>
      <c r="O522" t="s">
        <v>74</v>
      </c>
      <c r="P522" t="s">
        <v>74</v>
      </c>
      <c r="Q522" t="s">
        <v>74</v>
      </c>
      <c r="R522" t="s">
        <v>74</v>
      </c>
      <c r="S522" t="s">
        <v>74</v>
      </c>
      <c r="T522" t="s">
        <v>9240</v>
      </c>
      <c r="U522" t="s">
        <v>9241</v>
      </c>
      <c r="V522" t="s">
        <v>9242</v>
      </c>
      <c r="W522" t="s">
        <v>9243</v>
      </c>
      <c r="X522" t="s">
        <v>9244</v>
      </c>
      <c r="Y522" t="s">
        <v>9245</v>
      </c>
      <c r="Z522" t="s">
        <v>9246</v>
      </c>
      <c r="AA522" t="s">
        <v>9247</v>
      </c>
      <c r="AB522" t="s">
        <v>9248</v>
      </c>
      <c r="AC522" t="s">
        <v>9249</v>
      </c>
      <c r="AD522" t="s">
        <v>9250</v>
      </c>
      <c r="AE522" t="s">
        <v>9251</v>
      </c>
      <c r="AF522" t="s">
        <v>74</v>
      </c>
      <c r="AG522">
        <v>54</v>
      </c>
      <c r="AH522">
        <v>45</v>
      </c>
      <c r="AI522">
        <v>54</v>
      </c>
      <c r="AJ522">
        <v>0</v>
      </c>
      <c r="AK522">
        <v>55</v>
      </c>
      <c r="AL522" t="s">
        <v>214</v>
      </c>
      <c r="AM522" t="s">
        <v>215</v>
      </c>
      <c r="AN522" t="s">
        <v>216</v>
      </c>
      <c r="AO522" t="s">
        <v>9252</v>
      </c>
      <c r="AP522" t="s">
        <v>9253</v>
      </c>
      <c r="AQ522" t="s">
        <v>74</v>
      </c>
      <c r="AR522" t="s">
        <v>9239</v>
      </c>
      <c r="AS522" t="s">
        <v>9254</v>
      </c>
      <c r="AT522" t="s">
        <v>3935</v>
      </c>
      <c r="AU522">
        <v>2011</v>
      </c>
      <c r="AV522">
        <v>153</v>
      </c>
      <c r="AW522">
        <v>1</v>
      </c>
      <c r="AX522" t="s">
        <v>74</v>
      </c>
      <c r="AY522" t="s">
        <v>74</v>
      </c>
      <c r="AZ522" t="s">
        <v>74</v>
      </c>
      <c r="BA522" t="s">
        <v>74</v>
      </c>
      <c r="BB522">
        <v>154</v>
      </c>
      <c r="BC522">
        <v>164</v>
      </c>
      <c r="BD522" t="s">
        <v>74</v>
      </c>
      <c r="BE522" t="s">
        <v>9255</v>
      </c>
      <c r="BF522" t="str">
        <f>HYPERLINK("http://dx.doi.org/10.1111/j.1474-919X.2010.01073.x","http://dx.doi.org/10.1111/j.1474-919X.2010.01073.x")</f>
        <v>http://dx.doi.org/10.1111/j.1474-919X.2010.01073.x</v>
      </c>
      <c r="BG522" t="s">
        <v>74</v>
      </c>
      <c r="BH522" t="s">
        <v>74</v>
      </c>
      <c r="BI522">
        <v>11</v>
      </c>
      <c r="BJ522" t="s">
        <v>673</v>
      </c>
      <c r="BK522" t="s">
        <v>100</v>
      </c>
      <c r="BL522" t="s">
        <v>674</v>
      </c>
      <c r="BM522" t="s">
        <v>9256</v>
      </c>
      <c r="BN522" t="s">
        <v>74</v>
      </c>
      <c r="BO522" t="s">
        <v>74</v>
      </c>
      <c r="BP522" t="s">
        <v>74</v>
      </c>
      <c r="BQ522" t="s">
        <v>74</v>
      </c>
      <c r="BR522" t="s">
        <v>103</v>
      </c>
      <c r="BS522" t="s">
        <v>9257</v>
      </c>
      <c r="BT522" t="str">
        <f>HYPERLINK("https%3A%2F%2Fwww.webofscience.com%2Fwos%2Fwoscc%2Ffull-record%2FWOS:000285008400016","View Full Record in Web of Science")</f>
        <v>View Full Record in Web of Science</v>
      </c>
    </row>
    <row r="523" spans="1:72" x14ac:dyDescent="0.15">
      <c r="A523" t="s">
        <v>2017</v>
      </c>
      <c r="B523" t="s">
        <v>9258</v>
      </c>
      <c r="C523" t="s">
        <v>74</v>
      </c>
      <c r="D523" t="s">
        <v>9259</v>
      </c>
      <c r="E523" t="s">
        <v>74</v>
      </c>
      <c r="F523" t="s">
        <v>9260</v>
      </c>
      <c r="G523" t="s">
        <v>74</v>
      </c>
      <c r="H523" t="s">
        <v>74</v>
      </c>
      <c r="I523" t="s">
        <v>9261</v>
      </c>
      <c r="J523" t="s">
        <v>9262</v>
      </c>
      <c r="K523" t="s">
        <v>9263</v>
      </c>
      <c r="L523" t="s">
        <v>74</v>
      </c>
      <c r="M523" t="s">
        <v>78</v>
      </c>
      <c r="N523" t="s">
        <v>2370</v>
      </c>
      <c r="O523" t="s">
        <v>74</v>
      </c>
      <c r="P523" t="s">
        <v>74</v>
      </c>
      <c r="Q523" t="s">
        <v>74</v>
      </c>
      <c r="R523" t="s">
        <v>74</v>
      </c>
      <c r="S523" t="s">
        <v>74</v>
      </c>
      <c r="T523" t="s">
        <v>74</v>
      </c>
      <c r="U523" t="s">
        <v>9264</v>
      </c>
      <c r="V523" t="s">
        <v>9265</v>
      </c>
      <c r="W523" t="s">
        <v>9266</v>
      </c>
      <c r="X523" t="s">
        <v>9267</v>
      </c>
      <c r="Y523" t="s">
        <v>9268</v>
      </c>
      <c r="Z523" t="s">
        <v>9269</v>
      </c>
      <c r="AA523" t="s">
        <v>74</v>
      </c>
      <c r="AB523" t="s">
        <v>9270</v>
      </c>
      <c r="AC523" t="s">
        <v>74</v>
      </c>
      <c r="AD523" t="s">
        <v>74</v>
      </c>
      <c r="AE523" t="s">
        <v>74</v>
      </c>
      <c r="AF523" t="s">
        <v>74</v>
      </c>
      <c r="AG523">
        <v>123</v>
      </c>
      <c r="AH523">
        <v>25</v>
      </c>
      <c r="AI523">
        <v>28</v>
      </c>
      <c r="AJ523">
        <v>0</v>
      </c>
      <c r="AK523">
        <v>5</v>
      </c>
      <c r="AL523" t="s">
        <v>2396</v>
      </c>
      <c r="AM523" t="s">
        <v>2397</v>
      </c>
      <c r="AN523" t="s">
        <v>2398</v>
      </c>
      <c r="AO523" t="s">
        <v>9271</v>
      </c>
      <c r="AP523" t="s">
        <v>74</v>
      </c>
      <c r="AQ523" t="s">
        <v>9272</v>
      </c>
      <c r="AR523" t="s">
        <v>9273</v>
      </c>
      <c r="AS523" t="s">
        <v>9274</v>
      </c>
      <c r="AT523" t="s">
        <v>74</v>
      </c>
      <c r="AU523">
        <v>2011</v>
      </c>
      <c r="AV523">
        <v>354</v>
      </c>
      <c r="AW523" t="s">
        <v>74</v>
      </c>
      <c r="AX523" t="s">
        <v>74</v>
      </c>
      <c r="AY523" t="s">
        <v>74</v>
      </c>
      <c r="AZ523" t="s">
        <v>74</v>
      </c>
      <c r="BA523" t="s">
        <v>74</v>
      </c>
      <c r="BB523">
        <v>167</v>
      </c>
      <c r="BC523">
        <v>182</v>
      </c>
      <c r="BD523" t="s">
        <v>74</v>
      </c>
      <c r="BE523" t="s">
        <v>9275</v>
      </c>
      <c r="BF523" t="str">
        <f>HYPERLINK("http://dx.doi.org/10.1144/SP354.10","http://dx.doi.org/10.1144/SP354.10")</f>
        <v>http://dx.doi.org/10.1144/SP354.10</v>
      </c>
      <c r="BG523" t="s">
        <v>9276</v>
      </c>
      <c r="BH523" t="s">
        <v>74</v>
      </c>
      <c r="BI523">
        <v>16</v>
      </c>
      <c r="BJ523" t="s">
        <v>397</v>
      </c>
      <c r="BK523" t="s">
        <v>2384</v>
      </c>
      <c r="BL523" t="s">
        <v>397</v>
      </c>
      <c r="BM523" t="s">
        <v>9277</v>
      </c>
      <c r="BN523" t="s">
        <v>74</v>
      </c>
      <c r="BO523" t="s">
        <v>74</v>
      </c>
      <c r="BP523" t="s">
        <v>74</v>
      </c>
      <c r="BQ523" t="s">
        <v>74</v>
      </c>
      <c r="BR523" t="s">
        <v>103</v>
      </c>
      <c r="BS523" t="s">
        <v>9278</v>
      </c>
      <c r="BT523" t="str">
        <f>HYPERLINK("https%3A%2F%2Fwww.webofscience.com%2Fwos%2Fwoscc%2Ffull-record%2FWOS:000321868800010","View Full Record in Web of Science")</f>
        <v>View Full Record in Web of Science</v>
      </c>
    </row>
    <row r="524" spans="1:72" x14ac:dyDescent="0.15">
      <c r="A524" t="s">
        <v>2017</v>
      </c>
      <c r="B524" t="s">
        <v>9279</v>
      </c>
      <c r="C524" t="s">
        <v>74</v>
      </c>
      <c r="D524" t="s">
        <v>9259</v>
      </c>
      <c r="E524" t="s">
        <v>74</v>
      </c>
      <c r="F524" t="s">
        <v>9280</v>
      </c>
      <c r="G524" t="s">
        <v>74</v>
      </c>
      <c r="H524" t="s">
        <v>74</v>
      </c>
      <c r="I524" t="s">
        <v>9281</v>
      </c>
      <c r="J524" t="s">
        <v>9262</v>
      </c>
      <c r="K524" t="s">
        <v>9263</v>
      </c>
      <c r="L524" t="s">
        <v>74</v>
      </c>
      <c r="M524" t="s">
        <v>78</v>
      </c>
      <c r="N524" t="s">
        <v>2370</v>
      </c>
      <c r="O524" t="s">
        <v>74</v>
      </c>
      <c r="P524" t="s">
        <v>74</v>
      </c>
      <c r="Q524" t="s">
        <v>74</v>
      </c>
      <c r="R524" t="s">
        <v>74</v>
      </c>
      <c r="S524" t="s">
        <v>74</v>
      </c>
      <c r="T524" t="s">
        <v>74</v>
      </c>
      <c r="U524" t="s">
        <v>9282</v>
      </c>
      <c r="V524" t="s">
        <v>9283</v>
      </c>
      <c r="W524" t="s">
        <v>9284</v>
      </c>
      <c r="X524" t="s">
        <v>9285</v>
      </c>
      <c r="Y524" t="s">
        <v>9286</v>
      </c>
      <c r="Z524" t="s">
        <v>9287</v>
      </c>
      <c r="AA524" t="s">
        <v>9288</v>
      </c>
      <c r="AB524" t="s">
        <v>9289</v>
      </c>
      <c r="AC524" t="s">
        <v>74</v>
      </c>
      <c r="AD524" t="s">
        <v>74</v>
      </c>
      <c r="AE524" t="s">
        <v>74</v>
      </c>
      <c r="AF524" t="s">
        <v>74</v>
      </c>
      <c r="AG524">
        <v>53</v>
      </c>
      <c r="AH524">
        <v>13</v>
      </c>
      <c r="AI524">
        <v>14</v>
      </c>
      <c r="AJ524">
        <v>0</v>
      </c>
      <c r="AK524">
        <v>7</v>
      </c>
      <c r="AL524" t="s">
        <v>2396</v>
      </c>
      <c r="AM524" t="s">
        <v>2397</v>
      </c>
      <c r="AN524" t="s">
        <v>2398</v>
      </c>
      <c r="AO524" t="s">
        <v>9271</v>
      </c>
      <c r="AP524" t="s">
        <v>74</v>
      </c>
      <c r="AQ524" t="s">
        <v>9272</v>
      </c>
      <c r="AR524" t="s">
        <v>9273</v>
      </c>
      <c r="AS524" t="s">
        <v>9274</v>
      </c>
      <c r="AT524" t="s">
        <v>74</v>
      </c>
      <c r="AU524">
        <v>2011</v>
      </c>
      <c r="AV524">
        <v>354</v>
      </c>
      <c r="AW524" t="s">
        <v>74</v>
      </c>
      <c r="AX524" t="s">
        <v>74</v>
      </c>
      <c r="AY524" t="s">
        <v>74</v>
      </c>
      <c r="AZ524" t="s">
        <v>74</v>
      </c>
      <c r="BA524" t="s">
        <v>74</v>
      </c>
      <c r="BB524">
        <v>195</v>
      </c>
      <c r="BC524">
        <v>203</v>
      </c>
      <c r="BD524" t="s">
        <v>74</v>
      </c>
      <c r="BE524" t="s">
        <v>9290</v>
      </c>
      <c r="BF524" t="str">
        <f>HYPERLINK("http://dx.doi.org/10.1144/SP354.12","http://dx.doi.org/10.1144/SP354.12")</f>
        <v>http://dx.doi.org/10.1144/SP354.12</v>
      </c>
      <c r="BG524" t="s">
        <v>9276</v>
      </c>
      <c r="BH524" t="s">
        <v>74</v>
      </c>
      <c r="BI524">
        <v>9</v>
      </c>
      <c r="BJ524" t="s">
        <v>397</v>
      </c>
      <c r="BK524" t="s">
        <v>2384</v>
      </c>
      <c r="BL524" t="s">
        <v>397</v>
      </c>
      <c r="BM524" t="s">
        <v>9277</v>
      </c>
      <c r="BN524" t="s">
        <v>74</v>
      </c>
      <c r="BO524" t="s">
        <v>74</v>
      </c>
      <c r="BP524" t="s">
        <v>74</v>
      </c>
      <c r="BQ524" t="s">
        <v>74</v>
      </c>
      <c r="BR524" t="s">
        <v>103</v>
      </c>
      <c r="BS524" t="s">
        <v>9291</v>
      </c>
      <c r="BT524" t="str">
        <f>HYPERLINK("https%3A%2F%2Fwww.webofscience.com%2Fwos%2Fwoscc%2Ffull-record%2FWOS:000321868800012","View Full Record in Web of Science")</f>
        <v>View Full Record in Web of Science</v>
      </c>
    </row>
    <row r="525" spans="1:72" x14ac:dyDescent="0.15">
      <c r="A525" t="s">
        <v>72</v>
      </c>
      <c r="B525" t="s">
        <v>9292</v>
      </c>
      <c r="C525" t="s">
        <v>74</v>
      </c>
      <c r="D525" t="s">
        <v>74</v>
      </c>
      <c r="E525" t="s">
        <v>74</v>
      </c>
      <c r="F525" t="s">
        <v>9293</v>
      </c>
      <c r="G525" t="s">
        <v>74</v>
      </c>
      <c r="H525" t="s">
        <v>74</v>
      </c>
      <c r="I525" t="s">
        <v>9294</v>
      </c>
      <c r="J525" t="s">
        <v>9295</v>
      </c>
      <c r="K525" t="s">
        <v>74</v>
      </c>
      <c r="L525" t="s">
        <v>74</v>
      </c>
      <c r="M525" t="s">
        <v>78</v>
      </c>
      <c r="N525" t="s">
        <v>2000</v>
      </c>
      <c r="O525" t="s">
        <v>9296</v>
      </c>
      <c r="P525" t="s">
        <v>9297</v>
      </c>
      <c r="Q525" t="s">
        <v>9298</v>
      </c>
      <c r="R525" t="s">
        <v>74</v>
      </c>
      <c r="S525" t="s">
        <v>74</v>
      </c>
      <c r="T525" t="s">
        <v>9299</v>
      </c>
      <c r="U525" t="s">
        <v>9300</v>
      </c>
      <c r="V525" t="s">
        <v>9301</v>
      </c>
      <c r="W525" t="s">
        <v>9302</v>
      </c>
      <c r="X525" t="s">
        <v>9303</v>
      </c>
      <c r="Y525" t="s">
        <v>9304</v>
      </c>
      <c r="Z525" t="s">
        <v>9305</v>
      </c>
      <c r="AA525" t="s">
        <v>9306</v>
      </c>
      <c r="AB525" t="s">
        <v>9307</v>
      </c>
      <c r="AC525" t="s">
        <v>9308</v>
      </c>
      <c r="AD525" t="s">
        <v>9309</v>
      </c>
      <c r="AE525" t="s">
        <v>9310</v>
      </c>
      <c r="AF525" t="s">
        <v>74</v>
      </c>
      <c r="AG525">
        <v>39</v>
      </c>
      <c r="AH525">
        <v>32</v>
      </c>
      <c r="AI525">
        <v>32</v>
      </c>
      <c r="AJ525">
        <v>1</v>
      </c>
      <c r="AK525">
        <v>45</v>
      </c>
      <c r="AL525" t="s">
        <v>9146</v>
      </c>
      <c r="AM525" t="s">
        <v>719</v>
      </c>
      <c r="AN525" t="s">
        <v>9147</v>
      </c>
      <c r="AO525" t="s">
        <v>9311</v>
      </c>
      <c r="AP525" t="s">
        <v>9312</v>
      </c>
      <c r="AQ525" t="s">
        <v>74</v>
      </c>
      <c r="AR525" t="s">
        <v>9313</v>
      </c>
      <c r="AS525" t="s">
        <v>9314</v>
      </c>
      <c r="AT525" t="s">
        <v>3935</v>
      </c>
      <c r="AU525">
        <v>2011</v>
      </c>
      <c r="AV525">
        <v>68</v>
      </c>
      <c r="AW525">
        <v>2</v>
      </c>
      <c r="AX525" t="s">
        <v>74</v>
      </c>
      <c r="AY525" t="s">
        <v>74</v>
      </c>
      <c r="AZ525" t="s">
        <v>74</v>
      </c>
      <c r="BA525" t="s">
        <v>74</v>
      </c>
      <c r="BB525">
        <v>281</v>
      </c>
      <c r="BC525">
        <v>289</v>
      </c>
      <c r="BD525" t="s">
        <v>74</v>
      </c>
      <c r="BE525" t="s">
        <v>9315</v>
      </c>
      <c r="BF525" t="str">
        <f>HYPERLINK("http://dx.doi.org/10.1093/icesjms/fsq045","http://dx.doi.org/10.1093/icesjms/fsq045")</f>
        <v>http://dx.doi.org/10.1093/icesjms/fsq045</v>
      </c>
      <c r="BG525" t="s">
        <v>74</v>
      </c>
      <c r="BH525" t="s">
        <v>74</v>
      </c>
      <c r="BI525">
        <v>9</v>
      </c>
      <c r="BJ525" t="s">
        <v>4288</v>
      </c>
      <c r="BK525" t="s">
        <v>2022</v>
      </c>
      <c r="BL525" t="s">
        <v>4288</v>
      </c>
      <c r="BM525" t="s">
        <v>9316</v>
      </c>
      <c r="BN525" t="s">
        <v>74</v>
      </c>
      <c r="BO525" t="s">
        <v>252</v>
      </c>
      <c r="BP525" t="s">
        <v>74</v>
      </c>
      <c r="BQ525" t="s">
        <v>74</v>
      </c>
      <c r="BR525" t="s">
        <v>103</v>
      </c>
      <c r="BS525" t="s">
        <v>9317</v>
      </c>
      <c r="BT525" t="str">
        <f>HYPERLINK("https%3A%2F%2Fwww.webofscience.com%2Fwos%2Fwoscc%2Ffull-record%2FWOS:000285194000004","View Full Record in Web of Science")</f>
        <v>View Full Record in Web of Science</v>
      </c>
    </row>
    <row r="526" spans="1:72" x14ac:dyDescent="0.15">
      <c r="A526" t="s">
        <v>72</v>
      </c>
      <c r="B526" t="s">
        <v>9318</v>
      </c>
      <c r="C526" t="s">
        <v>74</v>
      </c>
      <c r="D526" t="s">
        <v>74</v>
      </c>
      <c r="E526" t="s">
        <v>74</v>
      </c>
      <c r="F526" t="s">
        <v>9319</v>
      </c>
      <c r="G526" t="s">
        <v>74</v>
      </c>
      <c r="H526" t="s">
        <v>74</v>
      </c>
      <c r="I526" t="s">
        <v>9320</v>
      </c>
      <c r="J526" t="s">
        <v>9321</v>
      </c>
      <c r="K526" t="s">
        <v>74</v>
      </c>
      <c r="L526" t="s">
        <v>74</v>
      </c>
      <c r="M526" t="s">
        <v>78</v>
      </c>
      <c r="N526" t="s">
        <v>79</v>
      </c>
      <c r="O526" t="s">
        <v>74</v>
      </c>
      <c r="P526" t="s">
        <v>74</v>
      </c>
      <c r="Q526" t="s">
        <v>74</v>
      </c>
      <c r="R526" t="s">
        <v>74</v>
      </c>
      <c r="S526" t="s">
        <v>74</v>
      </c>
      <c r="T526" t="s">
        <v>9322</v>
      </c>
      <c r="U526" t="s">
        <v>9323</v>
      </c>
      <c r="V526" t="s">
        <v>9324</v>
      </c>
      <c r="W526" t="s">
        <v>9325</v>
      </c>
      <c r="X526" t="s">
        <v>9326</v>
      </c>
      <c r="Y526" t="s">
        <v>9327</v>
      </c>
      <c r="Z526" t="s">
        <v>9328</v>
      </c>
      <c r="AA526" t="s">
        <v>9329</v>
      </c>
      <c r="AB526" t="s">
        <v>9330</v>
      </c>
      <c r="AC526" t="s">
        <v>9331</v>
      </c>
      <c r="AD526" t="s">
        <v>9332</v>
      </c>
      <c r="AE526" t="s">
        <v>9333</v>
      </c>
      <c r="AF526" t="s">
        <v>74</v>
      </c>
      <c r="AG526">
        <v>41</v>
      </c>
      <c r="AH526">
        <v>18</v>
      </c>
      <c r="AI526">
        <v>19</v>
      </c>
      <c r="AJ526">
        <v>3</v>
      </c>
      <c r="AK526">
        <v>11</v>
      </c>
      <c r="AL526" t="s">
        <v>3012</v>
      </c>
      <c r="AM526" t="s">
        <v>3013</v>
      </c>
      <c r="AN526" t="s">
        <v>3014</v>
      </c>
      <c r="AO526" t="s">
        <v>9334</v>
      </c>
      <c r="AP526" t="s">
        <v>9335</v>
      </c>
      <c r="AQ526" t="s">
        <v>74</v>
      </c>
      <c r="AR526" t="s">
        <v>9336</v>
      </c>
      <c r="AS526" t="s">
        <v>9337</v>
      </c>
      <c r="AT526" t="s">
        <v>74</v>
      </c>
      <c r="AU526">
        <v>2011</v>
      </c>
      <c r="AV526">
        <v>18</v>
      </c>
      <c r="AW526">
        <v>1</v>
      </c>
      <c r="AX526" t="s">
        <v>74</v>
      </c>
      <c r="AY526" t="s">
        <v>74</v>
      </c>
      <c r="AZ526" t="s">
        <v>74</v>
      </c>
      <c r="BA526" t="s">
        <v>74</v>
      </c>
      <c r="BB526">
        <v>1</v>
      </c>
      <c r="BC526">
        <v>8</v>
      </c>
      <c r="BD526" t="s">
        <v>9338</v>
      </c>
      <c r="BE526" t="s">
        <v>9339</v>
      </c>
      <c r="BF526" t="str">
        <f>HYPERLINK("http://dx.doi.org/10.1080/10420940.2011.552577","http://dx.doi.org/10.1080/10420940.2011.552577")</f>
        <v>http://dx.doi.org/10.1080/10420940.2011.552577</v>
      </c>
      <c r="BG526" t="s">
        <v>74</v>
      </c>
      <c r="BH526" t="s">
        <v>74</v>
      </c>
      <c r="BI526">
        <v>8</v>
      </c>
      <c r="BJ526" t="s">
        <v>5596</v>
      </c>
      <c r="BK526" t="s">
        <v>100</v>
      </c>
      <c r="BL526" t="s">
        <v>5596</v>
      </c>
      <c r="BM526" t="s">
        <v>9340</v>
      </c>
      <c r="BN526" t="s">
        <v>74</v>
      </c>
      <c r="BO526" t="s">
        <v>726</v>
      </c>
      <c r="BP526" t="s">
        <v>74</v>
      </c>
      <c r="BQ526" t="s">
        <v>74</v>
      </c>
      <c r="BR526" t="s">
        <v>103</v>
      </c>
      <c r="BS526" t="s">
        <v>9341</v>
      </c>
      <c r="BT526" t="str">
        <f>HYPERLINK("https%3A%2F%2Fwww.webofscience.com%2Fwos%2Fwoscc%2Ffull-record%2FWOS:000288273400001","View Full Record in Web of Science")</f>
        <v>View Full Record in Web of Science</v>
      </c>
    </row>
    <row r="527" spans="1:72" x14ac:dyDescent="0.15">
      <c r="A527" t="s">
        <v>2363</v>
      </c>
      <c r="B527" t="s">
        <v>9342</v>
      </c>
      <c r="C527" t="s">
        <v>9343</v>
      </c>
      <c r="D527" t="s">
        <v>74</v>
      </c>
      <c r="E527" t="s">
        <v>74</v>
      </c>
      <c r="F527" t="s">
        <v>9344</v>
      </c>
      <c r="G527" t="s">
        <v>9343</v>
      </c>
      <c r="H527" t="s">
        <v>74</v>
      </c>
      <c r="I527" t="s">
        <v>9345</v>
      </c>
      <c r="J527" t="s">
        <v>9346</v>
      </c>
      <c r="K527" t="s">
        <v>74</v>
      </c>
      <c r="L527" t="s">
        <v>74</v>
      </c>
      <c r="M527" t="s">
        <v>78</v>
      </c>
      <c r="N527" t="s">
        <v>2370</v>
      </c>
      <c r="O527" t="s">
        <v>74</v>
      </c>
      <c r="P527" t="s">
        <v>74</v>
      </c>
      <c r="Q527" t="s">
        <v>74</v>
      </c>
      <c r="R527" t="s">
        <v>74</v>
      </c>
      <c r="S527" t="s">
        <v>74</v>
      </c>
      <c r="T527" t="s">
        <v>74</v>
      </c>
      <c r="U527" t="s">
        <v>9347</v>
      </c>
      <c r="V527" t="s">
        <v>9348</v>
      </c>
      <c r="W527" t="s">
        <v>9349</v>
      </c>
      <c r="X527" t="s">
        <v>9350</v>
      </c>
      <c r="Y527" t="s">
        <v>9351</v>
      </c>
      <c r="Z527" t="s">
        <v>74</v>
      </c>
      <c r="AA527" t="s">
        <v>74</v>
      </c>
      <c r="AB527" t="s">
        <v>74</v>
      </c>
      <c r="AC527" t="s">
        <v>74</v>
      </c>
      <c r="AD527" t="s">
        <v>74</v>
      </c>
      <c r="AE527" t="s">
        <v>74</v>
      </c>
      <c r="AF527" t="s">
        <v>74</v>
      </c>
      <c r="AG527">
        <v>50</v>
      </c>
      <c r="AH527">
        <v>0</v>
      </c>
      <c r="AI527">
        <v>0</v>
      </c>
      <c r="AJ527">
        <v>0</v>
      </c>
      <c r="AK527">
        <v>3</v>
      </c>
      <c r="AL527" t="s">
        <v>9352</v>
      </c>
      <c r="AM527" t="s">
        <v>9353</v>
      </c>
      <c r="AN527" t="s">
        <v>9354</v>
      </c>
      <c r="AO527" t="s">
        <v>74</v>
      </c>
      <c r="AP527" t="s">
        <v>74</v>
      </c>
      <c r="AQ527" t="s">
        <v>9355</v>
      </c>
      <c r="AR527" t="s">
        <v>74</v>
      </c>
      <c r="AS527" t="s">
        <v>74</v>
      </c>
      <c r="AT527" t="s">
        <v>74</v>
      </c>
      <c r="AU527">
        <v>2011</v>
      </c>
      <c r="AV527" t="s">
        <v>74</v>
      </c>
      <c r="AW527" t="s">
        <v>74</v>
      </c>
      <c r="AX527" t="s">
        <v>74</v>
      </c>
      <c r="AY527" t="s">
        <v>74</v>
      </c>
      <c r="AZ527" t="s">
        <v>74</v>
      </c>
      <c r="BA527" t="s">
        <v>74</v>
      </c>
      <c r="BB527">
        <v>360</v>
      </c>
      <c r="BC527">
        <v>373</v>
      </c>
      <c r="BD527" t="s">
        <v>74</v>
      </c>
      <c r="BE527" t="s">
        <v>74</v>
      </c>
      <c r="BF527" t="s">
        <v>74</v>
      </c>
      <c r="BG527" t="s">
        <v>9356</v>
      </c>
      <c r="BH527" t="s">
        <v>74</v>
      </c>
      <c r="BI527">
        <v>14</v>
      </c>
      <c r="BJ527" t="s">
        <v>9357</v>
      </c>
      <c r="BK527" t="s">
        <v>2384</v>
      </c>
      <c r="BL527" t="s">
        <v>9357</v>
      </c>
      <c r="BM527" t="s">
        <v>9358</v>
      </c>
      <c r="BN527" t="s">
        <v>74</v>
      </c>
      <c r="BO527" t="s">
        <v>74</v>
      </c>
      <c r="BP527" t="s">
        <v>74</v>
      </c>
      <c r="BQ527" t="s">
        <v>74</v>
      </c>
      <c r="BR527" t="s">
        <v>103</v>
      </c>
      <c r="BS527" t="s">
        <v>9359</v>
      </c>
      <c r="BT527" t="str">
        <f>HYPERLINK("https%3A%2F%2Fwww.webofscience.com%2Fwos%2Fwoscc%2Ffull-record%2FWOS:000337164800028","View Full Record in Web of Science")</f>
        <v>View Full Record in Web of Science</v>
      </c>
    </row>
    <row r="528" spans="1:72" x14ac:dyDescent="0.15">
      <c r="A528" t="s">
        <v>72</v>
      </c>
      <c r="B528" t="s">
        <v>9360</v>
      </c>
      <c r="C528" t="s">
        <v>74</v>
      </c>
      <c r="D528" t="s">
        <v>74</v>
      </c>
      <c r="E528" t="s">
        <v>74</v>
      </c>
      <c r="F528" t="s">
        <v>9361</v>
      </c>
      <c r="G528" t="s">
        <v>74</v>
      </c>
      <c r="H528" t="s">
        <v>74</v>
      </c>
      <c r="I528" t="s">
        <v>9362</v>
      </c>
      <c r="J528" t="s">
        <v>9363</v>
      </c>
      <c r="K528" t="s">
        <v>74</v>
      </c>
      <c r="L528" t="s">
        <v>74</v>
      </c>
      <c r="M528" t="s">
        <v>78</v>
      </c>
      <c r="N528" t="s">
        <v>79</v>
      </c>
      <c r="O528" t="s">
        <v>74</v>
      </c>
      <c r="P528" t="s">
        <v>74</v>
      </c>
      <c r="Q528" t="s">
        <v>74</v>
      </c>
      <c r="R528" t="s">
        <v>74</v>
      </c>
      <c r="S528" t="s">
        <v>74</v>
      </c>
      <c r="T528" t="s">
        <v>74</v>
      </c>
      <c r="U528" t="s">
        <v>9364</v>
      </c>
      <c r="V528" t="s">
        <v>9365</v>
      </c>
      <c r="W528" t="s">
        <v>9366</v>
      </c>
      <c r="X528" t="s">
        <v>9367</v>
      </c>
      <c r="Y528" t="s">
        <v>9368</v>
      </c>
      <c r="Z528" t="s">
        <v>9369</v>
      </c>
      <c r="AA528" t="s">
        <v>9370</v>
      </c>
      <c r="AB528" t="s">
        <v>9371</v>
      </c>
      <c r="AC528" t="s">
        <v>9372</v>
      </c>
      <c r="AD528" t="s">
        <v>9373</v>
      </c>
      <c r="AE528" t="s">
        <v>9374</v>
      </c>
      <c r="AF528" t="s">
        <v>74</v>
      </c>
      <c r="AG528">
        <v>23</v>
      </c>
      <c r="AH528">
        <v>3</v>
      </c>
      <c r="AI528">
        <v>3</v>
      </c>
      <c r="AJ528">
        <v>0</v>
      </c>
      <c r="AK528">
        <v>0</v>
      </c>
      <c r="AL528" t="s">
        <v>2309</v>
      </c>
      <c r="AM528" t="s">
        <v>913</v>
      </c>
      <c r="AN528" t="s">
        <v>2310</v>
      </c>
      <c r="AO528" t="s">
        <v>9375</v>
      </c>
      <c r="AP528" t="s">
        <v>9376</v>
      </c>
      <c r="AQ528" t="s">
        <v>74</v>
      </c>
      <c r="AR528" t="s">
        <v>9377</v>
      </c>
      <c r="AS528" t="s">
        <v>9378</v>
      </c>
      <c r="AT528" t="s">
        <v>74</v>
      </c>
      <c r="AU528">
        <v>2011</v>
      </c>
      <c r="AV528">
        <v>2011</v>
      </c>
      <c r="AW528" t="s">
        <v>74</v>
      </c>
      <c r="AX528" t="s">
        <v>74</v>
      </c>
      <c r="AY528" t="s">
        <v>74</v>
      </c>
      <c r="AZ528" t="s">
        <v>74</v>
      </c>
      <c r="BA528" t="s">
        <v>74</v>
      </c>
      <c r="BB528" t="s">
        <v>74</v>
      </c>
      <c r="BC528" t="s">
        <v>74</v>
      </c>
      <c r="BD528">
        <v>207514</v>
      </c>
      <c r="BE528" t="s">
        <v>9379</v>
      </c>
      <c r="BF528" t="str">
        <f>HYPERLINK("http://dx.doi.org/10.1155/2011/207514","http://dx.doi.org/10.1155/2011/207514")</f>
        <v>http://dx.doi.org/10.1155/2011/207514</v>
      </c>
      <c r="BG528" t="s">
        <v>74</v>
      </c>
      <c r="BH528" t="s">
        <v>74</v>
      </c>
      <c r="BI528">
        <v>8</v>
      </c>
      <c r="BJ528" t="s">
        <v>774</v>
      </c>
      <c r="BK528" t="s">
        <v>6441</v>
      </c>
      <c r="BL528" t="s">
        <v>774</v>
      </c>
      <c r="BM528" t="s">
        <v>9380</v>
      </c>
      <c r="BN528" t="s">
        <v>74</v>
      </c>
      <c r="BO528" t="s">
        <v>2181</v>
      </c>
      <c r="BP528" t="s">
        <v>74</v>
      </c>
      <c r="BQ528" t="s">
        <v>74</v>
      </c>
      <c r="BR528" t="s">
        <v>103</v>
      </c>
      <c r="BS528" t="s">
        <v>9381</v>
      </c>
      <c r="BT528" t="str">
        <f>HYPERLINK("https%3A%2F%2Fwww.webofscience.com%2Fwos%2Fwoscc%2Ffull-record%2FWOS:000215258200004","View Full Record in Web of Science")</f>
        <v>View Full Record in Web of Science</v>
      </c>
    </row>
    <row r="529" spans="1:72" x14ac:dyDescent="0.15">
      <c r="A529" t="s">
        <v>72</v>
      </c>
      <c r="B529" t="s">
        <v>9382</v>
      </c>
      <c r="C529" t="s">
        <v>74</v>
      </c>
      <c r="D529" t="s">
        <v>74</v>
      </c>
      <c r="E529" t="s">
        <v>74</v>
      </c>
      <c r="F529" t="s">
        <v>9383</v>
      </c>
      <c r="G529" t="s">
        <v>74</v>
      </c>
      <c r="H529" t="s">
        <v>74</v>
      </c>
      <c r="I529" t="s">
        <v>9384</v>
      </c>
      <c r="J529" t="s">
        <v>9385</v>
      </c>
      <c r="K529" t="s">
        <v>74</v>
      </c>
      <c r="L529" t="s">
        <v>74</v>
      </c>
      <c r="M529" t="s">
        <v>78</v>
      </c>
      <c r="N529" t="s">
        <v>79</v>
      </c>
      <c r="O529" t="s">
        <v>74</v>
      </c>
      <c r="P529" t="s">
        <v>74</v>
      </c>
      <c r="Q529" t="s">
        <v>74</v>
      </c>
      <c r="R529" t="s">
        <v>74</v>
      </c>
      <c r="S529" t="s">
        <v>74</v>
      </c>
      <c r="T529" t="s">
        <v>9386</v>
      </c>
      <c r="U529" t="s">
        <v>74</v>
      </c>
      <c r="V529" t="s">
        <v>9387</v>
      </c>
      <c r="W529" t="s">
        <v>9388</v>
      </c>
      <c r="X529" t="s">
        <v>9389</v>
      </c>
      <c r="Y529" t="s">
        <v>9390</v>
      </c>
      <c r="Z529" t="s">
        <v>74</v>
      </c>
      <c r="AA529" t="s">
        <v>74</v>
      </c>
      <c r="AB529" t="s">
        <v>74</v>
      </c>
      <c r="AC529" t="s">
        <v>74</v>
      </c>
      <c r="AD529" t="s">
        <v>74</v>
      </c>
      <c r="AE529" t="s">
        <v>74</v>
      </c>
      <c r="AF529" t="s">
        <v>74</v>
      </c>
      <c r="AG529">
        <v>13</v>
      </c>
      <c r="AH529">
        <v>2</v>
      </c>
      <c r="AI529">
        <v>2</v>
      </c>
      <c r="AJ529">
        <v>0</v>
      </c>
      <c r="AK529">
        <v>13</v>
      </c>
      <c r="AL529" t="s">
        <v>9391</v>
      </c>
      <c r="AM529" t="s">
        <v>4752</v>
      </c>
      <c r="AN529" t="s">
        <v>9392</v>
      </c>
      <c r="AO529" t="s">
        <v>9393</v>
      </c>
      <c r="AP529" t="s">
        <v>74</v>
      </c>
      <c r="AQ529" t="s">
        <v>74</v>
      </c>
      <c r="AR529" t="s">
        <v>9394</v>
      </c>
      <c r="AS529" t="s">
        <v>9395</v>
      </c>
      <c r="AT529" t="s">
        <v>74</v>
      </c>
      <c r="AU529">
        <v>2011</v>
      </c>
      <c r="AV529">
        <v>26</v>
      </c>
      <c r="AW529">
        <v>4</v>
      </c>
      <c r="AX529" t="s">
        <v>74</v>
      </c>
      <c r="AY529" t="s">
        <v>74</v>
      </c>
      <c r="AZ529" t="s">
        <v>74</v>
      </c>
      <c r="BA529" t="s">
        <v>74</v>
      </c>
      <c r="BB529">
        <v>495</v>
      </c>
      <c r="BC529">
        <v>523</v>
      </c>
      <c r="BD529" t="s">
        <v>74</v>
      </c>
      <c r="BE529" t="s">
        <v>9396</v>
      </c>
      <c r="BF529" t="str">
        <f>HYPERLINK("http://dx.doi.org/10.1163/157180811X592101","http://dx.doi.org/10.1163/157180811X592101")</f>
        <v>http://dx.doi.org/10.1163/157180811X592101</v>
      </c>
      <c r="BG529" t="s">
        <v>74</v>
      </c>
      <c r="BH529" t="s">
        <v>74</v>
      </c>
      <c r="BI529">
        <v>29</v>
      </c>
      <c r="BJ529" t="s">
        <v>9397</v>
      </c>
      <c r="BK529" t="s">
        <v>1318</v>
      </c>
      <c r="BL529" t="s">
        <v>1319</v>
      </c>
      <c r="BM529" t="s">
        <v>9398</v>
      </c>
      <c r="BN529" t="s">
        <v>74</v>
      </c>
      <c r="BO529" t="s">
        <v>74</v>
      </c>
      <c r="BP529" t="s">
        <v>74</v>
      </c>
      <c r="BQ529" t="s">
        <v>74</v>
      </c>
      <c r="BR529" t="s">
        <v>103</v>
      </c>
      <c r="BS529" t="s">
        <v>9399</v>
      </c>
      <c r="BT529" t="str">
        <f>HYPERLINK("https%3A%2F%2Fwww.webofscience.com%2Fwos%2Fwoscc%2Ffull-record%2FWOS:000208618300002","View Full Record in Web of Science")</f>
        <v>View Full Record in Web of Science</v>
      </c>
    </row>
    <row r="530" spans="1:72" x14ac:dyDescent="0.15">
      <c r="A530" t="s">
        <v>72</v>
      </c>
      <c r="B530" t="s">
        <v>9400</v>
      </c>
      <c r="C530" t="s">
        <v>74</v>
      </c>
      <c r="D530" t="s">
        <v>74</v>
      </c>
      <c r="E530" t="s">
        <v>74</v>
      </c>
      <c r="F530" t="s">
        <v>9401</v>
      </c>
      <c r="G530" t="s">
        <v>74</v>
      </c>
      <c r="H530" t="s">
        <v>74</v>
      </c>
      <c r="I530" t="s">
        <v>9402</v>
      </c>
      <c r="J530" t="s">
        <v>3853</v>
      </c>
      <c r="K530" t="s">
        <v>74</v>
      </c>
      <c r="L530" t="s">
        <v>74</v>
      </c>
      <c r="M530" t="s">
        <v>78</v>
      </c>
      <c r="N530" t="s">
        <v>79</v>
      </c>
      <c r="O530" t="s">
        <v>74</v>
      </c>
      <c r="P530" t="s">
        <v>74</v>
      </c>
      <c r="Q530" t="s">
        <v>74</v>
      </c>
      <c r="R530" t="s">
        <v>74</v>
      </c>
      <c r="S530" t="s">
        <v>74</v>
      </c>
      <c r="T530" t="s">
        <v>74</v>
      </c>
      <c r="U530" t="s">
        <v>9403</v>
      </c>
      <c r="V530" t="s">
        <v>9404</v>
      </c>
      <c r="W530" t="s">
        <v>9405</v>
      </c>
      <c r="X530" t="s">
        <v>9406</v>
      </c>
      <c r="Y530" t="s">
        <v>9407</v>
      </c>
      <c r="Z530" t="s">
        <v>9408</v>
      </c>
      <c r="AA530" t="s">
        <v>9409</v>
      </c>
      <c r="AB530" t="s">
        <v>9410</v>
      </c>
      <c r="AC530" t="s">
        <v>9411</v>
      </c>
      <c r="AD530" t="s">
        <v>9412</v>
      </c>
      <c r="AE530" t="s">
        <v>9413</v>
      </c>
      <c r="AF530" t="s">
        <v>74</v>
      </c>
      <c r="AG530">
        <v>57</v>
      </c>
      <c r="AH530">
        <v>4</v>
      </c>
      <c r="AI530">
        <v>4</v>
      </c>
      <c r="AJ530">
        <v>0</v>
      </c>
      <c r="AK530">
        <v>10</v>
      </c>
      <c r="AL530" t="s">
        <v>474</v>
      </c>
      <c r="AM530" t="s">
        <v>475</v>
      </c>
      <c r="AN530" t="s">
        <v>476</v>
      </c>
      <c r="AO530" t="s">
        <v>3862</v>
      </c>
      <c r="AP530" t="s">
        <v>3893</v>
      </c>
      <c r="AQ530" t="s">
        <v>74</v>
      </c>
      <c r="AR530" t="s">
        <v>3863</v>
      </c>
      <c r="AS530" t="s">
        <v>3864</v>
      </c>
      <c r="AT530" t="s">
        <v>74</v>
      </c>
      <c r="AU530">
        <v>2011</v>
      </c>
      <c r="AV530">
        <v>32</v>
      </c>
      <c r="AW530">
        <v>3</v>
      </c>
      <c r="AX530" t="s">
        <v>74</v>
      </c>
      <c r="AY530" t="s">
        <v>74</v>
      </c>
      <c r="AZ530" t="s">
        <v>74</v>
      </c>
      <c r="BA530" t="s">
        <v>74</v>
      </c>
      <c r="BB530">
        <v>767</v>
      </c>
      <c r="BC530">
        <v>785</v>
      </c>
      <c r="BD530" t="s">
        <v>9414</v>
      </c>
      <c r="BE530" t="s">
        <v>9415</v>
      </c>
      <c r="BF530" t="str">
        <f>HYPERLINK("http://dx.doi.org/10.1080/01431161.2010.517799","http://dx.doi.org/10.1080/01431161.2010.517799")</f>
        <v>http://dx.doi.org/10.1080/01431161.2010.517799</v>
      </c>
      <c r="BG530" t="s">
        <v>74</v>
      </c>
      <c r="BH530" t="s">
        <v>74</v>
      </c>
      <c r="BI530">
        <v>19</v>
      </c>
      <c r="BJ530" t="s">
        <v>3866</v>
      </c>
      <c r="BK530" t="s">
        <v>100</v>
      </c>
      <c r="BL530" t="s">
        <v>3866</v>
      </c>
      <c r="BM530" t="s">
        <v>9416</v>
      </c>
      <c r="BN530" t="s">
        <v>74</v>
      </c>
      <c r="BO530" t="s">
        <v>74</v>
      </c>
      <c r="BP530" t="s">
        <v>74</v>
      </c>
      <c r="BQ530" t="s">
        <v>74</v>
      </c>
      <c r="BR530" t="s">
        <v>103</v>
      </c>
      <c r="BS530" t="s">
        <v>9417</v>
      </c>
      <c r="BT530" t="str">
        <f>HYPERLINK("https%3A%2F%2Fwww.webofscience.com%2Fwos%2Fwoscc%2Ffull-record%2FWOS:000287740600012","View Full Record in Web of Science")</f>
        <v>View Full Record in Web of Science</v>
      </c>
    </row>
    <row r="531" spans="1:72" x14ac:dyDescent="0.15">
      <c r="A531" t="s">
        <v>72</v>
      </c>
      <c r="B531" t="s">
        <v>9418</v>
      </c>
      <c r="C531" t="s">
        <v>74</v>
      </c>
      <c r="D531" t="s">
        <v>74</v>
      </c>
      <c r="E531" t="s">
        <v>74</v>
      </c>
      <c r="F531" t="s">
        <v>9419</v>
      </c>
      <c r="G531" t="s">
        <v>74</v>
      </c>
      <c r="H531" t="s">
        <v>74</v>
      </c>
      <c r="I531" t="s">
        <v>9420</v>
      </c>
      <c r="J531" t="s">
        <v>3853</v>
      </c>
      <c r="K531" t="s">
        <v>74</v>
      </c>
      <c r="L531" t="s">
        <v>74</v>
      </c>
      <c r="M531" t="s">
        <v>78</v>
      </c>
      <c r="N531" t="s">
        <v>79</v>
      </c>
      <c r="O531" t="s">
        <v>74</v>
      </c>
      <c r="P531" t="s">
        <v>74</v>
      </c>
      <c r="Q531" t="s">
        <v>74</v>
      </c>
      <c r="R531" t="s">
        <v>74</v>
      </c>
      <c r="S531" t="s">
        <v>74</v>
      </c>
      <c r="T531" t="s">
        <v>74</v>
      </c>
      <c r="U531" t="s">
        <v>9421</v>
      </c>
      <c r="V531" t="s">
        <v>9422</v>
      </c>
      <c r="W531" t="s">
        <v>9423</v>
      </c>
      <c r="X531" t="s">
        <v>9424</v>
      </c>
      <c r="Y531" t="s">
        <v>9425</v>
      </c>
      <c r="Z531" t="s">
        <v>9426</v>
      </c>
      <c r="AA531" t="s">
        <v>74</v>
      </c>
      <c r="AB531" t="s">
        <v>9427</v>
      </c>
      <c r="AC531" t="s">
        <v>9428</v>
      </c>
      <c r="AD531" t="s">
        <v>6569</v>
      </c>
      <c r="AE531" t="s">
        <v>9429</v>
      </c>
      <c r="AF531" t="s">
        <v>74</v>
      </c>
      <c r="AG531">
        <v>24</v>
      </c>
      <c r="AH531">
        <v>21</v>
      </c>
      <c r="AI531">
        <v>22</v>
      </c>
      <c r="AJ531">
        <v>0</v>
      </c>
      <c r="AK531">
        <v>6</v>
      </c>
      <c r="AL531" t="s">
        <v>474</v>
      </c>
      <c r="AM531" t="s">
        <v>475</v>
      </c>
      <c r="AN531" t="s">
        <v>3861</v>
      </c>
      <c r="AO531" t="s">
        <v>3862</v>
      </c>
      <c r="AP531" t="s">
        <v>74</v>
      </c>
      <c r="AQ531" t="s">
        <v>74</v>
      </c>
      <c r="AR531" t="s">
        <v>3863</v>
      </c>
      <c r="AS531" t="s">
        <v>3864</v>
      </c>
      <c r="AT531" t="s">
        <v>74</v>
      </c>
      <c r="AU531">
        <v>2011</v>
      </c>
      <c r="AV531">
        <v>32</v>
      </c>
      <c r="AW531">
        <v>7</v>
      </c>
      <c r="AX531" t="s">
        <v>74</v>
      </c>
      <c r="AY531" t="s">
        <v>74</v>
      </c>
      <c r="AZ531" t="s">
        <v>74</v>
      </c>
      <c r="BA531" t="s">
        <v>74</v>
      </c>
      <c r="BB531">
        <v>2013</v>
      </c>
      <c r="BC531">
        <v>2035</v>
      </c>
      <c r="BD531" t="s">
        <v>74</v>
      </c>
      <c r="BE531" t="s">
        <v>9430</v>
      </c>
      <c r="BF531" t="str">
        <f>HYPERLINK("http://dx.doi.org/10.1080/01431161003645824","http://dx.doi.org/10.1080/01431161003645824")</f>
        <v>http://dx.doi.org/10.1080/01431161003645824</v>
      </c>
      <c r="BG531" t="s">
        <v>74</v>
      </c>
      <c r="BH531" t="s">
        <v>74</v>
      </c>
      <c r="BI531">
        <v>23</v>
      </c>
      <c r="BJ531" t="s">
        <v>3866</v>
      </c>
      <c r="BK531" t="s">
        <v>100</v>
      </c>
      <c r="BL531" t="s">
        <v>3866</v>
      </c>
      <c r="BM531" t="s">
        <v>9431</v>
      </c>
      <c r="BN531" t="s">
        <v>74</v>
      </c>
      <c r="BO531" t="s">
        <v>74</v>
      </c>
      <c r="BP531" t="s">
        <v>74</v>
      </c>
      <c r="BQ531" t="s">
        <v>74</v>
      </c>
      <c r="BR531" t="s">
        <v>103</v>
      </c>
      <c r="BS531" t="s">
        <v>9432</v>
      </c>
      <c r="BT531" t="str">
        <f>HYPERLINK("https%3A%2F%2Fwww.webofscience.com%2Fwos%2Fwoscc%2Ffull-record%2FWOS:000289145200013","View Full Record in Web of Science")</f>
        <v>View Full Record in Web of Science</v>
      </c>
    </row>
    <row r="532" spans="1:72" x14ac:dyDescent="0.15">
      <c r="A532" t="s">
        <v>72</v>
      </c>
      <c r="B532" t="s">
        <v>9433</v>
      </c>
      <c r="C532" t="s">
        <v>74</v>
      </c>
      <c r="D532" t="s">
        <v>74</v>
      </c>
      <c r="E532" t="s">
        <v>74</v>
      </c>
      <c r="F532" t="s">
        <v>9434</v>
      </c>
      <c r="G532" t="s">
        <v>74</v>
      </c>
      <c r="H532" t="s">
        <v>74</v>
      </c>
      <c r="I532" t="s">
        <v>9435</v>
      </c>
      <c r="J532" t="s">
        <v>3853</v>
      </c>
      <c r="K532" t="s">
        <v>74</v>
      </c>
      <c r="L532" t="s">
        <v>74</v>
      </c>
      <c r="M532" t="s">
        <v>78</v>
      </c>
      <c r="N532" t="s">
        <v>79</v>
      </c>
      <c r="O532" t="s">
        <v>74</v>
      </c>
      <c r="P532" t="s">
        <v>74</v>
      </c>
      <c r="Q532" t="s">
        <v>74</v>
      </c>
      <c r="R532" t="s">
        <v>74</v>
      </c>
      <c r="S532" t="s">
        <v>74</v>
      </c>
      <c r="T532" t="s">
        <v>74</v>
      </c>
      <c r="U532" t="s">
        <v>9436</v>
      </c>
      <c r="V532" t="s">
        <v>9437</v>
      </c>
      <c r="W532" t="s">
        <v>9438</v>
      </c>
      <c r="X532" t="s">
        <v>6204</v>
      </c>
      <c r="Y532" t="s">
        <v>9439</v>
      </c>
      <c r="Z532" t="s">
        <v>9440</v>
      </c>
      <c r="AA532" t="s">
        <v>9441</v>
      </c>
      <c r="AB532" t="s">
        <v>9442</v>
      </c>
      <c r="AC532" t="s">
        <v>9443</v>
      </c>
      <c r="AD532" t="s">
        <v>9444</v>
      </c>
      <c r="AE532" t="s">
        <v>9445</v>
      </c>
      <c r="AF532" t="s">
        <v>74</v>
      </c>
      <c r="AG532">
        <v>35</v>
      </c>
      <c r="AH532">
        <v>2</v>
      </c>
      <c r="AI532">
        <v>2</v>
      </c>
      <c r="AJ532">
        <v>1</v>
      </c>
      <c r="AK532">
        <v>4</v>
      </c>
      <c r="AL532" t="s">
        <v>474</v>
      </c>
      <c r="AM532" t="s">
        <v>475</v>
      </c>
      <c r="AN532" t="s">
        <v>3861</v>
      </c>
      <c r="AO532" t="s">
        <v>3862</v>
      </c>
      <c r="AP532" t="s">
        <v>74</v>
      </c>
      <c r="AQ532" t="s">
        <v>74</v>
      </c>
      <c r="AR532" t="s">
        <v>3863</v>
      </c>
      <c r="AS532" t="s">
        <v>3864</v>
      </c>
      <c r="AT532" t="s">
        <v>74</v>
      </c>
      <c r="AU532">
        <v>2011</v>
      </c>
      <c r="AV532">
        <v>32</v>
      </c>
      <c r="AW532">
        <v>10</v>
      </c>
      <c r="AX532" t="s">
        <v>74</v>
      </c>
      <c r="AY532" t="s">
        <v>74</v>
      </c>
      <c r="AZ532" t="s">
        <v>74</v>
      </c>
      <c r="BA532" t="s">
        <v>74</v>
      </c>
      <c r="BB532">
        <v>2887</v>
      </c>
      <c r="BC532">
        <v>2903</v>
      </c>
      <c r="BD532" t="s">
        <v>9446</v>
      </c>
      <c r="BE532" t="s">
        <v>9447</v>
      </c>
      <c r="BF532" t="str">
        <f>HYPERLINK("http://dx.doi.org/10.1080/01431161003745624","http://dx.doi.org/10.1080/01431161003745624")</f>
        <v>http://dx.doi.org/10.1080/01431161003745624</v>
      </c>
      <c r="BG532" t="s">
        <v>74</v>
      </c>
      <c r="BH532" t="s">
        <v>74</v>
      </c>
      <c r="BI532">
        <v>17</v>
      </c>
      <c r="BJ532" t="s">
        <v>3866</v>
      </c>
      <c r="BK532" t="s">
        <v>100</v>
      </c>
      <c r="BL532" t="s">
        <v>3866</v>
      </c>
      <c r="BM532" t="s">
        <v>9448</v>
      </c>
      <c r="BN532" t="s">
        <v>74</v>
      </c>
      <c r="BO532" t="s">
        <v>74</v>
      </c>
      <c r="BP532" t="s">
        <v>74</v>
      </c>
      <c r="BQ532" t="s">
        <v>74</v>
      </c>
      <c r="BR532" t="s">
        <v>103</v>
      </c>
      <c r="BS532" t="s">
        <v>9449</v>
      </c>
      <c r="BT532" t="str">
        <f>HYPERLINK("https%3A%2F%2Fwww.webofscience.com%2Fwos%2Fwoscc%2Ffull-record%2FWOS:000290985000012","View Full Record in Web of Science")</f>
        <v>View Full Record in Web of Science</v>
      </c>
    </row>
    <row r="533" spans="1:72" x14ac:dyDescent="0.15">
      <c r="A533" t="s">
        <v>72</v>
      </c>
      <c r="B533" t="s">
        <v>9450</v>
      </c>
      <c r="C533" t="s">
        <v>74</v>
      </c>
      <c r="D533" t="s">
        <v>74</v>
      </c>
      <c r="E533" t="s">
        <v>74</v>
      </c>
      <c r="F533" t="s">
        <v>9451</v>
      </c>
      <c r="G533" t="s">
        <v>74</v>
      </c>
      <c r="H533" t="s">
        <v>74</v>
      </c>
      <c r="I533" t="s">
        <v>9452</v>
      </c>
      <c r="J533" t="s">
        <v>3853</v>
      </c>
      <c r="K533" t="s">
        <v>74</v>
      </c>
      <c r="L533" t="s">
        <v>74</v>
      </c>
      <c r="M533" t="s">
        <v>78</v>
      </c>
      <c r="N533" t="s">
        <v>79</v>
      </c>
      <c r="O533" t="s">
        <v>74</v>
      </c>
      <c r="P533" t="s">
        <v>74</v>
      </c>
      <c r="Q533" t="s">
        <v>74</v>
      </c>
      <c r="R533" t="s">
        <v>74</v>
      </c>
      <c r="S533" t="s">
        <v>74</v>
      </c>
      <c r="T533" t="s">
        <v>74</v>
      </c>
      <c r="U533" t="s">
        <v>9453</v>
      </c>
      <c r="V533" t="s">
        <v>9454</v>
      </c>
      <c r="W533" t="s">
        <v>9455</v>
      </c>
      <c r="X533" t="s">
        <v>9456</v>
      </c>
      <c r="Y533" t="s">
        <v>9457</v>
      </c>
      <c r="Z533" t="s">
        <v>9458</v>
      </c>
      <c r="AA533" t="s">
        <v>9459</v>
      </c>
      <c r="AB533" t="s">
        <v>9460</v>
      </c>
      <c r="AC533" t="s">
        <v>9461</v>
      </c>
      <c r="AD533" t="s">
        <v>9462</v>
      </c>
      <c r="AE533" t="s">
        <v>9463</v>
      </c>
      <c r="AF533" t="s">
        <v>74</v>
      </c>
      <c r="AG533">
        <v>43</v>
      </c>
      <c r="AH533">
        <v>12</v>
      </c>
      <c r="AI533">
        <v>14</v>
      </c>
      <c r="AJ533">
        <v>0</v>
      </c>
      <c r="AK533">
        <v>4</v>
      </c>
      <c r="AL533" t="s">
        <v>474</v>
      </c>
      <c r="AM533" t="s">
        <v>475</v>
      </c>
      <c r="AN533" t="s">
        <v>3861</v>
      </c>
      <c r="AO533" t="s">
        <v>3862</v>
      </c>
      <c r="AP533" t="s">
        <v>74</v>
      </c>
      <c r="AQ533" t="s">
        <v>74</v>
      </c>
      <c r="AR533" t="s">
        <v>3863</v>
      </c>
      <c r="AS533" t="s">
        <v>3864</v>
      </c>
      <c r="AT533" t="s">
        <v>74</v>
      </c>
      <c r="AU533">
        <v>2011</v>
      </c>
      <c r="AV533">
        <v>32</v>
      </c>
      <c r="AW533">
        <v>14</v>
      </c>
      <c r="AX533" t="s">
        <v>74</v>
      </c>
      <c r="AY533" t="s">
        <v>74</v>
      </c>
      <c r="AZ533" t="s">
        <v>74</v>
      </c>
      <c r="BA533" t="s">
        <v>74</v>
      </c>
      <c r="BB533">
        <v>3967</v>
      </c>
      <c r="BC533">
        <v>3984</v>
      </c>
      <c r="BD533" t="s">
        <v>74</v>
      </c>
      <c r="BE533" t="s">
        <v>9464</v>
      </c>
      <c r="BF533" t="str">
        <f>HYPERLINK("http://dx.doi.org/10.1080/01431161003801344","http://dx.doi.org/10.1080/01431161003801344")</f>
        <v>http://dx.doi.org/10.1080/01431161003801344</v>
      </c>
      <c r="BG533" t="s">
        <v>74</v>
      </c>
      <c r="BH533" t="s">
        <v>74</v>
      </c>
      <c r="BI533">
        <v>18</v>
      </c>
      <c r="BJ533" t="s">
        <v>3866</v>
      </c>
      <c r="BK533" t="s">
        <v>100</v>
      </c>
      <c r="BL533" t="s">
        <v>3866</v>
      </c>
      <c r="BM533" t="s">
        <v>9465</v>
      </c>
      <c r="BN533" t="s">
        <v>74</v>
      </c>
      <c r="BO533" t="s">
        <v>138</v>
      </c>
      <c r="BP533" t="s">
        <v>74</v>
      </c>
      <c r="BQ533" t="s">
        <v>74</v>
      </c>
      <c r="BR533" t="s">
        <v>103</v>
      </c>
      <c r="BS533" t="s">
        <v>9466</v>
      </c>
      <c r="BT533" t="str">
        <f>HYPERLINK("https%3A%2F%2Fwww.webofscience.com%2Fwos%2Fwoscc%2Ffull-record%2FWOS:000293232000008","View Full Record in Web of Science")</f>
        <v>View Full Record in Web of Science</v>
      </c>
    </row>
    <row r="534" spans="1:72" x14ac:dyDescent="0.15">
      <c r="A534" t="s">
        <v>72</v>
      </c>
      <c r="B534" t="s">
        <v>9467</v>
      </c>
      <c r="C534" t="s">
        <v>74</v>
      </c>
      <c r="D534" t="s">
        <v>74</v>
      </c>
      <c r="E534" t="s">
        <v>74</v>
      </c>
      <c r="F534" t="s">
        <v>9468</v>
      </c>
      <c r="G534" t="s">
        <v>74</v>
      </c>
      <c r="H534" t="s">
        <v>74</v>
      </c>
      <c r="I534" t="s">
        <v>9469</v>
      </c>
      <c r="J534" t="s">
        <v>3853</v>
      </c>
      <c r="K534" t="s">
        <v>74</v>
      </c>
      <c r="L534" t="s">
        <v>74</v>
      </c>
      <c r="M534" t="s">
        <v>78</v>
      </c>
      <c r="N534" t="s">
        <v>79</v>
      </c>
      <c r="O534" t="s">
        <v>74</v>
      </c>
      <c r="P534" t="s">
        <v>74</v>
      </c>
      <c r="Q534" t="s">
        <v>74</v>
      </c>
      <c r="R534" t="s">
        <v>74</v>
      </c>
      <c r="S534" t="s">
        <v>74</v>
      </c>
      <c r="T534" t="s">
        <v>74</v>
      </c>
      <c r="U534" t="s">
        <v>9470</v>
      </c>
      <c r="V534" t="s">
        <v>9471</v>
      </c>
      <c r="W534" t="s">
        <v>9472</v>
      </c>
      <c r="X534" t="s">
        <v>9473</v>
      </c>
      <c r="Y534" t="s">
        <v>9474</v>
      </c>
      <c r="Z534" t="s">
        <v>9475</v>
      </c>
      <c r="AA534" t="s">
        <v>9476</v>
      </c>
      <c r="AB534" t="s">
        <v>9477</v>
      </c>
      <c r="AC534" t="s">
        <v>9478</v>
      </c>
      <c r="AD534" t="s">
        <v>9479</v>
      </c>
      <c r="AE534" t="s">
        <v>9480</v>
      </c>
      <c r="AF534" t="s">
        <v>74</v>
      </c>
      <c r="AG534">
        <v>51</v>
      </c>
      <c r="AH534">
        <v>6</v>
      </c>
      <c r="AI534">
        <v>6</v>
      </c>
      <c r="AJ534">
        <v>1</v>
      </c>
      <c r="AK534">
        <v>10</v>
      </c>
      <c r="AL534" t="s">
        <v>474</v>
      </c>
      <c r="AM534" t="s">
        <v>475</v>
      </c>
      <c r="AN534" t="s">
        <v>3861</v>
      </c>
      <c r="AO534" t="s">
        <v>3862</v>
      </c>
      <c r="AP534" t="s">
        <v>74</v>
      </c>
      <c r="AQ534" t="s">
        <v>74</v>
      </c>
      <c r="AR534" t="s">
        <v>3863</v>
      </c>
      <c r="AS534" t="s">
        <v>3864</v>
      </c>
      <c r="AT534" t="s">
        <v>74</v>
      </c>
      <c r="AU534">
        <v>2011</v>
      </c>
      <c r="AV534">
        <v>32</v>
      </c>
      <c r="AW534">
        <v>21</v>
      </c>
      <c r="AX534" t="s">
        <v>74</v>
      </c>
      <c r="AY534" t="s">
        <v>74</v>
      </c>
      <c r="AZ534" t="s">
        <v>74</v>
      </c>
      <c r="BA534" t="s">
        <v>74</v>
      </c>
      <c r="BB534">
        <v>6783</v>
      </c>
      <c r="BC534">
        <v>6798</v>
      </c>
      <c r="BD534" t="s">
        <v>74</v>
      </c>
      <c r="BE534" t="s">
        <v>9481</v>
      </c>
      <c r="BF534" t="str">
        <f>HYPERLINK("http://dx.doi.org/10.1080/01431161.2010.512945","http://dx.doi.org/10.1080/01431161.2010.512945")</f>
        <v>http://dx.doi.org/10.1080/01431161.2010.512945</v>
      </c>
      <c r="BG534" t="s">
        <v>74</v>
      </c>
      <c r="BH534" t="s">
        <v>74</v>
      </c>
      <c r="BI534">
        <v>16</v>
      </c>
      <c r="BJ534" t="s">
        <v>3866</v>
      </c>
      <c r="BK534" t="s">
        <v>100</v>
      </c>
      <c r="BL534" t="s">
        <v>3866</v>
      </c>
      <c r="BM534" t="s">
        <v>9482</v>
      </c>
      <c r="BN534" t="s">
        <v>74</v>
      </c>
      <c r="BO534" t="s">
        <v>74</v>
      </c>
      <c r="BP534" t="s">
        <v>74</v>
      </c>
      <c r="BQ534" t="s">
        <v>74</v>
      </c>
      <c r="BR534" t="s">
        <v>103</v>
      </c>
      <c r="BS534" t="s">
        <v>9483</v>
      </c>
      <c r="BT534" t="str">
        <f>HYPERLINK("https%3A%2F%2Fwww.webofscience.com%2Fwos%2Fwoscc%2Ffull-record%2FWOS:000298370800047","View Full Record in Web of Science")</f>
        <v>View Full Record in Web of Science</v>
      </c>
    </row>
    <row r="535" spans="1:72" x14ac:dyDescent="0.15">
      <c r="A535" t="s">
        <v>72</v>
      </c>
      <c r="B535" t="s">
        <v>9484</v>
      </c>
      <c r="C535" t="s">
        <v>74</v>
      </c>
      <c r="D535" t="s">
        <v>74</v>
      </c>
      <c r="E535" t="s">
        <v>74</v>
      </c>
      <c r="F535" t="s">
        <v>9485</v>
      </c>
      <c r="G535" t="s">
        <v>74</v>
      </c>
      <c r="H535" t="s">
        <v>74</v>
      </c>
      <c r="I535" t="s">
        <v>9486</v>
      </c>
      <c r="J535" t="s">
        <v>3853</v>
      </c>
      <c r="K535" t="s">
        <v>74</v>
      </c>
      <c r="L535" t="s">
        <v>74</v>
      </c>
      <c r="M535" t="s">
        <v>78</v>
      </c>
      <c r="N535" t="s">
        <v>79</v>
      </c>
      <c r="O535" t="s">
        <v>74</v>
      </c>
      <c r="P535" t="s">
        <v>74</v>
      </c>
      <c r="Q535" t="s">
        <v>74</v>
      </c>
      <c r="R535" t="s">
        <v>74</v>
      </c>
      <c r="S535" t="s">
        <v>74</v>
      </c>
      <c r="T535" t="s">
        <v>74</v>
      </c>
      <c r="U535" t="s">
        <v>9487</v>
      </c>
      <c r="V535" t="s">
        <v>9488</v>
      </c>
      <c r="W535" t="s">
        <v>9489</v>
      </c>
      <c r="X535" t="s">
        <v>9490</v>
      </c>
      <c r="Y535" t="s">
        <v>9491</v>
      </c>
      <c r="Z535" t="s">
        <v>9492</v>
      </c>
      <c r="AA535" t="s">
        <v>9493</v>
      </c>
      <c r="AB535" t="s">
        <v>9494</v>
      </c>
      <c r="AC535" t="s">
        <v>9495</v>
      </c>
      <c r="AD535" t="s">
        <v>9496</v>
      </c>
      <c r="AE535" t="s">
        <v>9497</v>
      </c>
      <c r="AF535" t="s">
        <v>74</v>
      </c>
      <c r="AG535">
        <v>88</v>
      </c>
      <c r="AH535">
        <v>22</v>
      </c>
      <c r="AI535">
        <v>24</v>
      </c>
      <c r="AJ535">
        <v>0</v>
      </c>
      <c r="AK535">
        <v>31</v>
      </c>
      <c r="AL535" t="s">
        <v>474</v>
      </c>
      <c r="AM535" t="s">
        <v>475</v>
      </c>
      <c r="AN535" t="s">
        <v>476</v>
      </c>
      <c r="AO535" t="s">
        <v>3862</v>
      </c>
      <c r="AP535" t="s">
        <v>3893</v>
      </c>
      <c r="AQ535" t="s">
        <v>74</v>
      </c>
      <c r="AR535" t="s">
        <v>3863</v>
      </c>
      <c r="AS535" t="s">
        <v>3864</v>
      </c>
      <c r="AT535" t="s">
        <v>74</v>
      </c>
      <c r="AU535">
        <v>2011</v>
      </c>
      <c r="AV535">
        <v>32</v>
      </c>
      <c r="AW535">
        <v>22</v>
      </c>
      <c r="AX535" t="s">
        <v>74</v>
      </c>
      <c r="AY535" t="s">
        <v>74</v>
      </c>
      <c r="AZ535" t="s">
        <v>74</v>
      </c>
      <c r="BA535" t="s">
        <v>74</v>
      </c>
      <c r="BB535">
        <v>7033</v>
      </c>
      <c r="BC535">
        <v>7056</v>
      </c>
      <c r="BD535" t="s">
        <v>74</v>
      </c>
      <c r="BE535" t="s">
        <v>9498</v>
      </c>
      <c r="BF535" t="str">
        <f>HYPERLINK("http://dx.doi.org/10.1080/01431161.2011.611187","http://dx.doi.org/10.1080/01431161.2011.611187")</f>
        <v>http://dx.doi.org/10.1080/01431161.2011.611187</v>
      </c>
      <c r="BG535" t="s">
        <v>74</v>
      </c>
      <c r="BH535" t="s">
        <v>74</v>
      </c>
      <c r="BI535">
        <v>24</v>
      </c>
      <c r="BJ535" t="s">
        <v>3866</v>
      </c>
      <c r="BK535" t="s">
        <v>100</v>
      </c>
      <c r="BL535" t="s">
        <v>3866</v>
      </c>
      <c r="BM535" t="s">
        <v>9499</v>
      </c>
      <c r="BN535" t="s">
        <v>74</v>
      </c>
      <c r="BO535" t="s">
        <v>74</v>
      </c>
      <c r="BP535" t="s">
        <v>74</v>
      </c>
      <c r="BQ535" t="s">
        <v>74</v>
      </c>
      <c r="BR535" t="s">
        <v>103</v>
      </c>
      <c r="BS535" t="s">
        <v>9500</v>
      </c>
      <c r="BT535" t="str">
        <f>HYPERLINK("https%3A%2F%2Fwww.webofscience.com%2Fwos%2Fwoscc%2Ffull-record%2FWOS:000298372800007","View Full Record in Web of Science")</f>
        <v>View Full Record in Web of Science</v>
      </c>
    </row>
    <row r="536" spans="1:72" x14ac:dyDescent="0.15">
      <c r="A536" t="s">
        <v>72</v>
      </c>
      <c r="B536" t="s">
        <v>9501</v>
      </c>
      <c r="C536" t="s">
        <v>74</v>
      </c>
      <c r="D536" t="s">
        <v>74</v>
      </c>
      <c r="E536" t="s">
        <v>74</v>
      </c>
      <c r="F536" t="s">
        <v>9502</v>
      </c>
      <c r="G536" t="s">
        <v>74</v>
      </c>
      <c r="H536" t="s">
        <v>74</v>
      </c>
      <c r="I536" t="s">
        <v>9503</v>
      </c>
      <c r="J536" t="s">
        <v>3853</v>
      </c>
      <c r="K536" t="s">
        <v>74</v>
      </c>
      <c r="L536" t="s">
        <v>74</v>
      </c>
      <c r="M536" t="s">
        <v>78</v>
      </c>
      <c r="N536" t="s">
        <v>681</v>
      </c>
      <c r="O536" t="s">
        <v>74</v>
      </c>
      <c r="P536" t="s">
        <v>74</v>
      </c>
      <c r="Q536" t="s">
        <v>74</v>
      </c>
      <c r="R536" t="s">
        <v>74</v>
      </c>
      <c r="S536" t="s">
        <v>74</v>
      </c>
      <c r="T536" t="s">
        <v>74</v>
      </c>
      <c r="U536" t="s">
        <v>9504</v>
      </c>
      <c r="V536" t="s">
        <v>9505</v>
      </c>
      <c r="W536" t="s">
        <v>9506</v>
      </c>
      <c r="X536" t="s">
        <v>9507</v>
      </c>
      <c r="Y536" t="s">
        <v>9508</v>
      </c>
      <c r="Z536" t="s">
        <v>9509</v>
      </c>
      <c r="AA536" t="s">
        <v>9510</v>
      </c>
      <c r="AB536" t="s">
        <v>9511</v>
      </c>
      <c r="AC536" t="s">
        <v>9512</v>
      </c>
      <c r="AD536" t="s">
        <v>9513</v>
      </c>
      <c r="AE536" t="s">
        <v>9514</v>
      </c>
      <c r="AF536" t="s">
        <v>74</v>
      </c>
      <c r="AG536">
        <v>111</v>
      </c>
      <c r="AH536">
        <v>106</v>
      </c>
      <c r="AI536">
        <v>136</v>
      </c>
      <c r="AJ536">
        <v>6</v>
      </c>
      <c r="AK536">
        <v>106</v>
      </c>
      <c r="AL536" t="s">
        <v>474</v>
      </c>
      <c r="AM536" t="s">
        <v>475</v>
      </c>
      <c r="AN536" t="s">
        <v>476</v>
      </c>
      <c r="AO536" t="s">
        <v>3862</v>
      </c>
      <c r="AP536" t="s">
        <v>3893</v>
      </c>
      <c r="AQ536" t="s">
        <v>74</v>
      </c>
      <c r="AR536" t="s">
        <v>3863</v>
      </c>
      <c r="AS536" t="s">
        <v>3864</v>
      </c>
      <c r="AT536" t="s">
        <v>74</v>
      </c>
      <c r="AU536">
        <v>2011</v>
      </c>
      <c r="AV536">
        <v>32</v>
      </c>
      <c r="AW536">
        <v>23</v>
      </c>
      <c r="AX536" t="s">
        <v>74</v>
      </c>
      <c r="AY536" t="s">
        <v>74</v>
      </c>
      <c r="AZ536" t="s">
        <v>74</v>
      </c>
      <c r="BA536" t="s">
        <v>74</v>
      </c>
      <c r="BB536">
        <v>8837</v>
      </c>
      <c r="BC536">
        <v>8864</v>
      </c>
      <c r="BD536" t="s">
        <v>74</v>
      </c>
      <c r="BE536" t="s">
        <v>9515</v>
      </c>
      <c r="BF536" t="str">
        <f>HYPERLINK("http://dx.doi.org/10.1080/01431161.2010.547533","http://dx.doi.org/10.1080/01431161.2010.547533")</f>
        <v>http://dx.doi.org/10.1080/01431161.2010.547533</v>
      </c>
      <c r="BG536" t="s">
        <v>74</v>
      </c>
      <c r="BH536" t="s">
        <v>74</v>
      </c>
      <c r="BI536">
        <v>28</v>
      </c>
      <c r="BJ536" t="s">
        <v>3866</v>
      </c>
      <c r="BK536" t="s">
        <v>100</v>
      </c>
      <c r="BL536" t="s">
        <v>3866</v>
      </c>
      <c r="BM536" t="s">
        <v>9516</v>
      </c>
      <c r="BN536" t="s">
        <v>74</v>
      </c>
      <c r="BO536" t="s">
        <v>74</v>
      </c>
      <c r="BP536" t="s">
        <v>74</v>
      </c>
      <c r="BQ536" t="s">
        <v>74</v>
      </c>
      <c r="BR536" t="s">
        <v>103</v>
      </c>
      <c r="BS536" t="s">
        <v>9517</v>
      </c>
      <c r="BT536" t="str">
        <f>HYPERLINK("https%3A%2F%2Fwww.webofscience.com%2Fwos%2Fwoscc%2Ffull-record%2FWOS:000298374200051","View Full Record in Web of Science")</f>
        <v>View Full Record in Web of Science</v>
      </c>
    </row>
    <row r="537" spans="1:72" x14ac:dyDescent="0.15">
      <c r="A537" t="s">
        <v>72</v>
      </c>
      <c r="B537" t="s">
        <v>9518</v>
      </c>
      <c r="C537" t="s">
        <v>74</v>
      </c>
      <c r="D537" t="s">
        <v>74</v>
      </c>
      <c r="E537" t="s">
        <v>74</v>
      </c>
      <c r="F537" t="s">
        <v>9519</v>
      </c>
      <c r="G537" t="s">
        <v>74</v>
      </c>
      <c r="H537" t="s">
        <v>74</v>
      </c>
      <c r="I537" t="s">
        <v>9520</v>
      </c>
      <c r="J537" t="s">
        <v>3853</v>
      </c>
      <c r="K537" t="s">
        <v>74</v>
      </c>
      <c r="L537" t="s">
        <v>74</v>
      </c>
      <c r="M537" t="s">
        <v>78</v>
      </c>
      <c r="N537" t="s">
        <v>79</v>
      </c>
      <c r="O537" t="s">
        <v>74</v>
      </c>
      <c r="P537" t="s">
        <v>74</v>
      </c>
      <c r="Q537" t="s">
        <v>74</v>
      </c>
      <c r="R537" t="s">
        <v>74</v>
      </c>
      <c r="S537" t="s">
        <v>74</v>
      </c>
      <c r="T537" t="s">
        <v>74</v>
      </c>
      <c r="U537" t="s">
        <v>9521</v>
      </c>
      <c r="V537" t="s">
        <v>9522</v>
      </c>
      <c r="W537" t="s">
        <v>9523</v>
      </c>
      <c r="X537" t="s">
        <v>9524</v>
      </c>
      <c r="Y537" t="s">
        <v>9525</v>
      </c>
      <c r="Z537" t="s">
        <v>9526</v>
      </c>
      <c r="AA537" t="s">
        <v>74</v>
      </c>
      <c r="AB537" t="s">
        <v>9527</v>
      </c>
      <c r="AC537" t="s">
        <v>74</v>
      </c>
      <c r="AD537" t="s">
        <v>74</v>
      </c>
      <c r="AE537" t="s">
        <v>74</v>
      </c>
      <c r="AF537" t="s">
        <v>74</v>
      </c>
      <c r="AG537">
        <v>17</v>
      </c>
      <c r="AH537">
        <v>4</v>
      </c>
      <c r="AI537">
        <v>7</v>
      </c>
      <c r="AJ537">
        <v>0</v>
      </c>
      <c r="AK537">
        <v>5</v>
      </c>
      <c r="AL537" t="s">
        <v>474</v>
      </c>
      <c r="AM537" t="s">
        <v>475</v>
      </c>
      <c r="AN537" t="s">
        <v>3861</v>
      </c>
      <c r="AO537" t="s">
        <v>3862</v>
      </c>
      <c r="AP537" t="s">
        <v>74</v>
      </c>
      <c r="AQ537" t="s">
        <v>74</v>
      </c>
      <c r="AR537" t="s">
        <v>3863</v>
      </c>
      <c r="AS537" t="s">
        <v>3864</v>
      </c>
      <c r="AT537" t="s">
        <v>74</v>
      </c>
      <c r="AU537">
        <v>2011</v>
      </c>
      <c r="AV537">
        <v>32</v>
      </c>
      <c r="AW537">
        <v>24</v>
      </c>
      <c r="AX537" t="s">
        <v>74</v>
      </c>
      <c r="AY537" t="s">
        <v>74</v>
      </c>
      <c r="AZ537" t="s">
        <v>74</v>
      </c>
      <c r="BA537" t="s">
        <v>74</v>
      </c>
      <c r="BB537">
        <v>9197</v>
      </c>
      <c r="BC537">
        <v>9205</v>
      </c>
      <c r="BD537" t="s">
        <v>74</v>
      </c>
      <c r="BE537" t="s">
        <v>9528</v>
      </c>
      <c r="BF537" t="str">
        <f>HYPERLINK("http://dx.doi.org/10.1080/01431161.2010.550649","http://dx.doi.org/10.1080/01431161.2010.550649")</f>
        <v>http://dx.doi.org/10.1080/01431161.2010.550649</v>
      </c>
      <c r="BG537" t="s">
        <v>74</v>
      </c>
      <c r="BH537" t="s">
        <v>74</v>
      </c>
      <c r="BI537">
        <v>9</v>
      </c>
      <c r="BJ537" t="s">
        <v>3866</v>
      </c>
      <c r="BK537" t="s">
        <v>100</v>
      </c>
      <c r="BL537" t="s">
        <v>3866</v>
      </c>
      <c r="BM537" t="s">
        <v>9529</v>
      </c>
      <c r="BN537" t="s">
        <v>74</v>
      </c>
      <c r="BO537" t="s">
        <v>74</v>
      </c>
      <c r="BP537" t="s">
        <v>74</v>
      </c>
      <c r="BQ537" t="s">
        <v>74</v>
      </c>
      <c r="BR537" t="s">
        <v>103</v>
      </c>
      <c r="BS537" t="s">
        <v>9530</v>
      </c>
      <c r="BT537" t="str">
        <f>HYPERLINK("https%3A%2F%2Fwww.webofscience.com%2Fwos%2Fwoscc%2Ffull-record%2FWOS:000298376000017","View Full Record in Web of Science")</f>
        <v>View Full Record in Web of Science</v>
      </c>
    </row>
    <row r="538" spans="1:72" x14ac:dyDescent="0.15">
      <c r="A538" t="s">
        <v>72</v>
      </c>
      <c r="B538" t="s">
        <v>9531</v>
      </c>
      <c r="C538" t="s">
        <v>74</v>
      </c>
      <c r="D538" t="s">
        <v>74</v>
      </c>
      <c r="E538" t="s">
        <v>74</v>
      </c>
      <c r="F538" t="s">
        <v>9532</v>
      </c>
      <c r="G538" t="s">
        <v>74</v>
      </c>
      <c r="H538" t="s">
        <v>74</v>
      </c>
      <c r="I538" t="s">
        <v>9533</v>
      </c>
      <c r="J538" t="s">
        <v>3853</v>
      </c>
      <c r="K538" t="s">
        <v>74</v>
      </c>
      <c r="L538" t="s">
        <v>74</v>
      </c>
      <c r="M538" t="s">
        <v>78</v>
      </c>
      <c r="N538" t="s">
        <v>79</v>
      </c>
      <c r="O538" t="s">
        <v>74</v>
      </c>
      <c r="P538" t="s">
        <v>74</v>
      </c>
      <c r="Q538" t="s">
        <v>74</v>
      </c>
      <c r="R538" t="s">
        <v>74</v>
      </c>
      <c r="S538" t="s">
        <v>74</v>
      </c>
      <c r="T538" t="s">
        <v>74</v>
      </c>
      <c r="U538" t="s">
        <v>9534</v>
      </c>
      <c r="V538" t="s">
        <v>9535</v>
      </c>
      <c r="W538" t="s">
        <v>9536</v>
      </c>
      <c r="X538" t="s">
        <v>9537</v>
      </c>
      <c r="Y538" t="s">
        <v>9538</v>
      </c>
      <c r="Z538" t="s">
        <v>9539</v>
      </c>
      <c r="AA538" t="s">
        <v>74</v>
      </c>
      <c r="AB538" t="s">
        <v>74</v>
      </c>
      <c r="AC538" t="s">
        <v>9540</v>
      </c>
      <c r="AD538" t="s">
        <v>9540</v>
      </c>
      <c r="AE538" t="s">
        <v>9541</v>
      </c>
      <c r="AF538" t="s">
        <v>74</v>
      </c>
      <c r="AG538">
        <v>29</v>
      </c>
      <c r="AH538">
        <v>0</v>
      </c>
      <c r="AI538">
        <v>1</v>
      </c>
      <c r="AJ538">
        <v>0</v>
      </c>
      <c r="AK538">
        <v>6</v>
      </c>
      <c r="AL538" t="s">
        <v>474</v>
      </c>
      <c r="AM538" t="s">
        <v>475</v>
      </c>
      <c r="AN538" t="s">
        <v>476</v>
      </c>
      <c r="AO538" t="s">
        <v>3862</v>
      </c>
      <c r="AP538" t="s">
        <v>3893</v>
      </c>
      <c r="AQ538" t="s">
        <v>74</v>
      </c>
      <c r="AR538" t="s">
        <v>3863</v>
      </c>
      <c r="AS538" t="s">
        <v>3864</v>
      </c>
      <c r="AT538" t="s">
        <v>74</v>
      </c>
      <c r="AU538">
        <v>2011</v>
      </c>
      <c r="AV538">
        <v>32</v>
      </c>
      <c r="AW538">
        <v>24</v>
      </c>
      <c r="AX538" t="s">
        <v>74</v>
      </c>
      <c r="AY538" t="s">
        <v>74</v>
      </c>
      <c r="AZ538" t="s">
        <v>74</v>
      </c>
      <c r="BA538" t="s">
        <v>74</v>
      </c>
      <c r="BB538">
        <v>9879</v>
      </c>
      <c r="BC538">
        <v>9891</v>
      </c>
      <c r="BD538" t="s">
        <v>74</v>
      </c>
      <c r="BE538" t="s">
        <v>9542</v>
      </c>
      <c r="BF538" t="str">
        <f>HYPERLINK("http://dx.doi.org/10.1080/01431161.2011.562932","http://dx.doi.org/10.1080/01431161.2011.562932")</f>
        <v>http://dx.doi.org/10.1080/01431161.2011.562932</v>
      </c>
      <c r="BG538" t="s">
        <v>74</v>
      </c>
      <c r="BH538" t="s">
        <v>74</v>
      </c>
      <c r="BI538">
        <v>13</v>
      </c>
      <c r="BJ538" t="s">
        <v>3866</v>
      </c>
      <c r="BK538" t="s">
        <v>100</v>
      </c>
      <c r="BL538" t="s">
        <v>3866</v>
      </c>
      <c r="BM538" t="s">
        <v>9529</v>
      </c>
      <c r="BN538" t="s">
        <v>74</v>
      </c>
      <c r="BO538" t="s">
        <v>74</v>
      </c>
      <c r="BP538" t="s">
        <v>74</v>
      </c>
      <c r="BQ538" t="s">
        <v>74</v>
      </c>
      <c r="BR538" t="s">
        <v>103</v>
      </c>
      <c r="BS538" t="s">
        <v>9543</v>
      </c>
      <c r="BT538" t="str">
        <f>HYPERLINK("https%3A%2F%2Fwww.webofscience.com%2Fwos%2Fwoscc%2Ffull-record%2FWOS:000298376000055","View Full Record in Web of Science")</f>
        <v>View Full Record in Web of Science</v>
      </c>
    </row>
    <row r="539" spans="1:72" x14ac:dyDescent="0.15">
      <c r="A539" t="s">
        <v>72</v>
      </c>
      <c r="B539" t="s">
        <v>9544</v>
      </c>
      <c r="C539" t="s">
        <v>74</v>
      </c>
      <c r="D539" t="s">
        <v>74</v>
      </c>
      <c r="E539" t="s">
        <v>74</v>
      </c>
      <c r="F539" t="s">
        <v>9545</v>
      </c>
      <c r="G539" t="s">
        <v>74</v>
      </c>
      <c r="H539" t="s">
        <v>74</v>
      </c>
      <c r="I539" t="s">
        <v>9546</v>
      </c>
      <c r="J539" t="s">
        <v>9547</v>
      </c>
      <c r="K539" t="s">
        <v>74</v>
      </c>
      <c r="L539" t="s">
        <v>74</v>
      </c>
      <c r="M539" t="s">
        <v>78</v>
      </c>
      <c r="N539" t="s">
        <v>79</v>
      </c>
      <c r="O539" t="s">
        <v>74</v>
      </c>
      <c r="P539" t="s">
        <v>74</v>
      </c>
      <c r="Q539" t="s">
        <v>74</v>
      </c>
      <c r="R539" t="s">
        <v>74</v>
      </c>
      <c r="S539" t="s">
        <v>74</v>
      </c>
      <c r="T539" t="s">
        <v>74</v>
      </c>
      <c r="U539" t="s">
        <v>9548</v>
      </c>
      <c r="V539" t="s">
        <v>9549</v>
      </c>
      <c r="W539" t="s">
        <v>9550</v>
      </c>
      <c r="X539" t="s">
        <v>9551</v>
      </c>
      <c r="Y539" t="s">
        <v>9552</v>
      </c>
      <c r="Z539" t="s">
        <v>9553</v>
      </c>
      <c r="AA539" t="s">
        <v>9554</v>
      </c>
      <c r="AB539" t="s">
        <v>74</v>
      </c>
      <c r="AC539" t="s">
        <v>9555</v>
      </c>
      <c r="AD539" t="s">
        <v>9556</v>
      </c>
      <c r="AE539" t="s">
        <v>9557</v>
      </c>
      <c r="AF539" t="s">
        <v>74</v>
      </c>
      <c r="AG539">
        <v>26</v>
      </c>
      <c r="AH539">
        <v>27</v>
      </c>
      <c r="AI539">
        <v>31</v>
      </c>
      <c r="AJ539">
        <v>0</v>
      </c>
      <c r="AK539">
        <v>6</v>
      </c>
      <c r="AL539" t="s">
        <v>9558</v>
      </c>
      <c r="AM539" t="s">
        <v>913</v>
      </c>
      <c r="AN539" t="s">
        <v>9559</v>
      </c>
      <c r="AO539" t="s">
        <v>9560</v>
      </c>
      <c r="AP539" t="s">
        <v>9561</v>
      </c>
      <c r="AQ539" t="s">
        <v>74</v>
      </c>
      <c r="AR539" t="s">
        <v>9562</v>
      </c>
      <c r="AS539" t="s">
        <v>9563</v>
      </c>
      <c r="AT539" t="s">
        <v>3935</v>
      </c>
      <c r="AU539">
        <v>2011</v>
      </c>
      <c r="AV539">
        <v>61</v>
      </c>
      <c r="AW539" t="s">
        <v>74</v>
      </c>
      <c r="AX539">
        <v>1</v>
      </c>
      <c r="AY539" t="s">
        <v>74</v>
      </c>
      <c r="AZ539" t="s">
        <v>74</v>
      </c>
      <c r="BA539" t="s">
        <v>74</v>
      </c>
      <c r="BB539">
        <v>20</v>
      </c>
      <c r="BC539">
        <v>24</v>
      </c>
      <c r="BD539" t="s">
        <v>74</v>
      </c>
      <c r="BE539" t="s">
        <v>9564</v>
      </c>
      <c r="BF539" t="str">
        <f>HYPERLINK("http://dx.doi.org/10.1099/ijs.0.014126-0","http://dx.doi.org/10.1099/ijs.0.014126-0")</f>
        <v>http://dx.doi.org/10.1099/ijs.0.014126-0</v>
      </c>
      <c r="BG539" t="s">
        <v>74</v>
      </c>
      <c r="BH539" t="s">
        <v>74</v>
      </c>
      <c r="BI539">
        <v>5</v>
      </c>
      <c r="BJ539" t="s">
        <v>325</v>
      </c>
      <c r="BK539" t="s">
        <v>100</v>
      </c>
      <c r="BL539" t="s">
        <v>325</v>
      </c>
      <c r="BM539" t="s">
        <v>9565</v>
      </c>
      <c r="BN539">
        <v>20118284</v>
      </c>
      <c r="BO539" t="s">
        <v>74</v>
      </c>
      <c r="BP539" t="s">
        <v>74</v>
      </c>
      <c r="BQ539" t="s">
        <v>74</v>
      </c>
      <c r="BR539" t="s">
        <v>103</v>
      </c>
      <c r="BS539" t="s">
        <v>9566</v>
      </c>
      <c r="BT539" t="str">
        <f>HYPERLINK("https%3A%2F%2Fwww.webofscience.com%2Fwos%2Fwoscc%2Ffull-record%2FWOS:000287011200004","View Full Record in Web of Science")</f>
        <v>View Full Record in Web of Science</v>
      </c>
    </row>
    <row r="540" spans="1:72" x14ac:dyDescent="0.15">
      <c r="A540" t="s">
        <v>72</v>
      </c>
      <c r="B540" t="s">
        <v>9567</v>
      </c>
      <c r="C540" t="s">
        <v>74</v>
      </c>
      <c r="D540" t="s">
        <v>74</v>
      </c>
      <c r="E540" t="s">
        <v>74</v>
      </c>
      <c r="F540" t="s">
        <v>9568</v>
      </c>
      <c r="G540" t="s">
        <v>74</v>
      </c>
      <c r="H540" t="s">
        <v>74</v>
      </c>
      <c r="I540" t="s">
        <v>9569</v>
      </c>
      <c r="J540" t="s">
        <v>899</v>
      </c>
      <c r="K540" t="s">
        <v>74</v>
      </c>
      <c r="L540" t="s">
        <v>74</v>
      </c>
      <c r="M540" t="s">
        <v>78</v>
      </c>
      <c r="N540" t="s">
        <v>79</v>
      </c>
      <c r="O540" t="s">
        <v>74</v>
      </c>
      <c r="P540" t="s">
        <v>74</v>
      </c>
      <c r="Q540" t="s">
        <v>74</v>
      </c>
      <c r="R540" t="s">
        <v>74</v>
      </c>
      <c r="S540" t="s">
        <v>74</v>
      </c>
      <c r="T540" t="s">
        <v>9570</v>
      </c>
      <c r="U540" t="s">
        <v>9571</v>
      </c>
      <c r="V540" t="s">
        <v>9572</v>
      </c>
      <c r="W540" t="s">
        <v>9573</v>
      </c>
      <c r="X540" t="s">
        <v>9574</v>
      </c>
      <c r="Y540" t="s">
        <v>9575</v>
      </c>
      <c r="Z540" t="s">
        <v>9576</v>
      </c>
      <c r="AA540" t="s">
        <v>74</v>
      </c>
      <c r="AB540" t="s">
        <v>9577</v>
      </c>
      <c r="AC540" t="s">
        <v>9578</v>
      </c>
      <c r="AD540" t="s">
        <v>9579</v>
      </c>
      <c r="AE540" t="s">
        <v>9580</v>
      </c>
      <c r="AF540" t="s">
        <v>74</v>
      </c>
      <c r="AG540">
        <v>58</v>
      </c>
      <c r="AH540">
        <v>102</v>
      </c>
      <c r="AI540">
        <v>107</v>
      </c>
      <c r="AJ540">
        <v>2</v>
      </c>
      <c r="AK540">
        <v>25</v>
      </c>
      <c r="AL540" t="s">
        <v>912</v>
      </c>
      <c r="AM540" t="s">
        <v>913</v>
      </c>
      <c r="AN540" t="s">
        <v>914</v>
      </c>
      <c r="AO540" t="s">
        <v>915</v>
      </c>
      <c r="AP540" t="s">
        <v>916</v>
      </c>
      <c r="AQ540" t="s">
        <v>74</v>
      </c>
      <c r="AR540" t="s">
        <v>917</v>
      </c>
      <c r="AS540" t="s">
        <v>918</v>
      </c>
      <c r="AT540" t="s">
        <v>3935</v>
      </c>
      <c r="AU540">
        <v>2011</v>
      </c>
      <c r="AV540">
        <v>5</v>
      </c>
      <c r="AW540">
        <v>1</v>
      </c>
      <c r="AX540" t="s">
        <v>74</v>
      </c>
      <c r="AY540" t="s">
        <v>74</v>
      </c>
      <c r="AZ540" t="s">
        <v>74</v>
      </c>
      <c r="BA540" t="s">
        <v>74</v>
      </c>
      <c r="BB540">
        <v>8</v>
      </c>
      <c r="BC540">
        <v>19</v>
      </c>
      <c r="BD540" t="s">
        <v>74</v>
      </c>
      <c r="BE540" t="s">
        <v>9581</v>
      </c>
      <c r="BF540" t="str">
        <f>HYPERLINK("http://dx.doi.org/10.1038/ismej.2010.87","http://dx.doi.org/10.1038/ismej.2010.87")</f>
        <v>http://dx.doi.org/10.1038/ismej.2010.87</v>
      </c>
      <c r="BG540" t="s">
        <v>74</v>
      </c>
      <c r="BH540" t="s">
        <v>74</v>
      </c>
      <c r="BI540">
        <v>12</v>
      </c>
      <c r="BJ540" t="s">
        <v>920</v>
      </c>
      <c r="BK540" t="s">
        <v>100</v>
      </c>
      <c r="BL540" t="s">
        <v>921</v>
      </c>
      <c r="BM540" t="s">
        <v>9582</v>
      </c>
      <c r="BN540">
        <v>20596072</v>
      </c>
      <c r="BO540" t="s">
        <v>1744</v>
      </c>
      <c r="BP540" t="s">
        <v>74</v>
      </c>
      <c r="BQ540" t="s">
        <v>74</v>
      </c>
      <c r="BR540" t="s">
        <v>103</v>
      </c>
      <c r="BS540" t="s">
        <v>9583</v>
      </c>
      <c r="BT540" t="str">
        <f>HYPERLINK("https%3A%2F%2Fwww.webofscience.com%2Fwos%2Fwoscc%2Ffull-record%2FWOS:000285845200002","View Full Record in Web of Science")</f>
        <v>View Full Record in Web of Science</v>
      </c>
    </row>
    <row r="541" spans="1:72" x14ac:dyDescent="0.15">
      <c r="A541" t="s">
        <v>72</v>
      </c>
      <c r="B541" t="s">
        <v>9584</v>
      </c>
      <c r="C541" t="s">
        <v>74</v>
      </c>
      <c r="D541" t="s">
        <v>74</v>
      </c>
      <c r="E541" t="s">
        <v>74</v>
      </c>
      <c r="F541" t="s">
        <v>9585</v>
      </c>
      <c r="G541" t="s">
        <v>74</v>
      </c>
      <c r="H541" t="s">
        <v>74</v>
      </c>
      <c r="I541" t="s">
        <v>9586</v>
      </c>
      <c r="J541" t="s">
        <v>9587</v>
      </c>
      <c r="K541" t="s">
        <v>74</v>
      </c>
      <c r="L541" t="s">
        <v>74</v>
      </c>
      <c r="M541" t="s">
        <v>78</v>
      </c>
      <c r="N541" t="s">
        <v>9588</v>
      </c>
      <c r="O541" t="s">
        <v>74</v>
      </c>
      <c r="P541" t="s">
        <v>74</v>
      </c>
      <c r="Q541" t="s">
        <v>74</v>
      </c>
      <c r="R541" t="s">
        <v>74</v>
      </c>
      <c r="S541" t="s">
        <v>74</v>
      </c>
      <c r="T541" t="s">
        <v>9589</v>
      </c>
      <c r="U541" t="s">
        <v>9590</v>
      </c>
      <c r="V541" t="s">
        <v>9591</v>
      </c>
      <c r="W541" t="s">
        <v>9592</v>
      </c>
      <c r="X541" t="s">
        <v>74</v>
      </c>
      <c r="Y541" t="s">
        <v>9593</v>
      </c>
      <c r="Z541" t="s">
        <v>9594</v>
      </c>
      <c r="AA541" t="s">
        <v>74</v>
      </c>
      <c r="AB541" t="s">
        <v>74</v>
      </c>
      <c r="AC541" t="s">
        <v>74</v>
      </c>
      <c r="AD541" t="s">
        <v>74</v>
      </c>
      <c r="AE541" t="s">
        <v>74</v>
      </c>
      <c r="AF541" t="s">
        <v>74</v>
      </c>
      <c r="AG541">
        <v>23</v>
      </c>
      <c r="AH541">
        <v>5</v>
      </c>
      <c r="AI541">
        <v>5</v>
      </c>
      <c r="AJ541">
        <v>0</v>
      </c>
      <c r="AK541">
        <v>5</v>
      </c>
      <c r="AL541" t="s">
        <v>474</v>
      </c>
      <c r="AM541" t="s">
        <v>475</v>
      </c>
      <c r="AN541" t="s">
        <v>3861</v>
      </c>
      <c r="AO541" t="s">
        <v>9595</v>
      </c>
      <c r="AP541" t="s">
        <v>74</v>
      </c>
      <c r="AQ541" t="s">
        <v>74</v>
      </c>
      <c r="AR541" t="s">
        <v>9596</v>
      </c>
      <c r="AS541" t="s">
        <v>9597</v>
      </c>
      <c r="AT541" t="s">
        <v>74</v>
      </c>
      <c r="AU541">
        <v>2011</v>
      </c>
      <c r="AV541">
        <v>47</v>
      </c>
      <c r="AW541">
        <v>3</v>
      </c>
      <c r="AX541" t="s">
        <v>74</v>
      </c>
      <c r="AY541" t="s">
        <v>74</v>
      </c>
      <c r="AZ541" t="s">
        <v>74</v>
      </c>
      <c r="BA541" t="s">
        <v>74</v>
      </c>
      <c r="BB541">
        <v>265</v>
      </c>
      <c r="BC541">
        <v>272</v>
      </c>
      <c r="BD541" t="s">
        <v>74</v>
      </c>
      <c r="BE541" t="s">
        <v>9598</v>
      </c>
      <c r="BF541" t="str">
        <f>HYPERLINK("http://dx.doi.org/10.1080/10256016.2011.601306","http://dx.doi.org/10.1080/10256016.2011.601306")</f>
        <v>http://dx.doi.org/10.1080/10256016.2011.601306</v>
      </c>
      <c r="BG541" t="s">
        <v>74</v>
      </c>
      <c r="BH541" t="s">
        <v>74</v>
      </c>
      <c r="BI541">
        <v>8</v>
      </c>
      <c r="BJ541" t="s">
        <v>9599</v>
      </c>
      <c r="BK541" t="s">
        <v>100</v>
      </c>
      <c r="BL541" t="s">
        <v>8583</v>
      </c>
      <c r="BM541" t="s">
        <v>9600</v>
      </c>
      <c r="BN541">
        <v>21892887</v>
      </c>
      <c r="BO541" t="s">
        <v>74</v>
      </c>
      <c r="BP541" t="s">
        <v>74</v>
      </c>
      <c r="BQ541" t="s">
        <v>74</v>
      </c>
      <c r="BR541" t="s">
        <v>103</v>
      </c>
      <c r="BS541" t="s">
        <v>9601</v>
      </c>
      <c r="BT541" t="str">
        <f>HYPERLINK("https%3A%2F%2Fwww.webofscience.com%2Fwos%2Fwoscc%2Ffull-record%2FWOS:000299723800003","View Full Record in Web of Science")</f>
        <v>View Full Record in Web of Science</v>
      </c>
    </row>
    <row r="542" spans="1:72" x14ac:dyDescent="0.15">
      <c r="A542" t="s">
        <v>72</v>
      </c>
      <c r="B542" t="s">
        <v>9602</v>
      </c>
      <c r="C542" t="s">
        <v>74</v>
      </c>
      <c r="D542" t="s">
        <v>74</v>
      </c>
      <c r="E542" t="s">
        <v>74</v>
      </c>
      <c r="F542" t="s">
        <v>9603</v>
      </c>
      <c r="G542" t="s">
        <v>74</v>
      </c>
      <c r="H542" t="s">
        <v>74</v>
      </c>
      <c r="I542" t="s">
        <v>9604</v>
      </c>
      <c r="J542" t="s">
        <v>9587</v>
      </c>
      <c r="K542" t="s">
        <v>74</v>
      </c>
      <c r="L542" t="s">
        <v>74</v>
      </c>
      <c r="M542" t="s">
        <v>78</v>
      </c>
      <c r="N542" t="s">
        <v>9588</v>
      </c>
      <c r="O542" t="s">
        <v>74</v>
      </c>
      <c r="P542" t="s">
        <v>74</v>
      </c>
      <c r="Q542" t="s">
        <v>74</v>
      </c>
      <c r="R542" t="s">
        <v>74</v>
      </c>
      <c r="S542" t="s">
        <v>74</v>
      </c>
      <c r="T542" t="s">
        <v>9605</v>
      </c>
      <c r="U542" t="s">
        <v>74</v>
      </c>
      <c r="V542" t="s">
        <v>9606</v>
      </c>
      <c r="W542" t="s">
        <v>9607</v>
      </c>
      <c r="X542" t="s">
        <v>9608</v>
      </c>
      <c r="Y542" t="s">
        <v>9609</v>
      </c>
      <c r="Z542" t="s">
        <v>9594</v>
      </c>
      <c r="AA542" t="s">
        <v>74</v>
      </c>
      <c r="AB542" t="s">
        <v>74</v>
      </c>
      <c r="AC542" t="s">
        <v>74</v>
      </c>
      <c r="AD542" t="s">
        <v>74</v>
      </c>
      <c r="AE542" t="s">
        <v>74</v>
      </c>
      <c r="AF542" t="s">
        <v>74</v>
      </c>
      <c r="AG542">
        <v>13</v>
      </c>
      <c r="AH542">
        <v>0</v>
      </c>
      <c r="AI542">
        <v>0</v>
      </c>
      <c r="AJ542">
        <v>2</v>
      </c>
      <c r="AK542">
        <v>6</v>
      </c>
      <c r="AL542" t="s">
        <v>474</v>
      </c>
      <c r="AM542" t="s">
        <v>475</v>
      </c>
      <c r="AN542" t="s">
        <v>476</v>
      </c>
      <c r="AO542" t="s">
        <v>9595</v>
      </c>
      <c r="AP542" t="s">
        <v>9610</v>
      </c>
      <c r="AQ542" t="s">
        <v>74</v>
      </c>
      <c r="AR542" t="s">
        <v>9596</v>
      </c>
      <c r="AS542" t="s">
        <v>9597</v>
      </c>
      <c r="AT542" t="s">
        <v>74</v>
      </c>
      <c r="AU542">
        <v>2011</v>
      </c>
      <c r="AV542">
        <v>47</v>
      </c>
      <c r="AW542">
        <v>3</v>
      </c>
      <c r="AX542" t="s">
        <v>74</v>
      </c>
      <c r="AY542" t="s">
        <v>74</v>
      </c>
      <c r="AZ542" t="s">
        <v>74</v>
      </c>
      <c r="BA542" t="s">
        <v>74</v>
      </c>
      <c r="BB542">
        <v>273</v>
      </c>
      <c r="BC542">
        <v>279</v>
      </c>
      <c r="BD542" t="s">
        <v>74</v>
      </c>
      <c r="BE542" t="s">
        <v>9611</v>
      </c>
      <c r="BF542" t="str">
        <f>HYPERLINK("http://dx.doi.org/10.1080/10256016.2011.601307","http://dx.doi.org/10.1080/10256016.2011.601307")</f>
        <v>http://dx.doi.org/10.1080/10256016.2011.601307</v>
      </c>
      <c r="BG542" t="s">
        <v>74</v>
      </c>
      <c r="BH542" t="s">
        <v>74</v>
      </c>
      <c r="BI542">
        <v>7</v>
      </c>
      <c r="BJ542" t="s">
        <v>9599</v>
      </c>
      <c r="BK542" t="s">
        <v>100</v>
      </c>
      <c r="BL542" t="s">
        <v>8583</v>
      </c>
      <c r="BM542" t="s">
        <v>9600</v>
      </c>
      <c r="BN542">
        <v>21892888</v>
      </c>
      <c r="BO542" t="s">
        <v>74</v>
      </c>
      <c r="BP542" t="s">
        <v>74</v>
      </c>
      <c r="BQ542" t="s">
        <v>74</v>
      </c>
      <c r="BR542" t="s">
        <v>103</v>
      </c>
      <c r="BS542" t="s">
        <v>9612</v>
      </c>
      <c r="BT542" t="str">
        <f>HYPERLINK("https%3A%2F%2Fwww.webofscience.com%2Fwos%2Fwoscc%2Ffull-record%2FWOS:000299723800004","View Full Record in Web of Science")</f>
        <v>View Full Record in Web of Science</v>
      </c>
    </row>
    <row r="543" spans="1:72" x14ac:dyDescent="0.15">
      <c r="A543" t="s">
        <v>72</v>
      </c>
      <c r="B543" t="s">
        <v>9613</v>
      </c>
      <c r="C543" t="s">
        <v>74</v>
      </c>
      <c r="D543" t="s">
        <v>74</v>
      </c>
      <c r="E543" t="s">
        <v>74</v>
      </c>
      <c r="F543" t="s">
        <v>9614</v>
      </c>
      <c r="G543" t="s">
        <v>74</v>
      </c>
      <c r="H543" t="s">
        <v>74</v>
      </c>
      <c r="I543" t="s">
        <v>9615</v>
      </c>
      <c r="J543" t="s">
        <v>9587</v>
      </c>
      <c r="K543" t="s">
        <v>74</v>
      </c>
      <c r="L543" t="s">
        <v>74</v>
      </c>
      <c r="M543" t="s">
        <v>78</v>
      </c>
      <c r="N543" t="s">
        <v>9588</v>
      </c>
      <c r="O543" t="s">
        <v>74</v>
      </c>
      <c r="P543" t="s">
        <v>74</v>
      </c>
      <c r="Q543" t="s">
        <v>74</v>
      </c>
      <c r="R543" t="s">
        <v>74</v>
      </c>
      <c r="S543" t="s">
        <v>74</v>
      </c>
      <c r="T543" t="s">
        <v>9616</v>
      </c>
      <c r="U543" t="s">
        <v>9617</v>
      </c>
      <c r="V543" t="s">
        <v>9618</v>
      </c>
      <c r="W543" t="s">
        <v>9619</v>
      </c>
      <c r="X543" t="s">
        <v>74</v>
      </c>
      <c r="Y543" t="s">
        <v>9620</v>
      </c>
      <c r="Z543" t="s">
        <v>9621</v>
      </c>
      <c r="AA543" t="s">
        <v>74</v>
      </c>
      <c r="AB543" t="s">
        <v>74</v>
      </c>
      <c r="AC543" t="s">
        <v>74</v>
      </c>
      <c r="AD543" t="s">
        <v>74</v>
      </c>
      <c r="AE543" t="s">
        <v>74</v>
      </c>
      <c r="AF543" t="s">
        <v>74</v>
      </c>
      <c r="AG543">
        <v>12</v>
      </c>
      <c r="AH543">
        <v>9</v>
      </c>
      <c r="AI543">
        <v>9</v>
      </c>
      <c r="AJ543">
        <v>0</v>
      </c>
      <c r="AK543">
        <v>11</v>
      </c>
      <c r="AL543" t="s">
        <v>474</v>
      </c>
      <c r="AM543" t="s">
        <v>475</v>
      </c>
      <c r="AN543" t="s">
        <v>476</v>
      </c>
      <c r="AO543" t="s">
        <v>9595</v>
      </c>
      <c r="AP543" t="s">
        <v>9610</v>
      </c>
      <c r="AQ543" t="s">
        <v>74</v>
      </c>
      <c r="AR543" t="s">
        <v>9596</v>
      </c>
      <c r="AS543" t="s">
        <v>9597</v>
      </c>
      <c r="AT543" t="s">
        <v>74</v>
      </c>
      <c r="AU543">
        <v>2011</v>
      </c>
      <c r="AV543">
        <v>47</v>
      </c>
      <c r="AW543">
        <v>3</v>
      </c>
      <c r="AX543" t="s">
        <v>74</v>
      </c>
      <c r="AY543" t="s">
        <v>74</v>
      </c>
      <c r="AZ543" t="s">
        <v>74</v>
      </c>
      <c r="BA543" t="s">
        <v>74</v>
      </c>
      <c r="BB543">
        <v>280</v>
      </c>
      <c r="BC543">
        <v>285</v>
      </c>
      <c r="BD543" t="s">
        <v>74</v>
      </c>
      <c r="BE543" t="s">
        <v>9622</v>
      </c>
      <c r="BF543" t="str">
        <f>HYPERLINK("http://dx.doi.org/10.1080/10256016.2011.600455","http://dx.doi.org/10.1080/10256016.2011.600455")</f>
        <v>http://dx.doi.org/10.1080/10256016.2011.600455</v>
      </c>
      <c r="BG543" t="s">
        <v>74</v>
      </c>
      <c r="BH543" t="s">
        <v>74</v>
      </c>
      <c r="BI543">
        <v>6</v>
      </c>
      <c r="BJ543" t="s">
        <v>9599</v>
      </c>
      <c r="BK543" t="s">
        <v>100</v>
      </c>
      <c r="BL543" t="s">
        <v>8583</v>
      </c>
      <c r="BM543" t="s">
        <v>9600</v>
      </c>
      <c r="BN543">
        <v>21892889</v>
      </c>
      <c r="BO543" t="s">
        <v>74</v>
      </c>
      <c r="BP543" t="s">
        <v>74</v>
      </c>
      <c r="BQ543" t="s">
        <v>74</v>
      </c>
      <c r="BR543" t="s">
        <v>103</v>
      </c>
      <c r="BS543" t="s">
        <v>9623</v>
      </c>
      <c r="BT543" t="str">
        <f>HYPERLINK("https%3A%2F%2Fwww.webofscience.com%2Fwos%2Fwoscc%2Ffull-record%2FWOS:000299723800005","View Full Record in Web of Science")</f>
        <v>View Full Record in Web of Science</v>
      </c>
    </row>
    <row r="544" spans="1:72" x14ac:dyDescent="0.15">
      <c r="A544" t="s">
        <v>72</v>
      </c>
      <c r="B544" t="s">
        <v>9624</v>
      </c>
      <c r="C544" t="s">
        <v>74</v>
      </c>
      <c r="D544" t="s">
        <v>74</v>
      </c>
      <c r="E544" t="s">
        <v>74</v>
      </c>
      <c r="F544" t="s">
        <v>9625</v>
      </c>
      <c r="G544" t="s">
        <v>74</v>
      </c>
      <c r="H544" t="s">
        <v>74</v>
      </c>
      <c r="I544" t="s">
        <v>9626</v>
      </c>
      <c r="J544" t="s">
        <v>9587</v>
      </c>
      <c r="K544" t="s">
        <v>74</v>
      </c>
      <c r="L544" t="s">
        <v>74</v>
      </c>
      <c r="M544" t="s">
        <v>78</v>
      </c>
      <c r="N544" t="s">
        <v>9588</v>
      </c>
      <c r="O544" t="s">
        <v>74</v>
      </c>
      <c r="P544" t="s">
        <v>74</v>
      </c>
      <c r="Q544" t="s">
        <v>74</v>
      </c>
      <c r="R544" t="s">
        <v>74</v>
      </c>
      <c r="S544" t="s">
        <v>74</v>
      </c>
      <c r="T544" t="s">
        <v>9627</v>
      </c>
      <c r="U544" t="s">
        <v>74</v>
      </c>
      <c r="V544" t="s">
        <v>9628</v>
      </c>
      <c r="W544" t="s">
        <v>9629</v>
      </c>
      <c r="X544" t="s">
        <v>74</v>
      </c>
      <c r="Y544" t="s">
        <v>9630</v>
      </c>
      <c r="Z544" t="s">
        <v>9631</v>
      </c>
      <c r="AA544" t="s">
        <v>74</v>
      </c>
      <c r="AB544" t="s">
        <v>74</v>
      </c>
      <c r="AC544" t="s">
        <v>74</v>
      </c>
      <c r="AD544" t="s">
        <v>74</v>
      </c>
      <c r="AE544" t="s">
        <v>74</v>
      </c>
      <c r="AF544" t="s">
        <v>74</v>
      </c>
      <c r="AG544">
        <v>5</v>
      </c>
      <c r="AH544">
        <v>4</v>
      </c>
      <c r="AI544">
        <v>4</v>
      </c>
      <c r="AJ544">
        <v>0</v>
      </c>
      <c r="AK544">
        <v>2</v>
      </c>
      <c r="AL544" t="s">
        <v>474</v>
      </c>
      <c r="AM544" t="s">
        <v>475</v>
      </c>
      <c r="AN544" t="s">
        <v>3861</v>
      </c>
      <c r="AO544" t="s">
        <v>9595</v>
      </c>
      <c r="AP544" t="s">
        <v>74</v>
      </c>
      <c r="AQ544" t="s">
        <v>74</v>
      </c>
      <c r="AR544" t="s">
        <v>9596</v>
      </c>
      <c r="AS544" t="s">
        <v>9597</v>
      </c>
      <c r="AT544" t="s">
        <v>74</v>
      </c>
      <c r="AU544">
        <v>2011</v>
      </c>
      <c r="AV544">
        <v>47</v>
      </c>
      <c r="AW544">
        <v>4</v>
      </c>
      <c r="AX544" t="s">
        <v>74</v>
      </c>
      <c r="AY544" t="s">
        <v>74</v>
      </c>
      <c r="AZ544" t="s">
        <v>74</v>
      </c>
      <c r="BA544" t="s">
        <v>74</v>
      </c>
      <c r="BB544">
        <v>402</v>
      </c>
      <c r="BC544">
        <v>406</v>
      </c>
      <c r="BD544" t="s">
        <v>74</v>
      </c>
      <c r="BE544" t="s">
        <v>9632</v>
      </c>
      <c r="BF544" t="str">
        <f>HYPERLINK("http://dx.doi.org/10.1080/10256016.2011.630464","http://dx.doi.org/10.1080/10256016.2011.630464")</f>
        <v>http://dx.doi.org/10.1080/10256016.2011.630464</v>
      </c>
      <c r="BG544" t="s">
        <v>74</v>
      </c>
      <c r="BH544" t="s">
        <v>74</v>
      </c>
      <c r="BI544">
        <v>5</v>
      </c>
      <c r="BJ544" t="s">
        <v>9599</v>
      </c>
      <c r="BK544" t="s">
        <v>100</v>
      </c>
      <c r="BL544" t="s">
        <v>8583</v>
      </c>
      <c r="BM544" t="s">
        <v>9633</v>
      </c>
      <c r="BN544">
        <v>22166150</v>
      </c>
      <c r="BO544" t="s">
        <v>74</v>
      </c>
      <c r="BP544" t="s">
        <v>74</v>
      </c>
      <c r="BQ544" t="s">
        <v>74</v>
      </c>
      <c r="BR544" t="s">
        <v>103</v>
      </c>
      <c r="BS544" t="s">
        <v>9634</v>
      </c>
      <c r="BT544" t="str">
        <f>HYPERLINK("https%3A%2F%2Fwww.webofscience.com%2Fwos%2Fwoscc%2Ffull-record%2FWOS:000299724000002","View Full Record in Web of Science")</f>
        <v>View Full Record in Web of Science</v>
      </c>
    </row>
    <row r="545" spans="1:72" x14ac:dyDescent="0.15">
      <c r="A545" t="s">
        <v>72</v>
      </c>
      <c r="B545" t="s">
        <v>9635</v>
      </c>
      <c r="C545" t="s">
        <v>74</v>
      </c>
      <c r="D545" t="s">
        <v>74</v>
      </c>
      <c r="E545" t="s">
        <v>74</v>
      </c>
      <c r="F545" t="s">
        <v>9636</v>
      </c>
      <c r="G545" t="s">
        <v>74</v>
      </c>
      <c r="H545" t="s">
        <v>74</v>
      </c>
      <c r="I545" t="s">
        <v>9637</v>
      </c>
      <c r="J545" t="s">
        <v>9587</v>
      </c>
      <c r="K545" t="s">
        <v>74</v>
      </c>
      <c r="L545" t="s">
        <v>74</v>
      </c>
      <c r="M545" t="s">
        <v>78</v>
      </c>
      <c r="N545" t="s">
        <v>9588</v>
      </c>
      <c r="O545" t="s">
        <v>74</v>
      </c>
      <c r="P545" t="s">
        <v>74</v>
      </c>
      <c r="Q545" t="s">
        <v>74</v>
      </c>
      <c r="R545" t="s">
        <v>74</v>
      </c>
      <c r="S545" t="s">
        <v>74</v>
      </c>
      <c r="T545" t="s">
        <v>9638</v>
      </c>
      <c r="U545" t="s">
        <v>74</v>
      </c>
      <c r="V545" t="s">
        <v>9639</v>
      </c>
      <c r="W545" t="s">
        <v>9640</v>
      </c>
      <c r="X545" t="s">
        <v>3681</v>
      </c>
      <c r="Y545" t="s">
        <v>9641</v>
      </c>
      <c r="Z545" t="s">
        <v>9642</v>
      </c>
      <c r="AA545" t="s">
        <v>74</v>
      </c>
      <c r="AB545" t="s">
        <v>74</v>
      </c>
      <c r="AC545" t="s">
        <v>9643</v>
      </c>
      <c r="AD545" t="s">
        <v>9643</v>
      </c>
      <c r="AE545" t="s">
        <v>9644</v>
      </c>
      <c r="AF545" t="s">
        <v>74</v>
      </c>
      <c r="AG545">
        <v>11</v>
      </c>
      <c r="AH545">
        <v>7</v>
      </c>
      <c r="AI545">
        <v>7</v>
      </c>
      <c r="AJ545">
        <v>1</v>
      </c>
      <c r="AK545">
        <v>10</v>
      </c>
      <c r="AL545" t="s">
        <v>474</v>
      </c>
      <c r="AM545" t="s">
        <v>475</v>
      </c>
      <c r="AN545" t="s">
        <v>476</v>
      </c>
      <c r="AO545" t="s">
        <v>9595</v>
      </c>
      <c r="AP545" t="s">
        <v>9610</v>
      </c>
      <c r="AQ545" t="s">
        <v>74</v>
      </c>
      <c r="AR545" t="s">
        <v>9596</v>
      </c>
      <c r="AS545" t="s">
        <v>9597</v>
      </c>
      <c r="AT545" t="s">
        <v>74</v>
      </c>
      <c r="AU545">
        <v>2011</v>
      </c>
      <c r="AV545">
        <v>47</v>
      </c>
      <c r="AW545">
        <v>4</v>
      </c>
      <c r="AX545" t="s">
        <v>74</v>
      </c>
      <c r="AY545" t="s">
        <v>74</v>
      </c>
      <c r="AZ545" t="s">
        <v>74</v>
      </c>
      <c r="BA545" t="s">
        <v>74</v>
      </c>
      <c r="BB545">
        <v>407</v>
      </c>
      <c r="BC545">
        <v>414</v>
      </c>
      <c r="BD545" t="s">
        <v>74</v>
      </c>
      <c r="BE545" t="s">
        <v>9645</v>
      </c>
      <c r="BF545" t="str">
        <f>HYPERLINK("http://dx.doi.org/10.1080/10256016.2011.630465","http://dx.doi.org/10.1080/10256016.2011.630465")</f>
        <v>http://dx.doi.org/10.1080/10256016.2011.630465</v>
      </c>
      <c r="BG545" t="s">
        <v>74</v>
      </c>
      <c r="BH545" t="s">
        <v>74</v>
      </c>
      <c r="BI545">
        <v>8</v>
      </c>
      <c r="BJ545" t="s">
        <v>9599</v>
      </c>
      <c r="BK545" t="s">
        <v>100</v>
      </c>
      <c r="BL545" t="s">
        <v>8583</v>
      </c>
      <c r="BM545" t="s">
        <v>9633</v>
      </c>
      <c r="BN545">
        <v>22092172</v>
      </c>
      <c r="BO545" t="s">
        <v>74</v>
      </c>
      <c r="BP545" t="s">
        <v>74</v>
      </c>
      <c r="BQ545" t="s">
        <v>74</v>
      </c>
      <c r="BR545" t="s">
        <v>103</v>
      </c>
      <c r="BS545" t="s">
        <v>9646</v>
      </c>
      <c r="BT545" t="str">
        <f>HYPERLINK("https%3A%2F%2Fwww.webofscience.com%2Fwos%2Fwoscc%2Ffull-record%2FWOS:000299724000003","View Full Record in Web of Science")</f>
        <v>View Full Record in Web of Science</v>
      </c>
    </row>
    <row r="546" spans="1:72" x14ac:dyDescent="0.15">
      <c r="A546" t="s">
        <v>72</v>
      </c>
      <c r="B546" t="s">
        <v>9647</v>
      </c>
      <c r="C546" t="s">
        <v>74</v>
      </c>
      <c r="D546" t="s">
        <v>74</v>
      </c>
      <c r="E546" t="s">
        <v>74</v>
      </c>
      <c r="F546" t="s">
        <v>9648</v>
      </c>
      <c r="G546" t="s">
        <v>74</v>
      </c>
      <c r="H546" t="s">
        <v>74</v>
      </c>
      <c r="I546" t="s">
        <v>9649</v>
      </c>
      <c r="J546" t="s">
        <v>9650</v>
      </c>
      <c r="K546" t="s">
        <v>74</v>
      </c>
      <c r="L546" t="s">
        <v>74</v>
      </c>
      <c r="M546" t="s">
        <v>78</v>
      </c>
      <c r="N546" t="s">
        <v>79</v>
      </c>
      <c r="O546" t="s">
        <v>74</v>
      </c>
      <c r="P546" t="s">
        <v>74</v>
      </c>
      <c r="Q546" t="s">
        <v>74</v>
      </c>
      <c r="R546" t="s">
        <v>74</v>
      </c>
      <c r="S546" t="s">
        <v>74</v>
      </c>
      <c r="T546" t="s">
        <v>9651</v>
      </c>
      <c r="U546" t="s">
        <v>9652</v>
      </c>
      <c r="V546" t="s">
        <v>9653</v>
      </c>
      <c r="W546" t="s">
        <v>9654</v>
      </c>
      <c r="X546" t="s">
        <v>9655</v>
      </c>
      <c r="Y546" t="s">
        <v>9656</v>
      </c>
      <c r="Z546" t="s">
        <v>9657</v>
      </c>
      <c r="AA546" t="s">
        <v>9658</v>
      </c>
      <c r="AB546" t="s">
        <v>9659</v>
      </c>
      <c r="AC546" t="s">
        <v>9660</v>
      </c>
      <c r="AD546" t="s">
        <v>9661</v>
      </c>
      <c r="AE546" t="s">
        <v>9662</v>
      </c>
      <c r="AF546" t="s">
        <v>74</v>
      </c>
      <c r="AG546">
        <v>104</v>
      </c>
      <c r="AH546">
        <v>35</v>
      </c>
      <c r="AI546">
        <v>39</v>
      </c>
      <c r="AJ546">
        <v>0</v>
      </c>
      <c r="AK546">
        <v>7</v>
      </c>
      <c r="AL546" t="s">
        <v>474</v>
      </c>
      <c r="AM546" t="s">
        <v>475</v>
      </c>
      <c r="AN546" t="s">
        <v>476</v>
      </c>
      <c r="AO546" t="s">
        <v>9663</v>
      </c>
      <c r="AP546" t="s">
        <v>9664</v>
      </c>
      <c r="AQ546" t="s">
        <v>74</v>
      </c>
      <c r="AR546" t="s">
        <v>9665</v>
      </c>
      <c r="AS546" t="s">
        <v>9666</v>
      </c>
      <c r="AT546" t="s">
        <v>74</v>
      </c>
      <c r="AU546">
        <v>2011</v>
      </c>
      <c r="AV546">
        <v>78</v>
      </c>
      <c r="AW546" t="s">
        <v>74</v>
      </c>
      <c r="AX546" t="s">
        <v>74</v>
      </c>
      <c r="AY546">
        <v>1</v>
      </c>
      <c r="AZ546" t="s">
        <v>967</v>
      </c>
      <c r="BA546" t="s">
        <v>74</v>
      </c>
      <c r="BB546">
        <v>78</v>
      </c>
      <c r="BC546">
        <v>94</v>
      </c>
      <c r="BD546" t="s">
        <v>74</v>
      </c>
      <c r="BE546" t="s">
        <v>9667</v>
      </c>
      <c r="BF546" t="str">
        <f>HYPERLINK("http://dx.doi.org/10.1080/11250003.2011.617216","http://dx.doi.org/10.1080/11250003.2011.617216")</f>
        <v>http://dx.doi.org/10.1080/11250003.2011.617216</v>
      </c>
      <c r="BG546" t="s">
        <v>74</v>
      </c>
      <c r="BH546" t="s">
        <v>74</v>
      </c>
      <c r="BI546">
        <v>17</v>
      </c>
      <c r="BJ546" t="s">
        <v>674</v>
      </c>
      <c r="BK546" t="s">
        <v>100</v>
      </c>
      <c r="BL546" t="s">
        <v>674</v>
      </c>
      <c r="BM546" t="s">
        <v>9668</v>
      </c>
      <c r="BN546" t="s">
        <v>74</v>
      </c>
      <c r="BO546" t="s">
        <v>74</v>
      </c>
      <c r="BP546" t="s">
        <v>74</v>
      </c>
      <c r="BQ546" t="s">
        <v>74</v>
      </c>
      <c r="BR546" t="s">
        <v>103</v>
      </c>
      <c r="BS546" t="s">
        <v>9669</v>
      </c>
      <c r="BT546" t="str">
        <f>HYPERLINK("https%3A%2F%2Fwww.webofscience.com%2Fwos%2Fwoscc%2Ffull-record%2FWOS:000298581400008","View Full Record in Web of Science")</f>
        <v>View Full Record in Web of Science</v>
      </c>
    </row>
    <row r="547" spans="1:72" x14ac:dyDescent="0.15">
      <c r="A547" t="s">
        <v>72</v>
      </c>
      <c r="B547" t="s">
        <v>9670</v>
      </c>
      <c r="C547" t="s">
        <v>74</v>
      </c>
      <c r="D547" t="s">
        <v>74</v>
      </c>
      <c r="E547" t="s">
        <v>74</v>
      </c>
      <c r="F547" t="s">
        <v>9671</v>
      </c>
      <c r="G547" t="s">
        <v>74</v>
      </c>
      <c r="H547" t="s">
        <v>74</v>
      </c>
      <c r="I547" t="s">
        <v>9672</v>
      </c>
      <c r="J547" t="s">
        <v>9650</v>
      </c>
      <c r="K547" t="s">
        <v>74</v>
      </c>
      <c r="L547" t="s">
        <v>74</v>
      </c>
      <c r="M547" t="s">
        <v>78</v>
      </c>
      <c r="N547" t="s">
        <v>79</v>
      </c>
      <c r="O547" t="s">
        <v>74</v>
      </c>
      <c r="P547" t="s">
        <v>74</v>
      </c>
      <c r="Q547" t="s">
        <v>74</v>
      </c>
      <c r="R547" t="s">
        <v>74</v>
      </c>
      <c r="S547" t="s">
        <v>74</v>
      </c>
      <c r="T547" t="s">
        <v>9673</v>
      </c>
      <c r="U547" t="s">
        <v>9674</v>
      </c>
      <c r="V547" t="s">
        <v>9675</v>
      </c>
      <c r="W547" t="s">
        <v>9676</v>
      </c>
      <c r="X547" t="s">
        <v>9677</v>
      </c>
      <c r="Y547" t="s">
        <v>9678</v>
      </c>
      <c r="Z547" t="s">
        <v>9679</v>
      </c>
      <c r="AA547" t="s">
        <v>9680</v>
      </c>
      <c r="AB547" t="s">
        <v>9681</v>
      </c>
      <c r="AC547" t="s">
        <v>9682</v>
      </c>
      <c r="AD547" t="s">
        <v>9683</v>
      </c>
      <c r="AE547" t="s">
        <v>9684</v>
      </c>
      <c r="AF547" t="s">
        <v>74</v>
      </c>
      <c r="AG547">
        <v>34</v>
      </c>
      <c r="AH547">
        <v>8</v>
      </c>
      <c r="AI547">
        <v>8</v>
      </c>
      <c r="AJ547">
        <v>0</v>
      </c>
      <c r="AK547">
        <v>4</v>
      </c>
      <c r="AL547" t="s">
        <v>474</v>
      </c>
      <c r="AM547" t="s">
        <v>475</v>
      </c>
      <c r="AN547" t="s">
        <v>476</v>
      </c>
      <c r="AO547" t="s">
        <v>9663</v>
      </c>
      <c r="AP547" t="s">
        <v>9664</v>
      </c>
      <c r="AQ547" t="s">
        <v>74</v>
      </c>
      <c r="AR547" t="s">
        <v>9665</v>
      </c>
      <c r="AS547" t="s">
        <v>9666</v>
      </c>
      <c r="AT547" t="s">
        <v>74</v>
      </c>
      <c r="AU547">
        <v>2011</v>
      </c>
      <c r="AV547">
        <v>78</v>
      </c>
      <c r="AW547" t="s">
        <v>74</v>
      </c>
      <c r="AX547" t="s">
        <v>74</v>
      </c>
      <c r="AY547">
        <v>1</v>
      </c>
      <c r="AZ547" t="s">
        <v>967</v>
      </c>
      <c r="BA547" t="s">
        <v>74</v>
      </c>
      <c r="BB547">
        <v>148</v>
      </c>
      <c r="BC547">
        <v>162</v>
      </c>
      <c r="BD547" t="s">
        <v>74</v>
      </c>
      <c r="BE547" t="s">
        <v>9685</v>
      </c>
      <c r="BF547" t="str">
        <f>HYPERLINK("http://dx.doi.org/10.1080/11250003.2011.598350","http://dx.doi.org/10.1080/11250003.2011.598350")</f>
        <v>http://dx.doi.org/10.1080/11250003.2011.598350</v>
      </c>
      <c r="BG547" t="s">
        <v>74</v>
      </c>
      <c r="BH547" t="s">
        <v>74</v>
      </c>
      <c r="BI547">
        <v>15</v>
      </c>
      <c r="BJ547" t="s">
        <v>674</v>
      </c>
      <c r="BK547" t="s">
        <v>100</v>
      </c>
      <c r="BL547" t="s">
        <v>674</v>
      </c>
      <c r="BM547" t="s">
        <v>9668</v>
      </c>
      <c r="BN547" t="s">
        <v>74</v>
      </c>
      <c r="BO547" t="s">
        <v>9686</v>
      </c>
      <c r="BP547" t="s">
        <v>74</v>
      </c>
      <c r="BQ547" t="s">
        <v>74</v>
      </c>
      <c r="BR547" t="s">
        <v>103</v>
      </c>
      <c r="BS547" t="s">
        <v>9687</v>
      </c>
      <c r="BT547" t="str">
        <f>HYPERLINK("https%3A%2F%2Fwww.webofscience.com%2Fwos%2Fwoscc%2Ffull-record%2FWOS:000298581400013","View Full Record in Web of Science")</f>
        <v>View Full Record in Web of Science</v>
      </c>
    </row>
    <row r="548" spans="1:72" x14ac:dyDescent="0.15">
      <c r="A548" t="s">
        <v>72</v>
      </c>
      <c r="B548" t="s">
        <v>9688</v>
      </c>
      <c r="C548" t="s">
        <v>74</v>
      </c>
      <c r="D548" t="s">
        <v>74</v>
      </c>
      <c r="E548" t="s">
        <v>74</v>
      </c>
      <c r="F548" t="s">
        <v>9689</v>
      </c>
      <c r="G548" t="s">
        <v>74</v>
      </c>
      <c r="H548" t="s">
        <v>74</v>
      </c>
      <c r="I548" t="s">
        <v>9690</v>
      </c>
      <c r="J548" t="s">
        <v>9691</v>
      </c>
      <c r="K548" t="s">
        <v>74</v>
      </c>
      <c r="L548" t="s">
        <v>74</v>
      </c>
      <c r="M548" t="s">
        <v>78</v>
      </c>
      <c r="N548" t="s">
        <v>79</v>
      </c>
      <c r="O548" t="s">
        <v>74</v>
      </c>
      <c r="P548" t="s">
        <v>74</v>
      </c>
      <c r="Q548" t="s">
        <v>74</v>
      </c>
      <c r="R548" t="s">
        <v>74</v>
      </c>
      <c r="S548" t="s">
        <v>74</v>
      </c>
      <c r="T548" t="s">
        <v>9692</v>
      </c>
      <c r="U548" t="s">
        <v>9693</v>
      </c>
      <c r="V548" t="s">
        <v>9694</v>
      </c>
      <c r="W548" t="s">
        <v>9695</v>
      </c>
      <c r="X548" t="s">
        <v>9696</v>
      </c>
      <c r="Y548" t="s">
        <v>9697</v>
      </c>
      <c r="Z548" t="s">
        <v>74</v>
      </c>
      <c r="AA548" t="s">
        <v>9698</v>
      </c>
      <c r="AB548" t="s">
        <v>9699</v>
      </c>
      <c r="AC548" t="s">
        <v>9700</v>
      </c>
      <c r="AD548" t="s">
        <v>9700</v>
      </c>
      <c r="AE548" t="s">
        <v>9701</v>
      </c>
      <c r="AF548" t="s">
        <v>74</v>
      </c>
      <c r="AG548">
        <v>77</v>
      </c>
      <c r="AH548">
        <v>47</v>
      </c>
      <c r="AI548">
        <v>51</v>
      </c>
      <c r="AJ548">
        <v>1</v>
      </c>
      <c r="AK548">
        <v>14</v>
      </c>
      <c r="AL548" t="s">
        <v>718</v>
      </c>
      <c r="AM548" t="s">
        <v>719</v>
      </c>
      <c r="AN548" t="s">
        <v>720</v>
      </c>
      <c r="AO548" t="s">
        <v>9702</v>
      </c>
      <c r="AP548" t="s">
        <v>9703</v>
      </c>
      <c r="AQ548" t="s">
        <v>74</v>
      </c>
      <c r="AR548" t="s">
        <v>9704</v>
      </c>
      <c r="AS548" t="s">
        <v>9705</v>
      </c>
      <c r="AT548" t="s">
        <v>3935</v>
      </c>
      <c r="AU548">
        <v>2011</v>
      </c>
      <c r="AV548">
        <v>59</v>
      </c>
      <c r="AW548">
        <v>1</v>
      </c>
      <c r="AX548" t="s">
        <v>74</v>
      </c>
      <c r="AY548" t="s">
        <v>74</v>
      </c>
      <c r="AZ548" t="s">
        <v>74</v>
      </c>
      <c r="BA548" t="s">
        <v>74</v>
      </c>
      <c r="BB548">
        <v>74</v>
      </c>
      <c r="BC548">
        <v>100</v>
      </c>
      <c r="BD548" t="s">
        <v>74</v>
      </c>
      <c r="BE548" t="s">
        <v>9706</v>
      </c>
      <c r="BF548" t="str">
        <f>HYPERLINK("http://dx.doi.org/10.1016/j.jafrearsci.2010.08.005","http://dx.doi.org/10.1016/j.jafrearsci.2010.08.005")</f>
        <v>http://dx.doi.org/10.1016/j.jafrearsci.2010.08.005</v>
      </c>
      <c r="BG548" t="s">
        <v>74</v>
      </c>
      <c r="BH548" t="s">
        <v>74</v>
      </c>
      <c r="BI548">
        <v>27</v>
      </c>
      <c r="BJ548" t="s">
        <v>396</v>
      </c>
      <c r="BK548" t="s">
        <v>100</v>
      </c>
      <c r="BL548" t="s">
        <v>397</v>
      </c>
      <c r="BM548" t="s">
        <v>9707</v>
      </c>
      <c r="BN548" t="s">
        <v>74</v>
      </c>
      <c r="BO548" t="s">
        <v>74</v>
      </c>
      <c r="BP548" t="s">
        <v>74</v>
      </c>
      <c r="BQ548" t="s">
        <v>74</v>
      </c>
      <c r="BR548" t="s">
        <v>103</v>
      </c>
      <c r="BS548" t="s">
        <v>9708</v>
      </c>
      <c r="BT548" t="str">
        <f>HYPERLINK("https%3A%2F%2Fwww.webofscience.com%2Fwos%2Fwoscc%2Ffull-record%2FWOS:000285123200005","View Full Record in Web of Science")</f>
        <v>View Full Record in Web of Science</v>
      </c>
    </row>
    <row r="549" spans="1:72" x14ac:dyDescent="0.15">
      <c r="A549" t="s">
        <v>72</v>
      </c>
      <c r="B549" t="s">
        <v>9709</v>
      </c>
      <c r="C549" t="s">
        <v>74</v>
      </c>
      <c r="D549" t="s">
        <v>74</v>
      </c>
      <c r="E549" t="s">
        <v>74</v>
      </c>
      <c r="F549" t="s">
        <v>9710</v>
      </c>
      <c r="G549" t="s">
        <v>74</v>
      </c>
      <c r="H549" t="s">
        <v>74</v>
      </c>
      <c r="I549" t="s">
        <v>9711</v>
      </c>
      <c r="J549" t="s">
        <v>9712</v>
      </c>
      <c r="K549" t="s">
        <v>74</v>
      </c>
      <c r="L549" t="s">
        <v>74</v>
      </c>
      <c r="M549" t="s">
        <v>78</v>
      </c>
      <c r="N549" t="s">
        <v>79</v>
      </c>
      <c r="O549" t="s">
        <v>74</v>
      </c>
      <c r="P549" t="s">
        <v>74</v>
      </c>
      <c r="Q549" t="s">
        <v>74</v>
      </c>
      <c r="R549" t="s">
        <v>74</v>
      </c>
      <c r="S549" t="s">
        <v>74</v>
      </c>
      <c r="T549" t="s">
        <v>9713</v>
      </c>
      <c r="U549" t="s">
        <v>9714</v>
      </c>
      <c r="V549" t="s">
        <v>9715</v>
      </c>
      <c r="W549" t="s">
        <v>9716</v>
      </c>
      <c r="X549" t="s">
        <v>9717</v>
      </c>
      <c r="Y549" t="s">
        <v>9718</v>
      </c>
      <c r="Z549" t="s">
        <v>9719</v>
      </c>
      <c r="AA549" t="s">
        <v>9720</v>
      </c>
      <c r="AB549" t="s">
        <v>9721</v>
      </c>
      <c r="AC549" t="s">
        <v>9722</v>
      </c>
      <c r="AD549" t="s">
        <v>9723</v>
      </c>
      <c r="AE549" t="s">
        <v>9724</v>
      </c>
      <c r="AF549" t="s">
        <v>74</v>
      </c>
      <c r="AG549">
        <v>91</v>
      </c>
      <c r="AH549">
        <v>67</v>
      </c>
      <c r="AI549">
        <v>79</v>
      </c>
      <c r="AJ549">
        <v>3</v>
      </c>
      <c r="AK549">
        <v>49</v>
      </c>
      <c r="AL549" t="s">
        <v>366</v>
      </c>
      <c r="AM549" t="s">
        <v>215</v>
      </c>
      <c r="AN549" t="s">
        <v>216</v>
      </c>
      <c r="AO549" t="s">
        <v>9725</v>
      </c>
      <c r="AP549" t="s">
        <v>74</v>
      </c>
      <c r="AQ549" t="s">
        <v>74</v>
      </c>
      <c r="AR549" t="s">
        <v>9726</v>
      </c>
      <c r="AS549" t="s">
        <v>9727</v>
      </c>
      <c r="AT549" t="s">
        <v>3935</v>
      </c>
      <c r="AU549">
        <v>2011</v>
      </c>
      <c r="AV549">
        <v>80</v>
      </c>
      <c r="AW549">
        <v>1</v>
      </c>
      <c r="AX549" t="s">
        <v>74</v>
      </c>
      <c r="AY549" t="s">
        <v>74</v>
      </c>
      <c r="AZ549" t="s">
        <v>74</v>
      </c>
      <c r="BA549" t="s">
        <v>74</v>
      </c>
      <c r="BB549">
        <v>57</v>
      </c>
      <c r="BC549">
        <v>68</v>
      </c>
      <c r="BD549" t="s">
        <v>74</v>
      </c>
      <c r="BE549" t="s">
        <v>9728</v>
      </c>
      <c r="BF549" t="str">
        <f>HYPERLINK("http://dx.doi.org/10.1111/j.1365-2656.2010.01760.x","http://dx.doi.org/10.1111/j.1365-2656.2010.01760.x")</f>
        <v>http://dx.doi.org/10.1111/j.1365-2656.2010.01760.x</v>
      </c>
      <c r="BG549" t="s">
        <v>74</v>
      </c>
      <c r="BH549" t="s">
        <v>74</v>
      </c>
      <c r="BI549">
        <v>12</v>
      </c>
      <c r="BJ549" t="s">
        <v>4002</v>
      </c>
      <c r="BK549" t="s">
        <v>100</v>
      </c>
      <c r="BL549" t="s">
        <v>4003</v>
      </c>
      <c r="BM549" t="s">
        <v>9729</v>
      </c>
      <c r="BN549">
        <v>20946384</v>
      </c>
      <c r="BO549" t="s">
        <v>252</v>
      </c>
      <c r="BP549" t="s">
        <v>74</v>
      </c>
      <c r="BQ549" t="s">
        <v>74</v>
      </c>
      <c r="BR549" t="s">
        <v>103</v>
      </c>
      <c r="BS549" t="s">
        <v>9730</v>
      </c>
      <c r="BT549" t="str">
        <f>HYPERLINK("https%3A%2F%2Fwww.webofscience.com%2Fwos%2Fwoscc%2Ffull-record%2FWOS:000285110600006","View Full Record in Web of Science")</f>
        <v>View Full Record in Web of Science</v>
      </c>
    </row>
    <row r="550" spans="1:72" x14ac:dyDescent="0.15">
      <c r="A550" t="s">
        <v>72</v>
      </c>
      <c r="B550" t="s">
        <v>9731</v>
      </c>
      <c r="C550" t="s">
        <v>74</v>
      </c>
      <c r="D550" t="s">
        <v>74</v>
      </c>
      <c r="E550" t="s">
        <v>74</v>
      </c>
      <c r="F550" t="s">
        <v>9732</v>
      </c>
      <c r="G550" t="s">
        <v>74</v>
      </c>
      <c r="H550" t="s">
        <v>74</v>
      </c>
      <c r="I550" t="s">
        <v>9733</v>
      </c>
      <c r="J550" t="s">
        <v>9712</v>
      </c>
      <c r="K550" t="s">
        <v>74</v>
      </c>
      <c r="L550" t="s">
        <v>74</v>
      </c>
      <c r="M550" t="s">
        <v>78</v>
      </c>
      <c r="N550" t="s">
        <v>79</v>
      </c>
      <c r="O550" t="s">
        <v>74</v>
      </c>
      <c r="P550" t="s">
        <v>74</v>
      </c>
      <c r="Q550" t="s">
        <v>74</v>
      </c>
      <c r="R550" t="s">
        <v>74</v>
      </c>
      <c r="S550" t="s">
        <v>74</v>
      </c>
      <c r="T550" t="s">
        <v>9734</v>
      </c>
      <c r="U550" t="s">
        <v>9735</v>
      </c>
      <c r="V550" t="s">
        <v>9736</v>
      </c>
      <c r="W550" t="s">
        <v>9737</v>
      </c>
      <c r="X550" t="s">
        <v>9738</v>
      </c>
      <c r="Y550" t="s">
        <v>9739</v>
      </c>
      <c r="Z550" t="s">
        <v>9740</v>
      </c>
      <c r="AA550" t="s">
        <v>9741</v>
      </c>
      <c r="AB550" t="s">
        <v>9742</v>
      </c>
      <c r="AC550" t="s">
        <v>9743</v>
      </c>
      <c r="AD550" t="s">
        <v>9744</v>
      </c>
      <c r="AE550" t="s">
        <v>9745</v>
      </c>
      <c r="AF550" t="s">
        <v>74</v>
      </c>
      <c r="AG550">
        <v>64</v>
      </c>
      <c r="AH550">
        <v>78</v>
      </c>
      <c r="AI550">
        <v>86</v>
      </c>
      <c r="AJ550">
        <v>2</v>
      </c>
      <c r="AK550">
        <v>93</v>
      </c>
      <c r="AL550" t="s">
        <v>214</v>
      </c>
      <c r="AM550" t="s">
        <v>215</v>
      </c>
      <c r="AN550" t="s">
        <v>216</v>
      </c>
      <c r="AO550" t="s">
        <v>9725</v>
      </c>
      <c r="AP550" t="s">
        <v>9746</v>
      </c>
      <c r="AQ550" t="s">
        <v>74</v>
      </c>
      <c r="AR550" t="s">
        <v>9726</v>
      </c>
      <c r="AS550" t="s">
        <v>9727</v>
      </c>
      <c r="AT550" t="s">
        <v>3935</v>
      </c>
      <c r="AU550">
        <v>2011</v>
      </c>
      <c r="AV550">
        <v>80</v>
      </c>
      <c r="AW550">
        <v>1</v>
      </c>
      <c r="AX550" t="s">
        <v>74</v>
      </c>
      <c r="AY550" t="s">
        <v>74</v>
      </c>
      <c r="AZ550" t="s">
        <v>74</v>
      </c>
      <c r="BA550" t="s">
        <v>74</v>
      </c>
      <c r="BB550">
        <v>89</v>
      </c>
      <c r="BC550">
        <v>100</v>
      </c>
      <c r="BD550" t="s">
        <v>74</v>
      </c>
      <c r="BE550" t="s">
        <v>9747</v>
      </c>
      <c r="BF550" t="str">
        <f>HYPERLINK("http://dx.doi.org/10.1111/j.1365-2656.2010.01752.x","http://dx.doi.org/10.1111/j.1365-2656.2010.01752.x")</f>
        <v>http://dx.doi.org/10.1111/j.1365-2656.2010.01752.x</v>
      </c>
      <c r="BG550" t="s">
        <v>74</v>
      </c>
      <c r="BH550" t="s">
        <v>74</v>
      </c>
      <c r="BI550">
        <v>12</v>
      </c>
      <c r="BJ550" t="s">
        <v>4002</v>
      </c>
      <c r="BK550" t="s">
        <v>100</v>
      </c>
      <c r="BL550" t="s">
        <v>4003</v>
      </c>
      <c r="BM550" t="s">
        <v>9729</v>
      </c>
      <c r="BN550">
        <v>20840607</v>
      </c>
      <c r="BO550" t="s">
        <v>252</v>
      </c>
      <c r="BP550" t="s">
        <v>74</v>
      </c>
      <c r="BQ550" t="s">
        <v>74</v>
      </c>
      <c r="BR550" t="s">
        <v>103</v>
      </c>
      <c r="BS550" t="s">
        <v>9748</v>
      </c>
      <c r="BT550" t="str">
        <f>HYPERLINK("https%3A%2F%2Fwww.webofscience.com%2Fwos%2Fwoscc%2Ffull-record%2FWOS:000285110600009","View Full Record in Web of Science")</f>
        <v>View Full Record in Web of Science</v>
      </c>
    </row>
    <row r="551" spans="1:72" x14ac:dyDescent="0.15">
      <c r="A551" t="s">
        <v>72</v>
      </c>
      <c r="B551" t="s">
        <v>9749</v>
      </c>
      <c r="C551" t="s">
        <v>74</v>
      </c>
      <c r="D551" t="s">
        <v>74</v>
      </c>
      <c r="E551" t="s">
        <v>74</v>
      </c>
      <c r="F551" t="s">
        <v>9750</v>
      </c>
      <c r="G551" t="s">
        <v>74</v>
      </c>
      <c r="H551" t="s">
        <v>74</v>
      </c>
      <c r="I551" t="s">
        <v>9751</v>
      </c>
      <c r="J551" t="s">
        <v>1006</v>
      </c>
      <c r="K551" t="s">
        <v>74</v>
      </c>
      <c r="L551" t="s">
        <v>74</v>
      </c>
      <c r="M551" t="s">
        <v>78</v>
      </c>
      <c r="N551" t="s">
        <v>79</v>
      </c>
      <c r="O551" t="s">
        <v>74</v>
      </c>
      <c r="P551" t="s">
        <v>74</v>
      </c>
      <c r="Q551" t="s">
        <v>74</v>
      </c>
      <c r="R551" t="s">
        <v>74</v>
      </c>
      <c r="S551" t="s">
        <v>74</v>
      </c>
      <c r="T551" t="s">
        <v>74</v>
      </c>
      <c r="U551" t="s">
        <v>9752</v>
      </c>
      <c r="V551" t="s">
        <v>9753</v>
      </c>
      <c r="W551" t="s">
        <v>9754</v>
      </c>
      <c r="X551" t="s">
        <v>2492</v>
      </c>
      <c r="Y551" t="s">
        <v>9755</v>
      </c>
      <c r="Z551" t="s">
        <v>9756</v>
      </c>
      <c r="AA551" t="s">
        <v>9757</v>
      </c>
      <c r="AB551" t="s">
        <v>74</v>
      </c>
      <c r="AC551" t="s">
        <v>9758</v>
      </c>
      <c r="AD551" t="s">
        <v>9759</v>
      </c>
      <c r="AE551" t="s">
        <v>9760</v>
      </c>
      <c r="AF551" t="s">
        <v>74</v>
      </c>
      <c r="AG551">
        <v>73</v>
      </c>
      <c r="AH551">
        <v>114</v>
      </c>
      <c r="AI551">
        <v>130</v>
      </c>
      <c r="AJ551">
        <v>2</v>
      </c>
      <c r="AK551">
        <v>46</v>
      </c>
      <c r="AL551" t="s">
        <v>1018</v>
      </c>
      <c r="AM551" t="s">
        <v>1019</v>
      </c>
      <c r="AN551" t="s">
        <v>1020</v>
      </c>
      <c r="AO551" t="s">
        <v>1021</v>
      </c>
      <c r="AP551" t="s">
        <v>1022</v>
      </c>
      <c r="AQ551" t="s">
        <v>74</v>
      </c>
      <c r="AR551" t="s">
        <v>1023</v>
      </c>
      <c r="AS551" t="s">
        <v>1024</v>
      </c>
      <c r="AT551" t="s">
        <v>3935</v>
      </c>
      <c r="AU551">
        <v>2011</v>
      </c>
      <c r="AV551">
        <v>24</v>
      </c>
      <c r="AW551">
        <v>1</v>
      </c>
      <c r="AX551" t="s">
        <v>74</v>
      </c>
      <c r="AY551" t="s">
        <v>74</v>
      </c>
      <c r="AZ551" t="s">
        <v>74</v>
      </c>
      <c r="BA551" t="s">
        <v>74</v>
      </c>
      <c r="BB551">
        <v>49</v>
      </c>
      <c r="BC551">
        <v>67</v>
      </c>
      <c r="BD551" t="s">
        <v>74</v>
      </c>
      <c r="BE551" t="s">
        <v>9761</v>
      </c>
      <c r="BF551" t="str">
        <f>HYPERLINK("http://dx.doi.org/10.1175/2010JCLI3522.1","http://dx.doi.org/10.1175/2010JCLI3522.1")</f>
        <v>http://dx.doi.org/10.1175/2010JCLI3522.1</v>
      </c>
      <c r="BG551" t="s">
        <v>74</v>
      </c>
      <c r="BH551" t="s">
        <v>74</v>
      </c>
      <c r="BI551">
        <v>19</v>
      </c>
      <c r="BJ551" t="s">
        <v>603</v>
      </c>
      <c r="BK551" t="s">
        <v>100</v>
      </c>
      <c r="BL551" t="s">
        <v>603</v>
      </c>
      <c r="BM551" t="s">
        <v>9762</v>
      </c>
      <c r="BN551" t="s">
        <v>74</v>
      </c>
      <c r="BO551" t="s">
        <v>252</v>
      </c>
      <c r="BP551" t="s">
        <v>74</v>
      </c>
      <c r="BQ551" t="s">
        <v>74</v>
      </c>
      <c r="BR551" t="s">
        <v>103</v>
      </c>
      <c r="BS551" t="s">
        <v>9763</v>
      </c>
      <c r="BT551" t="str">
        <f>HYPERLINK("https%3A%2F%2Fwww.webofscience.com%2Fwos%2Fwoscc%2Ffull-record%2FWOS:000286659600003","View Full Record in Web of Science")</f>
        <v>View Full Record in Web of Science</v>
      </c>
    </row>
    <row r="552" spans="1:72" x14ac:dyDescent="0.15">
      <c r="A552" t="s">
        <v>72</v>
      </c>
      <c r="B552" t="s">
        <v>9764</v>
      </c>
      <c r="C552" t="s">
        <v>74</v>
      </c>
      <c r="D552" t="s">
        <v>74</v>
      </c>
      <c r="E552" t="s">
        <v>74</v>
      </c>
      <c r="F552" t="s">
        <v>9765</v>
      </c>
      <c r="G552" t="s">
        <v>74</v>
      </c>
      <c r="H552" t="s">
        <v>74</v>
      </c>
      <c r="I552" t="s">
        <v>9766</v>
      </c>
      <c r="J552" t="s">
        <v>9767</v>
      </c>
      <c r="K552" t="s">
        <v>74</v>
      </c>
      <c r="L552" t="s">
        <v>74</v>
      </c>
      <c r="M552" t="s">
        <v>78</v>
      </c>
      <c r="N552" t="s">
        <v>79</v>
      </c>
      <c r="O552" t="s">
        <v>74</v>
      </c>
      <c r="P552" t="s">
        <v>74</v>
      </c>
      <c r="Q552" t="s">
        <v>74</v>
      </c>
      <c r="R552" t="s">
        <v>74</v>
      </c>
      <c r="S552" t="s">
        <v>74</v>
      </c>
      <c r="T552" t="s">
        <v>9768</v>
      </c>
      <c r="U552" t="s">
        <v>9769</v>
      </c>
      <c r="V552" t="s">
        <v>9770</v>
      </c>
      <c r="W552" t="s">
        <v>9771</v>
      </c>
      <c r="X552" t="s">
        <v>9772</v>
      </c>
      <c r="Y552" t="s">
        <v>9773</v>
      </c>
      <c r="Z552" t="s">
        <v>9774</v>
      </c>
      <c r="AA552" t="s">
        <v>9775</v>
      </c>
      <c r="AB552" t="s">
        <v>9776</v>
      </c>
      <c r="AC552" t="s">
        <v>9777</v>
      </c>
      <c r="AD552" t="s">
        <v>9778</v>
      </c>
      <c r="AE552" t="s">
        <v>9779</v>
      </c>
      <c r="AF552" t="s">
        <v>74</v>
      </c>
      <c r="AG552">
        <v>46</v>
      </c>
      <c r="AH552">
        <v>19</v>
      </c>
      <c r="AI552">
        <v>23</v>
      </c>
      <c r="AJ552">
        <v>0</v>
      </c>
      <c r="AK552">
        <v>31</v>
      </c>
      <c r="AL552" t="s">
        <v>1195</v>
      </c>
      <c r="AM552" t="s">
        <v>1196</v>
      </c>
      <c r="AN552" t="s">
        <v>1197</v>
      </c>
      <c r="AO552" t="s">
        <v>9780</v>
      </c>
      <c r="AP552" t="s">
        <v>74</v>
      </c>
      <c r="AQ552" t="s">
        <v>74</v>
      </c>
      <c r="AR552" t="s">
        <v>9781</v>
      </c>
      <c r="AS552" t="s">
        <v>9782</v>
      </c>
      <c r="AT552" t="s">
        <v>3935</v>
      </c>
      <c r="AU552">
        <v>2011</v>
      </c>
      <c r="AV552">
        <v>181</v>
      </c>
      <c r="AW552">
        <v>1</v>
      </c>
      <c r="AX552" t="s">
        <v>74</v>
      </c>
      <c r="AY552" t="s">
        <v>74</v>
      </c>
      <c r="AZ552" t="s">
        <v>74</v>
      </c>
      <c r="BA552" t="s">
        <v>74</v>
      </c>
      <c r="BB552">
        <v>83</v>
      </c>
      <c r="BC552">
        <v>90</v>
      </c>
      <c r="BD552" t="s">
        <v>74</v>
      </c>
      <c r="BE552" t="s">
        <v>9783</v>
      </c>
      <c r="BF552" t="str">
        <f>HYPERLINK("http://dx.doi.org/10.1007/s00360-010-0508-4","http://dx.doi.org/10.1007/s00360-010-0508-4")</f>
        <v>http://dx.doi.org/10.1007/s00360-010-0508-4</v>
      </c>
      <c r="BG552" t="s">
        <v>74</v>
      </c>
      <c r="BH552" t="s">
        <v>74</v>
      </c>
      <c r="BI552">
        <v>8</v>
      </c>
      <c r="BJ552" t="s">
        <v>9784</v>
      </c>
      <c r="BK552" t="s">
        <v>100</v>
      </c>
      <c r="BL552" t="s">
        <v>9784</v>
      </c>
      <c r="BM552" t="s">
        <v>9785</v>
      </c>
      <c r="BN552">
        <v>20721561</v>
      </c>
      <c r="BO552" t="s">
        <v>74</v>
      </c>
      <c r="BP552" t="s">
        <v>74</v>
      </c>
      <c r="BQ552" t="s">
        <v>74</v>
      </c>
      <c r="BR552" t="s">
        <v>103</v>
      </c>
      <c r="BS552" t="s">
        <v>9786</v>
      </c>
      <c r="BT552" t="str">
        <f>HYPERLINK("https%3A%2F%2Fwww.webofscience.com%2Fwos%2Fwoscc%2Ffull-record%2FWOS:000286341400008","View Full Record in Web of Science")</f>
        <v>View Full Record in Web of Science</v>
      </c>
    </row>
    <row r="553" spans="1:72" x14ac:dyDescent="0.15">
      <c r="A553" t="s">
        <v>72</v>
      </c>
      <c r="B553" t="s">
        <v>9787</v>
      </c>
      <c r="C553" t="s">
        <v>74</v>
      </c>
      <c r="D553" t="s">
        <v>74</v>
      </c>
      <c r="E553" t="s">
        <v>74</v>
      </c>
      <c r="F553" t="s">
        <v>9788</v>
      </c>
      <c r="G553" t="s">
        <v>74</v>
      </c>
      <c r="H553" t="s">
        <v>74</v>
      </c>
      <c r="I553" t="s">
        <v>9789</v>
      </c>
      <c r="J553" t="s">
        <v>9790</v>
      </c>
      <c r="K553" t="s">
        <v>74</v>
      </c>
      <c r="L553" t="s">
        <v>74</v>
      </c>
      <c r="M553" t="s">
        <v>78</v>
      </c>
      <c r="N553" t="s">
        <v>79</v>
      </c>
      <c r="O553" t="s">
        <v>74</v>
      </c>
      <c r="P553" t="s">
        <v>74</v>
      </c>
      <c r="Q553" t="s">
        <v>74</v>
      </c>
      <c r="R553" t="s">
        <v>74</v>
      </c>
      <c r="S553" t="s">
        <v>74</v>
      </c>
      <c r="T553" t="s">
        <v>9791</v>
      </c>
      <c r="U553" t="s">
        <v>9792</v>
      </c>
      <c r="V553" t="s">
        <v>9793</v>
      </c>
      <c r="W553" t="s">
        <v>9794</v>
      </c>
      <c r="X553" t="s">
        <v>181</v>
      </c>
      <c r="Y553" t="s">
        <v>9795</v>
      </c>
      <c r="Z553" t="s">
        <v>9796</v>
      </c>
      <c r="AA553" t="s">
        <v>9797</v>
      </c>
      <c r="AB553" t="s">
        <v>74</v>
      </c>
      <c r="AC553" t="s">
        <v>9798</v>
      </c>
      <c r="AD553" t="s">
        <v>9799</v>
      </c>
      <c r="AE553" t="s">
        <v>9800</v>
      </c>
      <c r="AF553" t="s">
        <v>74</v>
      </c>
      <c r="AG553">
        <v>36</v>
      </c>
      <c r="AH553">
        <v>11</v>
      </c>
      <c r="AI553">
        <v>11</v>
      </c>
      <c r="AJ553">
        <v>3</v>
      </c>
      <c r="AK553">
        <v>29</v>
      </c>
      <c r="AL553" t="s">
        <v>4656</v>
      </c>
      <c r="AM553" t="s">
        <v>1578</v>
      </c>
      <c r="AN553" t="s">
        <v>5173</v>
      </c>
      <c r="AO553" t="s">
        <v>9801</v>
      </c>
      <c r="AP553" t="s">
        <v>9802</v>
      </c>
      <c r="AQ553" t="s">
        <v>74</v>
      </c>
      <c r="AR553" t="s">
        <v>9803</v>
      </c>
      <c r="AS553" t="s">
        <v>9804</v>
      </c>
      <c r="AT553" t="s">
        <v>74</v>
      </c>
      <c r="AU553">
        <v>2011</v>
      </c>
      <c r="AV553">
        <v>23</v>
      </c>
      <c r="AW553">
        <v>9</v>
      </c>
      <c r="AX553" t="s">
        <v>74</v>
      </c>
      <c r="AY553" t="s">
        <v>74</v>
      </c>
      <c r="AZ553" t="s">
        <v>74</v>
      </c>
      <c r="BA553" t="s">
        <v>74</v>
      </c>
      <c r="BB553">
        <v>1424</v>
      </c>
      <c r="BC553">
        <v>1430</v>
      </c>
      <c r="BD553" t="s">
        <v>74</v>
      </c>
      <c r="BE553" t="s">
        <v>9805</v>
      </c>
      <c r="BF553" t="str">
        <f>HYPERLINK("http://dx.doi.org/10.1016/S1001-0742(10)60602-X","http://dx.doi.org/10.1016/S1001-0742(10)60602-X")</f>
        <v>http://dx.doi.org/10.1016/S1001-0742(10)60602-X</v>
      </c>
      <c r="BG553" t="s">
        <v>74</v>
      </c>
      <c r="BH553" t="s">
        <v>74</v>
      </c>
      <c r="BI553">
        <v>7</v>
      </c>
      <c r="BJ553" t="s">
        <v>4121</v>
      </c>
      <c r="BK553" t="s">
        <v>100</v>
      </c>
      <c r="BL553" t="s">
        <v>822</v>
      </c>
      <c r="BM553" t="s">
        <v>9806</v>
      </c>
      <c r="BN553">
        <v>22432276</v>
      </c>
      <c r="BO553" t="s">
        <v>74</v>
      </c>
      <c r="BP553" t="s">
        <v>74</v>
      </c>
      <c r="BQ553" t="s">
        <v>74</v>
      </c>
      <c r="BR553" t="s">
        <v>103</v>
      </c>
      <c r="BS553" t="s">
        <v>9807</v>
      </c>
      <c r="BT553" t="str">
        <f>HYPERLINK("https%3A%2F%2Fwww.webofscience.com%2Fwos%2Fwoscc%2Ffull-record%2FWOS:000295315300003","View Full Record in Web of Science")</f>
        <v>View Full Record in Web of Science</v>
      </c>
    </row>
    <row r="554" spans="1:72" x14ac:dyDescent="0.15">
      <c r="A554" t="s">
        <v>72</v>
      </c>
      <c r="B554" t="s">
        <v>9808</v>
      </c>
      <c r="C554" t="s">
        <v>74</v>
      </c>
      <c r="D554" t="s">
        <v>74</v>
      </c>
      <c r="E554" t="s">
        <v>74</v>
      </c>
      <c r="F554" t="s">
        <v>9809</v>
      </c>
      <c r="G554" t="s">
        <v>74</v>
      </c>
      <c r="H554" t="s">
        <v>74</v>
      </c>
      <c r="I554" t="s">
        <v>9810</v>
      </c>
      <c r="J554" t="s">
        <v>9790</v>
      </c>
      <c r="K554" t="s">
        <v>74</v>
      </c>
      <c r="L554" t="s">
        <v>74</v>
      </c>
      <c r="M554" t="s">
        <v>78</v>
      </c>
      <c r="N554" t="s">
        <v>79</v>
      </c>
      <c r="O554" t="s">
        <v>74</v>
      </c>
      <c r="P554" t="s">
        <v>74</v>
      </c>
      <c r="Q554" t="s">
        <v>74</v>
      </c>
      <c r="R554" t="s">
        <v>74</v>
      </c>
      <c r="S554" t="s">
        <v>74</v>
      </c>
      <c r="T554" t="s">
        <v>9811</v>
      </c>
      <c r="U554" t="s">
        <v>9812</v>
      </c>
      <c r="V554" t="s">
        <v>9813</v>
      </c>
      <c r="W554" t="s">
        <v>9814</v>
      </c>
      <c r="X554" t="s">
        <v>9815</v>
      </c>
      <c r="Y554" t="s">
        <v>263</v>
      </c>
      <c r="Z554" t="s">
        <v>9816</v>
      </c>
      <c r="AA554" t="s">
        <v>9817</v>
      </c>
      <c r="AB554" t="s">
        <v>9818</v>
      </c>
      <c r="AC554" t="s">
        <v>9819</v>
      </c>
      <c r="AD554" t="s">
        <v>9820</v>
      </c>
      <c r="AE554" t="s">
        <v>9821</v>
      </c>
      <c r="AF554" t="s">
        <v>74</v>
      </c>
      <c r="AG554">
        <v>48</v>
      </c>
      <c r="AH554">
        <v>12</v>
      </c>
      <c r="AI554">
        <v>15</v>
      </c>
      <c r="AJ554">
        <v>4</v>
      </c>
      <c r="AK554">
        <v>36</v>
      </c>
      <c r="AL554" t="s">
        <v>4656</v>
      </c>
      <c r="AM554" t="s">
        <v>1578</v>
      </c>
      <c r="AN554" t="s">
        <v>5173</v>
      </c>
      <c r="AO554" t="s">
        <v>9801</v>
      </c>
      <c r="AP554" t="s">
        <v>9802</v>
      </c>
      <c r="AQ554" t="s">
        <v>74</v>
      </c>
      <c r="AR554" t="s">
        <v>9822</v>
      </c>
      <c r="AS554" t="s">
        <v>9804</v>
      </c>
      <c r="AT554" t="s">
        <v>74</v>
      </c>
      <c r="AU554">
        <v>2011</v>
      </c>
      <c r="AV554">
        <v>23</v>
      </c>
      <c r="AW554">
        <v>9</v>
      </c>
      <c r="AX554" t="s">
        <v>74</v>
      </c>
      <c r="AY554" t="s">
        <v>74</v>
      </c>
      <c r="AZ554" t="s">
        <v>74</v>
      </c>
      <c r="BA554" t="s">
        <v>74</v>
      </c>
      <c r="BB554">
        <v>1431</v>
      </c>
      <c r="BC554">
        <v>1436</v>
      </c>
      <c r="BD554" t="s">
        <v>74</v>
      </c>
      <c r="BE554" t="s">
        <v>9823</v>
      </c>
      <c r="BF554" t="str">
        <f>HYPERLINK("http://dx.doi.org/10.1016/S1001-0742(10)60601-8","http://dx.doi.org/10.1016/S1001-0742(10)60601-8")</f>
        <v>http://dx.doi.org/10.1016/S1001-0742(10)60601-8</v>
      </c>
      <c r="BG554" t="s">
        <v>74</v>
      </c>
      <c r="BH554" t="s">
        <v>74</v>
      </c>
      <c r="BI554">
        <v>6</v>
      </c>
      <c r="BJ554" t="s">
        <v>4121</v>
      </c>
      <c r="BK554" t="s">
        <v>100</v>
      </c>
      <c r="BL554" t="s">
        <v>822</v>
      </c>
      <c r="BM554" t="s">
        <v>9806</v>
      </c>
      <c r="BN554">
        <v>22432277</v>
      </c>
      <c r="BO554" t="s">
        <v>74</v>
      </c>
      <c r="BP554" t="s">
        <v>74</v>
      </c>
      <c r="BQ554" t="s">
        <v>74</v>
      </c>
      <c r="BR554" t="s">
        <v>103</v>
      </c>
      <c r="BS554" t="s">
        <v>9824</v>
      </c>
      <c r="BT554" t="str">
        <f>HYPERLINK("https%3A%2F%2Fwww.webofscience.com%2Fwos%2Fwoscc%2Ffull-record%2FWOS:000295315300004","View Full Record in Web of Science")</f>
        <v>View Full Record in Web of Science</v>
      </c>
    </row>
    <row r="555" spans="1:72" x14ac:dyDescent="0.15">
      <c r="A555" t="s">
        <v>72</v>
      </c>
      <c r="B555" t="s">
        <v>9825</v>
      </c>
      <c r="C555" t="s">
        <v>74</v>
      </c>
      <c r="D555" t="s">
        <v>74</v>
      </c>
      <c r="E555" t="s">
        <v>74</v>
      </c>
      <c r="F555" t="s">
        <v>9826</v>
      </c>
      <c r="G555" t="s">
        <v>74</v>
      </c>
      <c r="H555" t="s">
        <v>74</v>
      </c>
      <c r="I555" t="s">
        <v>9827</v>
      </c>
      <c r="J555" t="s">
        <v>9790</v>
      </c>
      <c r="K555" t="s">
        <v>74</v>
      </c>
      <c r="L555" t="s">
        <v>74</v>
      </c>
      <c r="M555" t="s">
        <v>78</v>
      </c>
      <c r="N555" t="s">
        <v>79</v>
      </c>
      <c r="O555" t="s">
        <v>74</v>
      </c>
      <c r="P555" t="s">
        <v>74</v>
      </c>
      <c r="Q555" t="s">
        <v>74</v>
      </c>
      <c r="R555" t="s">
        <v>74</v>
      </c>
      <c r="S555" t="s">
        <v>74</v>
      </c>
      <c r="T555" t="s">
        <v>9828</v>
      </c>
      <c r="U555" t="s">
        <v>9829</v>
      </c>
      <c r="V555" t="s">
        <v>9830</v>
      </c>
      <c r="W555" t="s">
        <v>9831</v>
      </c>
      <c r="X555" t="s">
        <v>9832</v>
      </c>
      <c r="Y555" t="s">
        <v>9833</v>
      </c>
      <c r="Z555" t="s">
        <v>9834</v>
      </c>
      <c r="AA555" t="s">
        <v>9835</v>
      </c>
      <c r="AB555" t="s">
        <v>9836</v>
      </c>
      <c r="AC555" t="s">
        <v>9837</v>
      </c>
      <c r="AD555" t="s">
        <v>9838</v>
      </c>
      <c r="AE555" t="s">
        <v>9839</v>
      </c>
      <c r="AF555" t="s">
        <v>74</v>
      </c>
      <c r="AG555">
        <v>30</v>
      </c>
      <c r="AH555">
        <v>39</v>
      </c>
      <c r="AI555">
        <v>48</v>
      </c>
      <c r="AJ555">
        <v>1</v>
      </c>
      <c r="AK555">
        <v>37</v>
      </c>
      <c r="AL555" t="s">
        <v>4656</v>
      </c>
      <c r="AM555" t="s">
        <v>1578</v>
      </c>
      <c r="AN555" t="s">
        <v>5173</v>
      </c>
      <c r="AO555" t="s">
        <v>9801</v>
      </c>
      <c r="AP555" t="s">
        <v>9802</v>
      </c>
      <c r="AQ555" t="s">
        <v>74</v>
      </c>
      <c r="AR555" t="s">
        <v>9822</v>
      </c>
      <c r="AS555" t="s">
        <v>9804</v>
      </c>
      <c r="AT555" t="s">
        <v>74</v>
      </c>
      <c r="AU555">
        <v>2011</v>
      </c>
      <c r="AV555">
        <v>23</v>
      </c>
      <c r="AW555">
        <v>9</v>
      </c>
      <c r="AX555" t="s">
        <v>74</v>
      </c>
      <c r="AY555" t="s">
        <v>74</v>
      </c>
      <c r="AZ555" t="s">
        <v>74</v>
      </c>
      <c r="BA555" t="s">
        <v>74</v>
      </c>
      <c r="BB555">
        <v>1445</v>
      </c>
      <c r="BC555">
        <v>1451</v>
      </c>
      <c r="BD555" t="s">
        <v>74</v>
      </c>
      <c r="BE555" t="s">
        <v>9840</v>
      </c>
      <c r="BF555" t="str">
        <f>HYPERLINK("http://dx.doi.org/10.1016/S1001-0742(10)60605-5","http://dx.doi.org/10.1016/S1001-0742(10)60605-5")</f>
        <v>http://dx.doi.org/10.1016/S1001-0742(10)60605-5</v>
      </c>
      <c r="BG555" t="s">
        <v>74</v>
      </c>
      <c r="BH555" t="s">
        <v>74</v>
      </c>
      <c r="BI555">
        <v>7</v>
      </c>
      <c r="BJ555" t="s">
        <v>4121</v>
      </c>
      <c r="BK555" t="s">
        <v>100</v>
      </c>
      <c r="BL555" t="s">
        <v>822</v>
      </c>
      <c r="BM555" t="s">
        <v>9806</v>
      </c>
      <c r="BN555">
        <v>22432279</v>
      </c>
      <c r="BO555" t="s">
        <v>74</v>
      </c>
      <c r="BP555" t="s">
        <v>74</v>
      </c>
      <c r="BQ555" t="s">
        <v>74</v>
      </c>
      <c r="BR555" t="s">
        <v>103</v>
      </c>
      <c r="BS555" t="s">
        <v>9841</v>
      </c>
      <c r="BT555" t="str">
        <f>HYPERLINK("https%3A%2F%2Fwww.webofscience.com%2Fwos%2Fwoscc%2Ffull-record%2FWOS:000295315300006","View Full Record in Web of Science")</f>
        <v>View Full Record in Web of Science</v>
      </c>
    </row>
    <row r="556" spans="1:72" x14ac:dyDescent="0.15">
      <c r="A556" t="s">
        <v>72</v>
      </c>
      <c r="B556" t="s">
        <v>9842</v>
      </c>
      <c r="C556" t="s">
        <v>74</v>
      </c>
      <c r="D556" t="s">
        <v>74</v>
      </c>
      <c r="E556" t="s">
        <v>74</v>
      </c>
      <c r="F556" t="s">
        <v>9843</v>
      </c>
      <c r="G556" t="s">
        <v>74</v>
      </c>
      <c r="H556" t="s">
        <v>74</v>
      </c>
      <c r="I556" t="s">
        <v>9844</v>
      </c>
      <c r="J556" t="s">
        <v>9845</v>
      </c>
      <c r="K556" t="s">
        <v>74</v>
      </c>
      <c r="L556" t="s">
        <v>74</v>
      </c>
      <c r="M556" t="s">
        <v>78</v>
      </c>
      <c r="N556" t="s">
        <v>79</v>
      </c>
      <c r="O556" t="s">
        <v>74</v>
      </c>
      <c r="P556" t="s">
        <v>74</v>
      </c>
      <c r="Q556" t="s">
        <v>74</v>
      </c>
      <c r="R556" t="s">
        <v>74</v>
      </c>
      <c r="S556" t="s">
        <v>74</v>
      </c>
      <c r="T556" t="s">
        <v>9846</v>
      </c>
      <c r="U556" t="s">
        <v>9847</v>
      </c>
      <c r="V556" t="s">
        <v>9848</v>
      </c>
      <c r="W556" t="s">
        <v>9849</v>
      </c>
      <c r="X556" t="s">
        <v>9850</v>
      </c>
      <c r="Y556" t="s">
        <v>9851</v>
      </c>
      <c r="Z556" t="s">
        <v>9852</v>
      </c>
      <c r="AA556" t="s">
        <v>74</v>
      </c>
      <c r="AB556" t="s">
        <v>74</v>
      </c>
      <c r="AC556" t="s">
        <v>9853</v>
      </c>
      <c r="AD556" t="s">
        <v>9854</v>
      </c>
      <c r="AE556" t="s">
        <v>9855</v>
      </c>
      <c r="AF556" t="s">
        <v>74</v>
      </c>
      <c r="AG556">
        <v>40</v>
      </c>
      <c r="AH556">
        <v>20</v>
      </c>
      <c r="AI556">
        <v>26</v>
      </c>
      <c r="AJ556">
        <v>0</v>
      </c>
      <c r="AK556">
        <v>20</v>
      </c>
      <c r="AL556" t="s">
        <v>9146</v>
      </c>
      <c r="AM556" t="s">
        <v>719</v>
      </c>
      <c r="AN556" t="s">
        <v>9147</v>
      </c>
      <c r="AO556" t="s">
        <v>9856</v>
      </c>
      <c r="AP556" t="s">
        <v>9857</v>
      </c>
      <c r="AQ556" t="s">
        <v>74</v>
      </c>
      <c r="AR556" t="s">
        <v>9858</v>
      </c>
      <c r="AS556" t="s">
        <v>9859</v>
      </c>
      <c r="AT556" t="s">
        <v>3935</v>
      </c>
      <c r="AU556">
        <v>2011</v>
      </c>
      <c r="AV556">
        <v>62</v>
      </c>
      <c r="AW556">
        <v>3</v>
      </c>
      <c r="AX556" t="s">
        <v>74</v>
      </c>
      <c r="AY556" t="s">
        <v>74</v>
      </c>
      <c r="AZ556" t="s">
        <v>74</v>
      </c>
      <c r="BA556" t="s">
        <v>74</v>
      </c>
      <c r="BB556">
        <v>1169</v>
      </c>
      <c r="BC556">
        <v>1177</v>
      </c>
      <c r="BD556" t="s">
        <v>74</v>
      </c>
      <c r="BE556" t="s">
        <v>9860</v>
      </c>
      <c r="BF556" t="str">
        <f>HYPERLINK("http://dx.doi.org/10.1093/jxb/erq347","http://dx.doi.org/10.1093/jxb/erq347")</f>
        <v>http://dx.doi.org/10.1093/jxb/erq347</v>
      </c>
      <c r="BG556" t="s">
        <v>74</v>
      </c>
      <c r="BH556" t="s">
        <v>74</v>
      </c>
      <c r="BI556">
        <v>9</v>
      </c>
      <c r="BJ556" t="s">
        <v>3611</v>
      </c>
      <c r="BK556" t="s">
        <v>100</v>
      </c>
      <c r="BL556" t="s">
        <v>3611</v>
      </c>
      <c r="BM556" t="s">
        <v>9861</v>
      </c>
      <c r="BN556">
        <v>21041369</v>
      </c>
      <c r="BO556" t="s">
        <v>9862</v>
      </c>
      <c r="BP556" t="s">
        <v>74</v>
      </c>
      <c r="BQ556" t="s">
        <v>74</v>
      </c>
      <c r="BR556" t="s">
        <v>103</v>
      </c>
      <c r="BS556" t="s">
        <v>9863</v>
      </c>
      <c r="BT556" t="str">
        <f>HYPERLINK("https%3A%2F%2Fwww.webofscience.com%2Fwos%2Fwoscc%2Ffull-record%2FWOS:000286464600026","View Full Record in Web of Science")</f>
        <v>View Full Record in Web of Science</v>
      </c>
    </row>
    <row r="557" spans="1:72" x14ac:dyDescent="0.15">
      <c r="A557" t="s">
        <v>72</v>
      </c>
      <c r="B557" t="s">
        <v>9864</v>
      </c>
      <c r="C557" t="s">
        <v>74</v>
      </c>
      <c r="D557" t="s">
        <v>74</v>
      </c>
      <c r="E557" t="s">
        <v>74</v>
      </c>
      <c r="F557" t="s">
        <v>9865</v>
      </c>
      <c r="G557" t="s">
        <v>74</v>
      </c>
      <c r="H557" t="s">
        <v>74</v>
      </c>
      <c r="I557" t="s">
        <v>9866</v>
      </c>
      <c r="J557" t="s">
        <v>1625</v>
      </c>
      <c r="K557" t="s">
        <v>74</v>
      </c>
      <c r="L557" t="s">
        <v>74</v>
      </c>
      <c r="M557" t="s">
        <v>78</v>
      </c>
      <c r="N557" t="s">
        <v>79</v>
      </c>
      <c r="O557" t="s">
        <v>74</v>
      </c>
      <c r="P557" t="s">
        <v>74</v>
      </c>
      <c r="Q557" t="s">
        <v>74</v>
      </c>
      <c r="R557" t="s">
        <v>74</v>
      </c>
      <c r="S557" t="s">
        <v>74</v>
      </c>
      <c r="T557" t="s">
        <v>9867</v>
      </c>
      <c r="U557" t="s">
        <v>9868</v>
      </c>
      <c r="V557" t="s">
        <v>9869</v>
      </c>
      <c r="W557" t="s">
        <v>9870</v>
      </c>
      <c r="X557" t="s">
        <v>1103</v>
      </c>
      <c r="Y557" t="s">
        <v>9871</v>
      </c>
      <c r="Z557" t="s">
        <v>9872</v>
      </c>
      <c r="AA557" t="s">
        <v>1106</v>
      </c>
      <c r="AB557" t="s">
        <v>1107</v>
      </c>
      <c r="AC557" t="s">
        <v>9873</v>
      </c>
      <c r="AD557" t="s">
        <v>9874</v>
      </c>
      <c r="AE557" t="s">
        <v>9875</v>
      </c>
      <c r="AF557" t="s">
        <v>74</v>
      </c>
      <c r="AG557">
        <v>26</v>
      </c>
      <c r="AH557">
        <v>15</v>
      </c>
      <c r="AI557">
        <v>16</v>
      </c>
      <c r="AJ557">
        <v>0</v>
      </c>
      <c r="AK557">
        <v>8</v>
      </c>
      <c r="AL557" t="s">
        <v>767</v>
      </c>
      <c r="AM557" t="s">
        <v>640</v>
      </c>
      <c r="AN557" t="s">
        <v>768</v>
      </c>
      <c r="AO557" t="s">
        <v>1638</v>
      </c>
      <c r="AP557" t="s">
        <v>1639</v>
      </c>
      <c r="AQ557" t="s">
        <v>74</v>
      </c>
      <c r="AR557" t="s">
        <v>1640</v>
      </c>
      <c r="AS557" t="s">
        <v>1641</v>
      </c>
      <c r="AT557" t="s">
        <v>5196</v>
      </c>
      <c r="AU557">
        <v>2011</v>
      </c>
      <c r="AV557">
        <v>396</v>
      </c>
      <c r="AW557">
        <v>2</v>
      </c>
      <c r="AX557" t="s">
        <v>74</v>
      </c>
      <c r="AY557" t="s">
        <v>74</v>
      </c>
      <c r="AZ557" t="s">
        <v>74</v>
      </c>
      <c r="BA557" t="s">
        <v>74</v>
      </c>
      <c r="BB557">
        <v>202</v>
      </c>
      <c r="BC557">
        <v>206</v>
      </c>
      <c r="BD557" t="s">
        <v>74</v>
      </c>
      <c r="BE557" t="s">
        <v>9876</v>
      </c>
      <c r="BF557" t="str">
        <f>HYPERLINK("http://dx.doi.org/10.1016/j.jembe.2010.10.023","http://dx.doi.org/10.1016/j.jembe.2010.10.023")</f>
        <v>http://dx.doi.org/10.1016/j.jembe.2010.10.023</v>
      </c>
      <c r="BG557" t="s">
        <v>74</v>
      </c>
      <c r="BH557" t="s">
        <v>74</v>
      </c>
      <c r="BI557">
        <v>5</v>
      </c>
      <c r="BJ557" t="s">
        <v>346</v>
      </c>
      <c r="BK557" t="s">
        <v>100</v>
      </c>
      <c r="BL557" t="s">
        <v>347</v>
      </c>
      <c r="BM557" t="s">
        <v>9877</v>
      </c>
      <c r="BN557" t="s">
        <v>74</v>
      </c>
      <c r="BO557" t="s">
        <v>74</v>
      </c>
      <c r="BP557" t="s">
        <v>74</v>
      </c>
      <c r="BQ557" t="s">
        <v>74</v>
      </c>
      <c r="BR557" t="s">
        <v>103</v>
      </c>
      <c r="BS557" t="s">
        <v>9878</v>
      </c>
      <c r="BT557" t="str">
        <f>HYPERLINK("https%3A%2F%2Fwww.webofscience.com%2Fwos%2Fwoscc%2Ffull-record%2FWOS:000286550400017","View Full Record in Web of Science")</f>
        <v>View Full Record in Web of Science</v>
      </c>
    </row>
    <row r="558" spans="1:72" x14ac:dyDescent="0.15">
      <c r="A558" t="s">
        <v>72</v>
      </c>
      <c r="B558" t="s">
        <v>9879</v>
      </c>
      <c r="C558" t="s">
        <v>74</v>
      </c>
      <c r="D558" t="s">
        <v>74</v>
      </c>
      <c r="E558" t="s">
        <v>74</v>
      </c>
      <c r="F558" t="s">
        <v>9880</v>
      </c>
      <c r="G558" t="s">
        <v>74</v>
      </c>
      <c r="H558" t="s">
        <v>74</v>
      </c>
      <c r="I558" t="s">
        <v>9881</v>
      </c>
      <c r="J558" t="s">
        <v>9882</v>
      </c>
      <c r="K558" t="s">
        <v>74</v>
      </c>
      <c r="L558" t="s">
        <v>74</v>
      </c>
      <c r="M558" t="s">
        <v>78</v>
      </c>
      <c r="N558" t="s">
        <v>79</v>
      </c>
      <c r="O558" t="s">
        <v>74</v>
      </c>
      <c r="P558" t="s">
        <v>74</v>
      </c>
      <c r="Q558" t="s">
        <v>74</v>
      </c>
      <c r="R558" t="s">
        <v>74</v>
      </c>
      <c r="S558" t="s">
        <v>74</v>
      </c>
      <c r="T558" t="s">
        <v>9883</v>
      </c>
      <c r="U558" t="s">
        <v>9884</v>
      </c>
      <c r="V558" t="s">
        <v>9885</v>
      </c>
      <c r="W558" t="s">
        <v>9886</v>
      </c>
      <c r="X558" t="s">
        <v>9887</v>
      </c>
      <c r="Y558" t="s">
        <v>9888</v>
      </c>
      <c r="Z558" t="s">
        <v>9889</v>
      </c>
      <c r="AA558" t="s">
        <v>9890</v>
      </c>
      <c r="AB558" t="s">
        <v>9891</v>
      </c>
      <c r="AC558" t="s">
        <v>9892</v>
      </c>
      <c r="AD558" t="s">
        <v>9893</v>
      </c>
      <c r="AE558" t="s">
        <v>9894</v>
      </c>
      <c r="AF558" t="s">
        <v>74</v>
      </c>
      <c r="AG558">
        <v>44</v>
      </c>
      <c r="AH558">
        <v>43</v>
      </c>
      <c r="AI558">
        <v>45</v>
      </c>
      <c r="AJ558">
        <v>1</v>
      </c>
      <c r="AK558">
        <v>14</v>
      </c>
      <c r="AL558" t="s">
        <v>214</v>
      </c>
      <c r="AM558" t="s">
        <v>215</v>
      </c>
      <c r="AN558" t="s">
        <v>216</v>
      </c>
      <c r="AO558" t="s">
        <v>9895</v>
      </c>
      <c r="AP558" t="s">
        <v>9896</v>
      </c>
      <c r="AQ558" t="s">
        <v>74</v>
      </c>
      <c r="AR558" t="s">
        <v>9897</v>
      </c>
      <c r="AS558" t="s">
        <v>9898</v>
      </c>
      <c r="AT558" t="s">
        <v>3935</v>
      </c>
      <c r="AU558">
        <v>2011</v>
      </c>
      <c r="AV558">
        <v>78</v>
      </c>
      <c r="AW558">
        <v>1</v>
      </c>
      <c r="AX558" t="s">
        <v>74</v>
      </c>
      <c r="AY558" t="s">
        <v>74</v>
      </c>
      <c r="AZ558" t="s">
        <v>74</v>
      </c>
      <c r="BA558" t="s">
        <v>74</v>
      </c>
      <c r="BB558">
        <v>355</v>
      </c>
      <c r="BC558">
        <v>365</v>
      </c>
      <c r="BD558" t="s">
        <v>74</v>
      </c>
      <c r="BE558" t="s">
        <v>9899</v>
      </c>
      <c r="BF558" t="str">
        <f>HYPERLINK("http://dx.doi.org/10.1111/j.1095-8649.2010.02846.x","http://dx.doi.org/10.1111/j.1095-8649.2010.02846.x")</f>
        <v>http://dx.doi.org/10.1111/j.1095-8649.2010.02846.x</v>
      </c>
      <c r="BG558" t="s">
        <v>74</v>
      </c>
      <c r="BH558" t="s">
        <v>74</v>
      </c>
      <c r="BI558">
        <v>11</v>
      </c>
      <c r="BJ558" t="s">
        <v>6365</v>
      </c>
      <c r="BK558" t="s">
        <v>100</v>
      </c>
      <c r="BL558" t="s">
        <v>6365</v>
      </c>
      <c r="BM558" t="s">
        <v>9900</v>
      </c>
      <c r="BN558">
        <v>21235567</v>
      </c>
      <c r="BO558" t="s">
        <v>726</v>
      </c>
      <c r="BP558" t="s">
        <v>74</v>
      </c>
      <c r="BQ558" t="s">
        <v>74</v>
      </c>
      <c r="BR558" t="s">
        <v>103</v>
      </c>
      <c r="BS558" t="s">
        <v>9901</v>
      </c>
      <c r="BT558" t="str">
        <f>HYPERLINK("https%3A%2F%2Fwww.webofscience.com%2Fwos%2Fwoscc%2Ffull-record%2FWOS:000286214100025","View Full Record in Web of Science")</f>
        <v>View Full Record in Web of Science</v>
      </c>
    </row>
    <row r="559" spans="1:72" x14ac:dyDescent="0.15">
      <c r="A559" t="s">
        <v>72</v>
      </c>
      <c r="B559" t="s">
        <v>9902</v>
      </c>
      <c r="C559" t="s">
        <v>74</v>
      </c>
      <c r="D559" t="s">
        <v>74</v>
      </c>
      <c r="E559" t="s">
        <v>74</v>
      </c>
      <c r="F559" t="s">
        <v>9903</v>
      </c>
      <c r="G559" t="s">
        <v>74</v>
      </c>
      <c r="H559" t="s">
        <v>74</v>
      </c>
      <c r="I559" t="s">
        <v>9904</v>
      </c>
      <c r="J559" t="s">
        <v>9905</v>
      </c>
      <c r="K559" t="s">
        <v>74</v>
      </c>
      <c r="L559" t="s">
        <v>74</v>
      </c>
      <c r="M559" t="s">
        <v>78</v>
      </c>
      <c r="N559" t="s">
        <v>79</v>
      </c>
      <c r="O559" t="s">
        <v>74</v>
      </c>
      <c r="P559" t="s">
        <v>74</v>
      </c>
      <c r="Q559" t="s">
        <v>74</v>
      </c>
      <c r="R559" t="s">
        <v>74</v>
      </c>
      <c r="S559" t="s">
        <v>74</v>
      </c>
      <c r="T559" t="s">
        <v>74</v>
      </c>
      <c r="U559" t="s">
        <v>9906</v>
      </c>
      <c r="V559" t="s">
        <v>9907</v>
      </c>
      <c r="W559" t="s">
        <v>9908</v>
      </c>
      <c r="X559" t="s">
        <v>9909</v>
      </c>
      <c r="Y559" t="s">
        <v>9910</v>
      </c>
      <c r="Z559" t="s">
        <v>9911</v>
      </c>
      <c r="AA559" t="s">
        <v>9912</v>
      </c>
      <c r="AB559" t="s">
        <v>9913</v>
      </c>
      <c r="AC559" t="s">
        <v>9914</v>
      </c>
      <c r="AD559" t="s">
        <v>9915</v>
      </c>
      <c r="AE559" t="s">
        <v>9916</v>
      </c>
      <c r="AF559" t="s">
        <v>74</v>
      </c>
      <c r="AG559">
        <v>35</v>
      </c>
      <c r="AH559">
        <v>26</v>
      </c>
      <c r="AI559">
        <v>27</v>
      </c>
      <c r="AJ559">
        <v>0</v>
      </c>
      <c r="AK559">
        <v>5</v>
      </c>
      <c r="AL559" t="s">
        <v>9917</v>
      </c>
      <c r="AM559" t="s">
        <v>9918</v>
      </c>
      <c r="AN559" t="s">
        <v>9919</v>
      </c>
      <c r="AO559" t="s">
        <v>9920</v>
      </c>
      <c r="AP559" t="s">
        <v>74</v>
      </c>
      <c r="AQ559" t="s">
        <v>74</v>
      </c>
      <c r="AR559" t="s">
        <v>9921</v>
      </c>
      <c r="AS559" t="s">
        <v>9922</v>
      </c>
      <c r="AT559" t="s">
        <v>3935</v>
      </c>
      <c r="AU559">
        <v>2011</v>
      </c>
      <c r="AV559">
        <v>41</v>
      </c>
      <c r="AW559">
        <v>1</v>
      </c>
      <c r="AX559" t="s">
        <v>74</v>
      </c>
      <c r="AY559" t="s">
        <v>74</v>
      </c>
      <c r="AZ559" t="s">
        <v>74</v>
      </c>
      <c r="BA559" t="s">
        <v>74</v>
      </c>
      <c r="BB559">
        <v>3</v>
      </c>
      <c r="BC559">
        <v>13</v>
      </c>
      <c r="BD559" t="s">
        <v>74</v>
      </c>
      <c r="BE559" t="s">
        <v>9923</v>
      </c>
      <c r="BF559" t="str">
        <f>HYPERLINK("http://dx.doi.org/10.2113/gsjfr.41.1.3","http://dx.doi.org/10.2113/gsjfr.41.1.3")</f>
        <v>http://dx.doi.org/10.2113/gsjfr.41.1.3</v>
      </c>
      <c r="BG559" t="s">
        <v>74</v>
      </c>
      <c r="BH559" t="s">
        <v>74</v>
      </c>
      <c r="BI559">
        <v>11</v>
      </c>
      <c r="BJ559" t="s">
        <v>5596</v>
      </c>
      <c r="BK559" t="s">
        <v>100</v>
      </c>
      <c r="BL559" t="s">
        <v>5596</v>
      </c>
      <c r="BM559" t="s">
        <v>9924</v>
      </c>
      <c r="BN559" t="s">
        <v>74</v>
      </c>
      <c r="BO559" t="s">
        <v>74</v>
      </c>
      <c r="BP559" t="s">
        <v>74</v>
      </c>
      <c r="BQ559" t="s">
        <v>74</v>
      </c>
      <c r="BR559" t="s">
        <v>103</v>
      </c>
      <c r="BS559" t="s">
        <v>9925</v>
      </c>
      <c r="BT559" t="str">
        <f>HYPERLINK("https%3A%2F%2Fwww.webofscience.com%2Fwos%2Fwoscc%2Ffull-record%2FWOS:000286546600002","View Full Record in Web of Science")</f>
        <v>View Full Record in Web of Science</v>
      </c>
    </row>
    <row r="560" spans="1:72" x14ac:dyDescent="0.15">
      <c r="A560" t="s">
        <v>72</v>
      </c>
      <c r="B560" t="s">
        <v>9926</v>
      </c>
      <c r="C560" t="s">
        <v>74</v>
      </c>
      <c r="D560" t="s">
        <v>74</v>
      </c>
      <c r="E560" t="s">
        <v>74</v>
      </c>
      <c r="F560" t="s">
        <v>9927</v>
      </c>
      <c r="G560" t="s">
        <v>74</v>
      </c>
      <c r="H560" t="s">
        <v>74</v>
      </c>
      <c r="I560" t="s">
        <v>9928</v>
      </c>
      <c r="J560" t="s">
        <v>9929</v>
      </c>
      <c r="K560" t="s">
        <v>74</v>
      </c>
      <c r="L560" t="s">
        <v>74</v>
      </c>
      <c r="M560" t="s">
        <v>78</v>
      </c>
      <c r="N560" t="s">
        <v>79</v>
      </c>
      <c r="O560" t="s">
        <v>74</v>
      </c>
      <c r="P560" t="s">
        <v>74</v>
      </c>
      <c r="Q560" t="s">
        <v>74</v>
      </c>
      <c r="R560" t="s">
        <v>74</v>
      </c>
      <c r="S560" t="s">
        <v>74</v>
      </c>
      <c r="T560" t="s">
        <v>9930</v>
      </c>
      <c r="U560" t="s">
        <v>9931</v>
      </c>
      <c r="V560" t="s">
        <v>9932</v>
      </c>
      <c r="W560" t="s">
        <v>9933</v>
      </c>
      <c r="X560" t="s">
        <v>9934</v>
      </c>
      <c r="Y560" t="s">
        <v>9935</v>
      </c>
      <c r="Z560" t="s">
        <v>9936</v>
      </c>
      <c r="AA560" t="s">
        <v>9937</v>
      </c>
      <c r="AB560" t="s">
        <v>9938</v>
      </c>
      <c r="AC560" t="s">
        <v>9939</v>
      </c>
      <c r="AD560" t="s">
        <v>9940</v>
      </c>
      <c r="AE560" t="s">
        <v>9941</v>
      </c>
      <c r="AF560" t="s">
        <v>74</v>
      </c>
      <c r="AG560">
        <v>44</v>
      </c>
      <c r="AH560">
        <v>22</v>
      </c>
      <c r="AI560">
        <v>27</v>
      </c>
      <c r="AJ560">
        <v>0</v>
      </c>
      <c r="AK560">
        <v>14</v>
      </c>
      <c r="AL560" t="s">
        <v>270</v>
      </c>
      <c r="AM560" t="s">
        <v>91</v>
      </c>
      <c r="AN560" t="s">
        <v>296</v>
      </c>
      <c r="AO560" t="s">
        <v>9942</v>
      </c>
      <c r="AP560" t="s">
        <v>9943</v>
      </c>
      <c r="AQ560" t="s">
        <v>74</v>
      </c>
      <c r="AR560" t="s">
        <v>9944</v>
      </c>
      <c r="AS560" t="s">
        <v>9945</v>
      </c>
      <c r="AT560" t="s">
        <v>3935</v>
      </c>
      <c r="AU560">
        <v>2011</v>
      </c>
      <c r="AV560">
        <v>85</v>
      </c>
      <c r="AW560">
        <v>1</v>
      </c>
      <c r="AX560" t="s">
        <v>74</v>
      </c>
      <c r="AY560" t="s">
        <v>74</v>
      </c>
      <c r="AZ560" t="s">
        <v>74</v>
      </c>
      <c r="BA560" t="s">
        <v>74</v>
      </c>
      <c r="BB560">
        <v>23</v>
      </c>
      <c r="BC560">
        <v>38</v>
      </c>
      <c r="BD560" t="s">
        <v>74</v>
      </c>
      <c r="BE560" t="s">
        <v>9946</v>
      </c>
      <c r="BF560" t="str">
        <f>HYPERLINK("http://dx.doi.org/10.1007/s00190-010-0414-2","http://dx.doi.org/10.1007/s00190-010-0414-2")</f>
        <v>http://dx.doi.org/10.1007/s00190-010-0414-2</v>
      </c>
      <c r="BG560" t="s">
        <v>74</v>
      </c>
      <c r="BH560" t="s">
        <v>74</v>
      </c>
      <c r="BI560">
        <v>16</v>
      </c>
      <c r="BJ560" t="s">
        <v>9947</v>
      </c>
      <c r="BK560" t="s">
        <v>100</v>
      </c>
      <c r="BL560" t="s">
        <v>9947</v>
      </c>
      <c r="BM560" t="s">
        <v>9948</v>
      </c>
      <c r="BN560" t="s">
        <v>74</v>
      </c>
      <c r="BO560" t="s">
        <v>74</v>
      </c>
      <c r="BP560" t="s">
        <v>74</v>
      </c>
      <c r="BQ560" t="s">
        <v>74</v>
      </c>
      <c r="BR560" t="s">
        <v>103</v>
      </c>
      <c r="BS560" t="s">
        <v>9949</v>
      </c>
      <c r="BT560" t="str">
        <f>HYPERLINK("https%3A%2F%2Fwww.webofscience.com%2Fwos%2Fwoscc%2Ffull-record%2FWOS:000286607300003","View Full Record in Web of Science")</f>
        <v>View Full Record in Web of Science</v>
      </c>
    </row>
    <row r="561" spans="1:72" x14ac:dyDescent="0.15">
      <c r="A561" t="s">
        <v>72</v>
      </c>
      <c r="B561" t="s">
        <v>9950</v>
      </c>
      <c r="C561" t="s">
        <v>74</v>
      </c>
      <c r="D561" t="s">
        <v>74</v>
      </c>
      <c r="E561" t="s">
        <v>74</v>
      </c>
      <c r="F561" t="s">
        <v>9951</v>
      </c>
      <c r="G561" t="s">
        <v>74</v>
      </c>
      <c r="H561" t="s">
        <v>74</v>
      </c>
      <c r="I561" t="s">
        <v>9952</v>
      </c>
      <c r="J561" t="s">
        <v>1701</v>
      </c>
      <c r="K561" t="s">
        <v>74</v>
      </c>
      <c r="L561" t="s">
        <v>74</v>
      </c>
      <c r="M561" t="s">
        <v>78</v>
      </c>
      <c r="N561" t="s">
        <v>79</v>
      </c>
      <c r="O561" t="s">
        <v>74</v>
      </c>
      <c r="P561" t="s">
        <v>74</v>
      </c>
      <c r="Q561" t="s">
        <v>74</v>
      </c>
      <c r="R561" t="s">
        <v>74</v>
      </c>
      <c r="S561" t="s">
        <v>74</v>
      </c>
      <c r="T561" t="s">
        <v>74</v>
      </c>
      <c r="U561" t="s">
        <v>74</v>
      </c>
      <c r="V561" t="s">
        <v>9953</v>
      </c>
      <c r="W561" t="s">
        <v>9954</v>
      </c>
      <c r="X561" t="s">
        <v>9955</v>
      </c>
      <c r="Y561" t="s">
        <v>9956</v>
      </c>
      <c r="Z561" t="s">
        <v>9957</v>
      </c>
      <c r="AA561" t="s">
        <v>9958</v>
      </c>
      <c r="AB561" t="s">
        <v>9959</v>
      </c>
      <c r="AC561" t="s">
        <v>9960</v>
      </c>
      <c r="AD561" t="s">
        <v>9961</v>
      </c>
      <c r="AE561" t="s">
        <v>9962</v>
      </c>
      <c r="AF561" t="s">
        <v>74</v>
      </c>
      <c r="AG561">
        <v>38</v>
      </c>
      <c r="AH561">
        <v>6</v>
      </c>
      <c r="AI561">
        <v>6</v>
      </c>
      <c r="AJ561">
        <v>0</v>
      </c>
      <c r="AK561">
        <v>2</v>
      </c>
      <c r="AL561" t="s">
        <v>240</v>
      </c>
      <c r="AM561" t="s">
        <v>241</v>
      </c>
      <c r="AN561" t="s">
        <v>242</v>
      </c>
      <c r="AO561" t="s">
        <v>1713</v>
      </c>
      <c r="AP561" t="s">
        <v>1714</v>
      </c>
      <c r="AQ561" t="s">
        <v>74</v>
      </c>
      <c r="AR561" t="s">
        <v>1715</v>
      </c>
      <c r="AS561" t="s">
        <v>1716</v>
      </c>
      <c r="AT561" t="s">
        <v>3935</v>
      </c>
      <c r="AU561">
        <v>2011</v>
      </c>
      <c r="AV561">
        <v>116</v>
      </c>
      <c r="AW561" t="s">
        <v>9963</v>
      </c>
      <c r="AX561" t="s">
        <v>74</v>
      </c>
      <c r="AY561" t="s">
        <v>74</v>
      </c>
      <c r="AZ561" t="s">
        <v>74</v>
      </c>
      <c r="BA561" t="s">
        <v>74</v>
      </c>
      <c r="BB561" t="s">
        <v>74</v>
      </c>
      <c r="BC561" t="s">
        <v>74</v>
      </c>
      <c r="BD561" t="s">
        <v>9964</v>
      </c>
      <c r="BE561" t="s">
        <v>9965</v>
      </c>
      <c r="BF561" t="str">
        <f>HYPERLINK("http://dx.doi.org/10.1029/2010JA016108","http://dx.doi.org/10.1029/2010JA016108")</f>
        <v>http://dx.doi.org/10.1029/2010JA016108</v>
      </c>
      <c r="BG561" t="s">
        <v>74</v>
      </c>
      <c r="BH561" t="s">
        <v>74</v>
      </c>
      <c r="BI561">
        <v>11</v>
      </c>
      <c r="BJ561" t="s">
        <v>373</v>
      </c>
      <c r="BK561" t="s">
        <v>100</v>
      </c>
      <c r="BL561" t="s">
        <v>373</v>
      </c>
      <c r="BM561" t="s">
        <v>9966</v>
      </c>
      <c r="BN561" t="s">
        <v>74</v>
      </c>
      <c r="BO561" t="s">
        <v>252</v>
      </c>
      <c r="BP561" t="s">
        <v>74</v>
      </c>
      <c r="BQ561" t="s">
        <v>74</v>
      </c>
      <c r="BR561" t="s">
        <v>103</v>
      </c>
      <c r="BS561" t="s">
        <v>9967</v>
      </c>
      <c r="BT561" t="str">
        <f>HYPERLINK("https%3A%2F%2Fwww.webofscience.com%2Fwos%2Fwoscc%2Ffull-record%2FWOS:000461814000001","View Full Record in Web of Science")</f>
        <v>View Full Record in Web of Science</v>
      </c>
    </row>
    <row r="562" spans="1:72" x14ac:dyDescent="0.15">
      <c r="A562" t="s">
        <v>72</v>
      </c>
      <c r="B562" t="s">
        <v>9968</v>
      </c>
      <c r="C562" t="s">
        <v>74</v>
      </c>
      <c r="D562" t="s">
        <v>74</v>
      </c>
      <c r="E562" t="s">
        <v>74</v>
      </c>
      <c r="F562" t="s">
        <v>9969</v>
      </c>
      <c r="G562" t="s">
        <v>74</v>
      </c>
      <c r="H562" t="s">
        <v>74</v>
      </c>
      <c r="I562" t="s">
        <v>9970</v>
      </c>
      <c r="J562" t="s">
        <v>3158</v>
      </c>
      <c r="K562" t="s">
        <v>74</v>
      </c>
      <c r="L562" t="s">
        <v>74</v>
      </c>
      <c r="M562" t="s">
        <v>78</v>
      </c>
      <c r="N562" t="s">
        <v>79</v>
      </c>
      <c r="O562" t="s">
        <v>74</v>
      </c>
      <c r="P562" t="s">
        <v>74</v>
      </c>
      <c r="Q562" t="s">
        <v>74</v>
      </c>
      <c r="R562" t="s">
        <v>74</v>
      </c>
      <c r="S562" t="s">
        <v>74</v>
      </c>
      <c r="T562" t="s">
        <v>74</v>
      </c>
      <c r="U562" t="s">
        <v>9971</v>
      </c>
      <c r="V562" t="s">
        <v>9972</v>
      </c>
      <c r="W562" t="s">
        <v>9973</v>
      </c>
      <c r="X562" t="s">
        <v>9974</v>
      </c>
      <c r="Y562" t="s">
        <v>9975</v>
      </c>
      <c r="Z562" t="s">
        <v>9976</v>
      </c>
      <c r="AA562" t="s">
        <v>9977</v>
      </c>
      <c r="AB562" t="s">
        <v>9978</v>
      </c>
      <c r="AC562" t="s">
        <v>9979</v>
      </c>
      <c r="AD562" t="s">
        <v>9980</v>
      </c>
      <c r="AE562" t="s">
        <v>9981</v>
      </c>
      <c r="AF562" t="s">
        <v>74</v>
      </c>
      <c r="AG562">
        <v>19</v>
      </c>
      <c r="AH562">
        <v>11</v>
      </c>
      <c r="AI562">
        <v>11</v>
      </c>
      <c r="AJ562">
        <v>0</v>
      </c>
      <c r="AK562">
        <v>22</v>
      </c>
      <c r="AL562" t="s">
        <v>3169</v>
      </c>
      <c r="AM562" t="s">
        <v>2335</v>
      </c>
      <c r="AN562" t="s">
        <v>3170</v>
      </c>
      <c r="AO562" t="s">
        <v>3171</v>
      </c>
      <c r="AP562" t="s">
        <v>74</v>
      </c>
      <c r="AQ562" t="s">
        <v>74</v>
      </c>
      <c r="AR562" t="s">
        <v>3172</v>
      </c>
      <c r="AS562" t="s">
        <v>3173</v>
      </c>
      <c r="AT562" t="s">
        <v>74</v>
      </c>
      <c r="AU562">
        <v>2011</v>
      </c>
      <c r="AV562">
        <v>57</v>
      </c>
      <c r="AW562">
        <v>201</v>
      </c>
      <c r="AX562" t="s">
        <v>74</v>
      </c>
      <c r="AY562" t="s">
        <v>74</v>
      </c>
      <c r="AZ562" t="s">
        <v>74</v>
      </c>
      <c r="BA562" t="s">
        <v>74</v>
      </c>
      <c r="BB562">
        <v>30</v>
      </c>
      <c r="BC562">
        <v>38</v>
      </c>
      <c r="BD562" t="s">
        <v>74</v>
      </c>
      <c r="BE562" t="s">
        <v>9982</v>
      </c>
      <c r="BF562" t="str">
        <f>HYPERLINK("http://dx.doi.org/10.3189/002214311795306727","http://dx.doi.org/10.3189/002214311795306727")</f>
        <v>http://dx.doi.org/10.3189/002214311795306727</v>
      </c>
      <c r="BG562" t="s">
        <v>74</v>
      </c>
      <c r="BH562" t="s">
        <v>74</v>
      </c>
      <c r="BI562">
        <v>9</v>
      </c>
      <c r="BJ562" t="s">
        <v>222</v>
      </c>
      <c r="BK562" t="s">
        <v>100</v>
      </c>
      <c r="BL562" t="s">
        <v>223</v>
      </c>
      <c r="BM562" t="s">
        <v>9983</v>
      </c>
      <c r="BN562" t="s">
        <v>74</v>
      </c>
      <c r="BO562" t="s">
        <v>252</v>
      </c>
      <c r="BP562" t="s">
        <v>74</v>
      </c>
      <c r="BQ562" t="s">
        <v>74</v>
      </c>
      <c r="BR562" t="s">
        <v>103</v>
      </c>
      <c r="BS562" t="s">
        <v>9984</v>
      </c>
      <c r="BT562" t="str">
        <f>HYPERLINK("https%3A%2F%2Fwww.webofscience.com%2Fwos%2Fwoscc%2Ffull-record%2FWOS:000288526400003","View Full Record in Web of Science")</f>
        <v>View Full Record in Web of Science</v>
      </c>
    </row>
    <row r="563" spans="1:72" x14ac:dyDescent="0.15">
      <c r="A563" t="s">
        <v>72</v>
      </c>
      <c r="B563" t="s">
        <v>9985</v>
      </c>
      <c r="C563" t="s">
        <v>74</v>
      </c>
      <c r="D563" t="s">
        <v>74</v>
      </c>
      <c r="E563" t="s">
        <v>74</v>
      </c>
      <c r="F563" t="s">
        <v>9986</v>
      </c>
      <c r="G563" t="s">
        <v>74</v>
      </c>
      <c r="H563" t="s">
        <v>74</v>
      </c>
      <c r="I563" t="s">
        <v>9987</v>
      </c>
      <c r="J563" t="s">
        <v>3158</v>
      </c>
      <c r="K563" t="s">
        <v>74</v>
      </c>
      <c r="L563" t="s">
        <v>74</v>
      </c>
      <c r="M563" t="s">
        <v>78</v>
      </c>
      <c r="N563" t="s">
        <v>79</v>
      </c>
      <c r="O563" t="s">
        <v>74</v>
      </c>
      <c r="P563" t="s">
        <v>74</v>
      </c>
      <c r="Q563" t="s">
        <v>74</v>
      </c>
      <c r="R563" t="s">
        <v>74</v>
      </c>
      <c r="S563" t="s">
        <v>74</v>
      </c>
      <c r="T563" t="s">
        <v>74</v>
      </c>
      <c r="U563" t="s">
        <v>9988</v>
      </c>
      <c r="V563" t="s">
        <v>9989</v>
      </c>
      <c r="W563" t="s">
        <v>9990</v>
      </c>
      <c r="X563" t="s">
        <v>9991</v>
      </c>
      <c r="Y563" t="s">
        <v>9992</v>
      </c>
      <c r="Z563" t="s">
        <v>9993</v>
      </c>
      <c r="AA563" t="s">
        <v>9994</v>
      </c>
      <c r="AB563" t="s">
        <v>9995</v>
      </c>
      <c r="AC563" t="s">
        <v>74</v>
      </c>
      <c r="AD563" t="s">
        <v>74</v>
      </c>
      <c r="AE563" t="s">
        <v>74</v>
      </c>
      <c r="AF563" t="s">
        <v>74</v>
      </c>
      <c r="AG563">
        <v>35</v>
      </c>
      <c r="AH563">
        <v>39</v>
      </c>
      <c r="AI563">
        <v>43</v>
      </c>
      <c r="AJ563">
        <v>0</v>
      </c>
      <c r="AK563">
        <v>13</v>
      </c>
      <c r="AL563" t="s">
        <v>3169</v>
      </c>
      <c r="AM563" t="s">
        <v>2335</v>
      </c>
      <c r="AN563" t="s">
        <v>3170</v>
      </c>
      <c r="AO563" t="s">
        <v>3171</v>
      </c>
      <c r="AP563" t="s">
        <v>3414</v>
      </c>
      <c r="AQ563" t="s">
        <v>74</v>
      </c>
      <c r="AR563" t="s">
        <v>3172</v>
      </c>
      <c r="AS563" t="s">
        <v>3173</v>
      </c>
      <c r="AT563" t="s">
        <v>74</v>
      </c>
      <c r="AU563">
        <v>2011</v>
      </c>
      <c r="AV563">
        <v>57</v>
      </c>
      <c r="AW563">
        <v>201</v>
      </c>
      <c r="AX563" t="s">
        <v>74</v>
      </c>
      <c r="AY563" t="s">
        <v>74</v>
      </c>
      <c r="AZ563" t="s">
        <v>74</v>
      </c>
      <c r="BA563" t="s">
        <v>74</v>
      </c>
      <c r="BB563">
        <v>67</v>
      </c>
      <c r="BC563">
        <v>76</v>
      </c>
      <c r="BD563" t="s">
        <v>74</v>
      </c>
      <c r="BE563" t="s">
        <v>9996</v>
      </c>
      <c r="BF563" t="str">
        <f>HYPERLINK("http://dx.doi.org/10.3189/002214311795306574","http://dx.doi.org/10.3189/002214311795306574")</f>
        <v>http://dx.doi.org/10.3189/002214311795306574</v>
      </c>
      <c r="BG563" t="s">
        <v>74</v>
      </c>
      <c r="BH563" t="s">
        <v>74</v>
      </c>
      <c r="BI563">
        <v>10</v>
      </c>
      <c r="BJ563" t="s">
        <v>222</v>
      </c>
      <c r="BK563" t="s">
        <v>100</v>
      </c>
      <c r="BL563" t="s">
        <v>223</v>
      </c>
      <c r="BM563" t="s">
        <v>9983</v>
      </c>
      <c r="BN563" t="s">
        <v>74</v>
      </c>
      <c r="BO563" t="s">
        <v>252</v>
      </c>
      <c r="BP563" t="s">
        <v>74</v>
      </c>
      <c r="BQ563" t="s">
        <v>74</v>
      </c>
      <c r="BR563" t="s">
        <v>103</v>
      </c>
      <c r="BS563" t="s">
        <v>9997</v>
      </c>
      <c r="BT563" t="str">
        <f>HYPERLINK("https%3A%2F%2Fwww.webofscience.com%2Fwos%2Fwoscc%2Ffull-record%2FWOS:000288526400007","View Full Record in Web of Science")</f>
        <v>View Full Record in Web of Science</v>
      </c>
    </row>
    <row r="564" spans="1:72" x14ac:dyDescent="0.15">
      <c r="A564" t="s">
        <v>72</v>
      </c>
      <c r="B564" t="s">
        <v>9998</v>
      </c>
      <c r="C564" t="s">
        <v>74</v>
      </c>
      <c r="D564" t="s">
        <v>74</v>
      </c>
      <c r="E564" t="s">
        <v>74</v>
      </c>
      <c r="F564" t="s">
        <v>9999</v>
      </c>
      <c r="G564" t="s">
        <v>74</v>
      </c>
      <c r="H564" t="s">
        <v>74</v>
      </c>
      <c r="I564" t="s">
        <v>10000</v>
      </c>
      <c r="J564" t="s">
        <v>3158</v>
      </c>
      <c r="K564" t="s">
        <v>74</v>
      </c>
      <c r="L564" t="s">
        <v>74</v>
      </c>
      <c r="M564" t="s">
        <v>78</v>
      </c>
      <c r="N564" t="s">
        <v>79</v>
      </c>
      <c r="O564" t="s">
        <v>74</v>
      </c>
      <c r="P564" t="s">
        <v>74</v>
      </c>
      <c r="Q564" t="s">
        <v>74</v>
      </c>
      <c r="R564" t="s">
        <v>74</v>
      </c>
      <c r="S564" t="s">
        <v>74</v>
      </c>
      <c r="T564" t="s">
        <v>74</v>
      </c>
      <c r="U564" t="s">
        <v>10001</v>
      </c>
      <c r="V564" t="s">
        <v>10002</v>
      </c>
      <c r="W564" t="s">
        <v>10003</v>
      </c>
      <c r="X564" t="s">
        <v>10004</v>
      </c>
      <c r="Y564" t="s">
        <v>10005</v>
      </c>
      <c r="Z564" t="s">
        <v>10006</v>
      </c>
      <c r="AA564" t="s">
        <v>10007</v>
      </c>
      <c r="AB564" t="s">
        <v>10008</v>
      </c>
      <c r="AC564" t="s">
        <v>10009</v>
      </c>
      <c r="AD564" t="s">
        <v>10010</v>
      </c>
      <c r="AE564" t="s">
        <v>10011</v>
      </c>
      <c r="AF564" t="s">
        <v>74</v>
      </c>
      <c r="AG564">
        <v>34</v>
      </c>
      <c r="AH564">
        <v>12</v>
      </c>
      <c r="AI564">
        <v>13</v>
      </c>
      <c r="AJ564">
        <v>0</v>
      </c>
      <c r="AK564">
        <v>15</v>
      </c>
      <c r="AL564" t="s">
        <v>90</v>
      </c>
      <c r="AM564" t="s">
        <v>2335</v>
      </c>
      <c r="AN564" t="s">
        <v>3413</v>
      </c>
      <c r="AO564" t="s">
        <v>3171</v>
      </c>
      <c r="AP564" t="s">
        <v>3414</v>
      </c>
      <c r="AQ564" t="s">
        <v>74</v>
      </c>
      <c r="AR564" t="s">
        <v>3172</v>
      </c>
      <c r="AS564" t="s">
        <v>3173</v>
      </c>
      <c r="AT564" t="s">
        <v>74</v>
      </c>
      <c r="AU564">
        <v>2011</v>
      </c>
      <c r="AV564">
        <v>57</v>
      </c>
      <c r="AW564">
        <v>201</v>
      </c>
      <c r="AX564" t="s">
        <v>74</v>
      </c>
      <c r="AY564" t="s">
        <v>74</v>
      </c>
      <c r="AZ564" t="s">
        <v>74</v>
      </c>
      <c r="BA564" t="s">
        <v>74</v>
      </c>
      <c r="BB564">
        <v>103</v>
      </c>
      <c r="BC564">
        <v>110</v>
      </c>
      <c r="BD564" t="s">
        <v>74</v>
      </c>
      <c r="BE564" t="s">
        <v>10012</v>
      </c>
      <c r="BF564" t="str">
        <f>HYPERLINK("http://dx.doi.org/10.3189/002214311795306754","http://dx.doi.org/10.3189/002214311795306754")</f>
        <v>http://dx.doi.org/10.3189/002214311795306754</v>
      </c>
      <c r="BG564" t="s">
        <v>74</v>
      </c>
      <c r="BH564" t="s">
        <v>74</v>
      </c>
      <c r="BI564">
        <v>8</v>
      </c>
      <c r="BJ564" t="s">
        <v>222</v>
      </c>
      <c r="BK564" t="s">
        <v>100</v>
      </c>
      <c r="BL564" t="s">
        <v>223</v>
      </c>
      <c r="BM564" t="s">
        <v>9983</v>
      </c>
      <c r="BN564" t="s">
        <v>74</v>
      </c>
      <c r="BO564" t="s">
        <v>10013</v>
      </c>
      <c r="BP564" t="s">
        <v>74</v>
      </c>
      <c r="BQ564" t="s">
        <v>74</v>
      </c>
      <c r="BR564" t="s">
        <v>103</v>
      </c>
      <c r="BS564" t="s">
        <v>10014</v>
      </c>
      <c r="BT564" t="str">
        <f>HYPERLINK("https%3A%2F%2Fwww.webofscience.com%2Fwos%2Fwoscc%2Ffull-record%2FWOS:000288526400010","View Full Record in Web of Science")</f>
        <v>View Full Record in Web of Science</v>
      </c>
    </row>
    <row r="565" spans="1:72" x14ac:dyDescent="0.15">
      <c r="A565" t="s">
        <v>72</v>
      </c>
      <c r="B565" t="s">
        <v>10015</v>
      </c>
      <c r="C565" t="s">
        <v>74</v>
      </c>
      <c r="D565" t="s">
        <v>74</v>
      </c>
      <c r="E565" t="s">
        <v>74</v>
      </c>
      <c r="F565" t="s">
        <v>10016</v>
      </c>
      <c r="G565" t="s">
        <v>74</v>
      </c>
      <c r="H565" t="s">
        <v>74</v>
      </c>
      <c r="I565" t="s">
        <v>10017</v>
      </c>
      <c r="J565" t="s">
        <v>3158</v>
      </c>
      <c r="K565" t="s">
        <v>74</v>
      </c>
      <c r="L565" t="s">
        <v>74</v>
      </c>
      <c r="M565" t="s">
        <v>78</v>
      </c>
      <c r="N565" t="s">
        <v>79</v>
      </c>
      <c r="O565" t="s">
        <v>74</v>
      </c>
      <c r="P565" t="s">
        <v>74</v>
      </c>
      <c r="Q565" t="s">
        <v>74</v>
      </c>
      <c r="R565" t="s">
        <v>74</v>
      </c>
      <c r="S565" t="s">
        <v>74</v>
      </c>
      <c r="T565" t="s">
        <v>74</v>
      </c>
      <c r="U565" t="s">
        <v>10018</v>
      </c>
      <c r="V565" t="s">
        <v>10019</v>
      </c>
      <c r="W565" t="s">
        <v>10020</v>
      </c>
      <c r="X565" t="s">
        <v>10021</v>
      </c>
      <c r="Y565" t="s">
        <v>10022</v>
      </c>
      <c r="Z565" t="s">
        <v>10023</v>
      </c>
      <c r="AA565" t="s">
        <v>10024</v>
      </c>
      <c r="AB565" t="s">
        <v>10025</v>
      </c>
      <c r="AC565" t="s">
        <v>10026</v>
      </c>
      <c r="AD565" t="s">
        <v>10027</v>
      </c>
      <c r="AE565" t="s">
        <v>10028</v>
      </c>
      <c r="AF565" t="s">
        <v>74</v>
      </c>
      <c r="AG565">
        <v>33</v>
      </c>
      <c r="AH565">
        <v>22</v>
      </c>
      <c r="AI565">
        <v>23</v>
      </c>
      <c r="AJ565">
        <v>0</v>
      </c>
      <c r="AK565">
        <v>10</v>
      </c>
      <c r="AL565" t="s">
        <v>90</v>
      </c>
      <c r="AM565" t="s">
        <v>2335</v>
      </c>
      <c r="AN565" t="s">
        <v>3413</v>
      </c>
      <c r="AO565" t="s">
        <v>3171</v>
      </c>
      <c r="AP565" t="s">
        <v>3414</v>
      </c>
      <c r="AQ565" t="s">
        <v>74</v>
      </c>
      <c r="AR565" t="s">
        <v>3172</v>
      </c>
      <c r="AS565" t="s">
        <v>3173</v>
      </c>
      <c r="AT565" t="s">
        <v>74</v>
      </c>
      <c r="AU565">
        <v>2011</v>
      </c>
      <c r="AV565">
        <v>57</v>
      </c>
      <c r="AW565">
        <v>201</v>
      </c>
      <c r="AX565" t="s">
        <v>74</v>
      </c>
      <c r="AY565" t="s">
        <v>74</v>
      </c>
      <c r="AZ565" t="s">
        <v>74</v>
      </c>
      <c r="BA565" t="s">
        <v>74</v>
      </c>
      <c r="BB565">
        <v>111</v>
      </c>
      <c r="BC565">
        <v>120</v>
      </c>
      <c r="BD565" t="s">
        <v>74</v>
      </c>
      <c r="BE565" t="s">
        <v>10029</v>
      </c>
      <c r="BF565" t="str">
        <f>HYPERLINK("http://dx.doi.org/10.3189/002214311795306628","http://dx.doi.org/10.3189/002214311795306628")</f>
        <v>http://dx.doi.org/10.3189/002214311795306628</v>
      </c>
      <c r="BG565" t="s">
        <v>74</v>
      </c>
      <c r="BH565" t="s">
        <v>74</v>
      </c>
      <c r="BI565">
        <v>10</v>
      </c>
      <c r="BJ565" t="s">
        <v>222</v>
      </c>
      <c r="BK565" t="s">
        <v>100</v>
      </c>
      <c r="BL565" t="s">
        <v>223</v>
      </c>
      <c r="BM565" t="s">
        <v>9983</v>
      </c>
      <c r="BN565" t="s">
        <v>74</v>
      </c>
      <c r="BO565" t="s">
        <v>10030</v>
      </c>
      <c r="BP565" t="s">
        <v>74</v>
      </c>
      <c r="BQ565" t="s">
        <v>74</v>
      </c>
      <c r="BR565" t="s">
        <v>103</v>
      </c>
      <c r="BS565" t="s">
        <v>10031</v>
      </c>
      <c r="BT565" t="str">
        <f>HYPERLINK("https%3A%2F%2Fwww.webofscience.com%2Fwos%2Fwoscc%2Ffull-record%2FWOS:000288526400011","View Full Record in Web of Science")</f>
        <v>View Full Record in Web of Science</v>
      </c>
    </row>
    <row r="566" spans="1:72" x14ac:dyDescent="0.15">
      <c r="A566" t="s">
        <v>72</v>
      </c>
      <c r="B566" t="s">
        <v>10032</v>
      </c>
      <c r="C566" t="s">
        <v>74</v>
      </c>
      <c r="D566" t="s">
        <v>74</v>
      </c>
      <c r="E566" t="s">
        <v>74</v>
      </c>
      <c r="F566" t="s">
        <v>10033</v>
      </c>
      <c r="G566" t="s">
        <v>74</v>
      </c>
      <c r="H566" t="s">
        <v>74</v>
      </c>
      <c r="I566" t="s">
        <v>10034</v>
      </c>
      <c r="J566" t="s">
        <v>3158</v>
      </c>
      <c r="K566" t="s">
        <v>74</v>
      </c>
      <c r="L566" t="s">
        <v>74</v>
      </c>
      <c r="M566" t="s">
        <v>78</v>
      </c>
      <c r="N566" t="s">
        <v>79</v>
      </c>
      <c r="O566" t="s">
        <v>74</v>
      </c>
      <c r="P566" t="s">
        <v>74</v>
      </c>
      <c r="Q566" t="s">
        <v>74</v>
      </c>
      <c r="R566" t="s">
        <v>74</v>
      </c>
      <c r="S566" t="s">
        <v>74</v>
      </c>
      <c r="T566" t="s">
        <v>74</v>
      </c>
      <c r="U566" t="s">
        <v>10035</v>
      </c>
      <c r="V566" t="s">
        <v>10036</v>
      </c>
      <c r="W566" t="s">
        <v>10037</v>
      </c>
      <c r="X566" t="s">
        <v>10038</v>
      </c>
      <c r="Y566" t="s">
        <v>10039</v>
      </c>
      <c r="Z566" t="s">
        <v>10040</v>
      </c>
      <c r="AA566" t="s">
        <v>10041</v>
      </c>
      <c r="AB566" t="s">
        <v>10042</v>
      </c>
      <c r="AC566" t="s">
        <v>10043</v>
      </c>
      <c r="AD566" t="s">
        <v>10044</v>
      </c>
      <c r="AE566" t="s">
        <v>10045</v>
      </c>
      <c r="AF566" t="s">
        <v>74</v>
      </c>
      <c r="AG566">
        <v>63</v>
      </c>
      <c r="AH566">
        <v>51</v>
      </c>
      <c r="AI566">
        <v>57</v>
      </c>
      <c r="AJ566">
        <v>0</v>
      </c>
      <c r="AK566">
        <v>12</v>
      </c>
      <c r="AL566" t="s">
        <v>90</v>
      </c>
      <c r="AM566" t="s">
        <v>2335</v>
      </c>
      <c r="AN566" t="s">
        <v>3413</v>
      </c>
      <c r="AO566" t="s">
        <v>3171</v>
      </c>
      <c r="AP566" t="s">
        <v>3414</v>
      </c>
      <c r="AQ566" t="s">
        <v>74</v>
      </c>
      <c r="AR566" t="s">
        <v>3172</v>
      </c>
      <c r="AS566" t="s">
        <v>3173</v>
      </c>
      <c r="AT566" t="s">
        <v>74</v>
      </c>
      <c r="AU566">
        <v>2011</v>
      </c>
      <c r="AV566">
        <v>57</v>
      </c>
      <c r="AW566">
        <v>201</v>
      </c>
      <c r="AX566" t="s">
        <v>74</v>
      </c>
      <c r="AY566" t="s">
        <v>74</v>
      </c>
      <c r="AZ566" t="s">
        <v>74</v>
      </c>
      <c r="BA566" t="s">
        <v>74</v>
      </c>
      <c r="BB566">
        <v>171</v>
      </c>
      <c r="BC566">
        <v>182</v>
      </c>
      <c r="BD566" t="s">
        <v>74</v>
      </c>
      <c r="BE566" t="s">
        <v>10046</v>
      </c>
      <c r="BF566" t="str">
        <f>HYPERLINK("http://dx.doi.org/10.3189/002214311795306736","http://dx.doi.org/10.3189/002214311795306736")</f>
        <v>http://dx.doi.org/10.3189/002214311795306736</v>
      </c>
      <c r="BG566" t="s">
        <v>74</v>
      </c>
      <c r="BH566" t="s">
        <v>74</v>
      </c>
      <c r="BI566">
        <v>12</v>
      </c>
      <c r="BJ566" t="s">
        <v>222</v>
      </c>
      <c r="BK566" t="s">
        <v>100</v>
      </c>
      <c r="BL566" t="s">
        <v>223</v>
      </c>
      <c r="BM566" t="s">
        <v>9983</v>
      </c>
      <c r="BN566" t="s">
        <v>74</v>
      </c>
      <c r="BO566" t="s">
        <v>10047</v>
      </c>
      <c r="BP566" t="s">
        <v>74</v>
      </c>
      <c r="BQ566" t="s">
        <v>74</v>
      </c>
      <c r="BR566" t="s">
        <v>103</v>
      </c>
      <c r="BS566" t="s">
        <v>10048</v>
      </c>
      <c r="BT566" t="str">
        <f>HYPERLINK("https%3A%2F%2Fwww.webofscience.com%2Fwos%2Fwoscc%2Ffull-record%2FWOS:000288526400016","View Full Record in Web of Science")</f>
        <v>View Full Record in Web of Science</v>
      </c>
    </row>
    <row r="567" spans="1:72" x14ac:dyDescent="0.15">
      <c r="A567" t="s">
        <v>72</v>
      </c>
      <c r="B567" t="s">
        <v>10049</v>
      </c>
      <c r="C567" t="s">
        <v>74</v>
      </c>
      <c r="D567" t="s">
        <v>74</v>
      </c>
      <c r="E567" t="s">
        <v>74</v>
      </c>
      <c r="F567" t="s">
        <v>10050</v>
      </c>
      <c r="G567" t="s">
        <v>74</v>
      </c>
      <c r="H567" t="s">
        <v>74</v>
      </c>
      <c r="I567" t="s">
        <v>10051</v>
      </c>
      <c r="J567" t="s">
        <v>3158</v>
      </c>
      <c r="K567" t="s">
        <v>74</v>
      </c>
      <c r="L567" t="s">
        <v>74</v>
      </c>
      <c r="M567" t="s">
        <v>78</v>
      </c>
      <c r="N567" t="s">
        <v>79</v>
      </c>
      <c r="O567" t="s">
        <v>74</v>
      </c>
      <c r="P567" t="s">
        <v>74</v>
      </c>
      <c r="Q567" t="s">
        <v>74</v>
      </c>
      <c r="R567" t="s">
        <v>74</v>
      </c>
      <c r="S567" t="s">
        <v>74</v>
      </c>
      <c r="T567" t="s">
        <v>74</v>
      </c>
      <c r="U567" t="s">
        <v>10052</v>
      </c>
      <c r="V567" t="s">
        <v>10053</v>
      </c>
      <c r="W567" t="s">
        <v>10054</v>
      </c>
      <c r="X567" t="s">
        <v>10055</v>
      </c>
      <c r="Y567" t="s">
        <v>10056</v>
      </c>
      <c r="Z567" t="s">
        <v>10057</v>
      </c>
      <c r="AA567" t="s">
        <v>74</v>
      </c>
      <c r="AB567" t="s">
        <v>10058</v>
      </c>
      <c r="AC567" t="s">
        <v>10059</v>
      </c>
      <c r="AD567" t="s">
        <v>10060</v>
      </c>
      <c r="AE567" t="s">
        <v>10061</v>
      </c>
      <c r="AF567" t="s">
        <v>74</v>
      </c>
      <c r="AG567">
        <v>49</v>
      </c>
      <c r="AH567">
        <v>80</v>
      </c>
      <c r="AI567">
        <v>87</v>
      </c>
      <c r="AJ567">
        <v>2</v>
      </c>
      <c r="AK567">
        <v>27</v>
      </c>
      <c r="AL567" t="s">
        <v>90</v>
      </c>
      <c r="AM567" t="s">
        <v>2335</v>
      </c>
      <c r="AN567" t="s">
        <v>3413</v>
      </c>
      <c r="AO567" t="s">
        <v>3171</v>
      </c>
      <c r="AP567" t="s">
        <v>3414</v>
      </c>
      <c r="AQ567" t="s">
        <v>74</v>
      </c>
      <c r="AR567" t="s">
        <v>3172</v>
      </c>
      <c r="AS567" t="s">
        <v>3173</v>
      </c>
      <c r="AT567" t="s">
        <v>74</v>
      </c>
      <c r="AU567">
        <v>2011</v>
      </c>
      <c r="AV567">
        <v>57</v>
      </c>
      <c r="AW567">
        <v>202</v>
      </c>
      <c r="AX567" t="s">
        <v>74</v>
      </c>
      <c r="AY567" t="s">
        <v>74</v>
      </c>
      <c r="AZ567" t="s">
        <v>74</v>
      </c>
      <c r="BA567" t="s">
        <v>74</v>
      </c>
      <c r="BB567">
        <v>197</v>
      </c>
      <c r="BC567">
        <v>207</v>
      </c>
      <c r="BD567" t="s">
        <v>74</v>
      </c>
      <c r="BE567" t="s">
        <v>10062</v>
      </c>
      <c r="BF567" t="str">
        <f>HYPERLINK("http://dx.doi.org/10.3189/002214311796405942","http://dx.doi.org/10.3189/002214311796405942")</f>
        <v>http://dx.doi.org/10.3189/002214311796405942</v>
      </c>
      <c r="BG567" t="s">
        <v>74</v>
      </c>
      <c r="BH567" t="s">
        <v>74</v>
      </c>
      <c r="BI567">
        <v>11</v>
      </c>
      <c r="BJ567" t="s">
        <v>222</v>
      </c>
      <c r="BK567" t="s">
        <v>100</v>
      </c>
      <c r="BL567" t="s">
        <v>223</v>
      </c>
      <c r="BM567" t="s">
        <v>3803</v>
      </c>
      <c r="BN567" t="s">
        <v>74</v>
      </c>
      <c r="BO567" t="s">
        <v>252</v>
      </c>
      <c r="BP567" t="s">
        <v>74</v>
      </c>
      <c r="BQ567" t="s">
        <v>74</v>
      </c>
      <c r="BR567" t="s">
        <v>103</v>
      </c>
      <c r="BS567" t="s">
        <v>10063</v>
      </c>
      <c r="BT567" t="str">
        <f>HYPERLINK("https%3A%2F%2Fwww.webofscience.com%2Fwos%2Fwoscc%2Ffull-record%2FWOS:000294083700001","View Full Record in Web of Science")</f>
        <v>View Full Record in Web of Science</v>
      </c>
    </row>
    <row r="568" spans="1:72" x14ac:dyDescent="0.15">
      <c r="A568" t="s">
        <v>72</v>
      </c>
      <c r="B568" t="s">
        <v>10064</v>
      </c>
      <c r="C568" t="s">
        <v>74</v>
      </c>
      <c r="D568" t="s">
        <v>74</v>
      </c>
      <c r="E568" t="s">
        <v>74</v>
      </c>
      <c r="F568" t="s">
        <v>10065</v>
      </c>
      <c r="G568" t="s">
        <v>74</v>
      </c>
      <c r="H568" t="s">
        <v>74</v>
      </c>
      <c r="I568" t="s">
        <v>10066</v>
      </c>
      <c r="J568" t="s">
        <v>3158</v>
      </c>
      <c r="K568" t="s">
        <v>74</v>
      </c>
      <c r="L568" t="s">
        <v>74</v>
      </c>
      <c r="M568" t="s">
        <v>78</v>
      </c>
      <c r="N568" t="s">
        <v>79</v>
      </c>
      <c r="O568" t="s">
        <v>74</v>
      </c>
      <c r="P568" t="s">
        <v>74</v>
      </c>
      <c r="Q568" t="s">
        <v>74</v>
      </c>
      <c r="R568" t="s">
        <v>74</v>
      </c>
      <c r="S568" t="s">
        <v>74</v>
      </c>
      <c r="T568" t="s">
        <v>74</v>
      </c>
      <c r="U568" t="s">
        <v>10067</v>
      </c>
      <c r="V568" t="s">
        <v>10068</v>
      </c>
      <c r="W568" t="s">
        <v>10069</v>
      </c>
      <c r="X568" t="s">
        <v>1386</v>
      </c>
      <c r="Y568" t="s">
        <v>10070</v>
      </c>
      <c r="Z568" t="s">
        <v>10071</v>
      </c>
      <c r="AA568" t="s">
        <v>10072</v>
      </c>
      <c r="AB568" t="s">
        <v>10073</v>
      </c>
      <c r="AC568" t="s">
        <v>10074</v>
      </c>
      <c r="AD568" t="s">
        <v>10075</v>
      </c>
      <c r="AE568" t="s">
        <v>10076</v>
      </c>
      <c r="AF568" t="s">
        <v>74</v>
      </c>
      <c r="AG568">
        <v>23</v>
      </c>
      <c r="AH568">
        <v>28</v>
      </c>
      <c r="AI568">
        <v>32</v>
      </c>
      <c r="AJ568">
        <v>2</v>
      </c>
      <c r="AK568">
        <v>7</v>
      </c>
      <c r="AL568" t="s">
        <v>90</v>
      </c>
      <c r="AM568" t="s">
        <v>2335</v>
      </c>
      <c r="AN568" t="s">
        <v>3413</v>
      </c>
      <c r="AO568" t="s">
        <v>3171</v>
      </c>
      <c r="AP568" t="s">
        <v>3414</v>
      </c>
      <c r="AQ568" t="s">
        <v>74</v>
      </c>
      <c r="AR568" t="s">
        <v>3172</v>
      </c>
      <c r="AS568" t="s">
        <v>3173</v>
      </c>
      <c r="AT568" t="s">
        <v>74</v>
      </c>
      <c r="AU568">
        <v>2011</v>
      </c>
      <c r="AV568">
        <v>57</v>
      </c>
      <c r="AW568">
        <v>202</v>
      </c>
      <c r="AX568" t="s">
        <v>74</v>
      </c>
      <c r="AY568" t="s">
        <v>74</v>
      </c>
      <c r="AZ568" t="s">
        <v>74</v>
      </c>
      <c r="BA568" t="s">
        <v>74</v>
      </c>
      <c r="BB568">
        <v>260</v>
      </c>
      <c r="BC568">
        <v>266</v>
      </c>
      <c r="BD568" t="s">
        <v>74</v>
      </c>
      <c r="BE568" t="s">
        <v>10077</v>
      </c>
      <c r="BF568" t="str">
        <f>HYPERLINK("http://dx.doi.org/10.3189/002214311796405870","http://dx.doi.org/10.3189/002214311796405870")</f>
        <v>http://dx.doi.org/10.3189/002214311796405870</v>
      </c>
      <c r="BG568" t="s">
        <v>74</v>
      </c>
      <c r="BH568" t="s">
        <v>74</v>
      </c>
      <c r="BI568">
        <v>7</v>
      </c>
      <c r="BJ568" t="s">
        <v>222</v>
      </c>
      <c r="BK568" t="s">
        <v>100</v>
      </c>
      <c r="BL568" t="s">
        <v>223</v>
      </c>
      <c r="BM568" t="s">
        <v>3803</v>
      </c>
      <c r="BN568" t="s">
        <v>74</v>
      </c>
      <c r="BO568" t="s">
        <v>252</v>
      </c>
      <c r="BP568" t="s">
        <v>74</v>
      </c>
      <c r="BQ568" t="s">
        <v>74</v>
      </c>
      <c r="BR568" t="s">
        <v>103</v>
      </c>
      <c r="BS568" t="s">
        <v>10078</v>
      </c>
      <c r="BT568" t="str">
        <f>HYPERLINK("https%3A%2F%2Fwww.webofscience.com%2Fwos%2Fwoscc%2Ffull-record%2FWOS:000294083700007","View Full Record in Web of Science")</f>
        <v>View Full Record in Web of Science</v>
      </c>
    </row>
    <row r="569" spans="1:72" x14ac:dyDescent="0.15">
      <c r="A569" t="s">
        <v>72</v>
      </c>
      <c r="B569" t="s">
        <v>10079</v>
      </c>
      <c r="C569" t="s">
        <v>74</v>
      </c>
      <c r="D569" t="s">
        <v>74</v>
      </c>
      <c r="E569" t="s">
        <v>74</v>
      </c>
      <c r="F569" t="s">
        <v>10080</v>
      </c>
      <c r="G569" t="s">
        <v>74</v>
      </c>
      <c r="H569" t="s">
        <v>74</v>
      </c>
      <c r="I569" t="s">
        <v>10081</v>
      </c>
      <c r="J569" t="s">
        <v>3158</v>
      </c>
      <c r="K569" t="s">
        <v>74</v>
      </c>
      <c r="L569" t="s">
        <v>74</v>
      </c>
      <c r="M569" t="s">
        <v>78</v>
      </c>
      <c r="N569" t="s">
        <v>79</v>
      </c>
      <c r="O569" t="s">
        <v>74</v>
      </c>
      <c r="P569" t="s">
        <v>74</v>
      </c>
      <c r="Q569" t="s">
        <v>74</v>
      </c>
      <c r="R569" t="s">
        <v>74</v>
      </c>
      <c r="S569" t="s">
        <v>74</v>
      </c>
      <c r="T569" t="s">
        <v>74</v>
      </c>
      <c r="U569" t="s">
        <v>10082</v>
      </c>
      <c r="V569" t="s">
        <v>10083</v>
      </c>
      <c r="W569" t="s">
        <v>10084</v>
      </c>
      <c r="X569" t="s">
        <v>10085</v>
      </c>
      <c r="Y569" t="s">
        <v>10086</v>
      </c>
      <c r="Z569" t="s">
        <v>10087</v>
      </c>
      <c r="AA569" t="s">
        <v>10088</v>
      </c>
      <c r="AB569" t="s">
        <v>74</v>
      </c>
      <c r="AC569" t="s">
        <v>10089</v>
      </c>
      <c r="AD569" t="s">
        <v>2987</v>
      </c>
      <c r="AE569" t="s">
        <v>10090</v>
      </c>
      <c r="AF569" t="s">
        <v>74</v>
      </c>
      <c r="AG569">
        <v>17</v>
      </c>
      <c r="AH569">
        <v>2</v>
      </c>
      <c r="AI569">
        <v>3</v>
      </c>
      <c r="AJ569">
        <v>0</v>
      </c>
      <c r="AK569">
        <v>7</v>
      </c>
      <c r="AL569" t="s">
        <v>3169</v>
      </c>
      <c r="AM569" t="s">
        <v>2335</v>
      </c>
      <c r="AN569" t="s">
        <v>3170</v>
      </c>
      <c r="AO569" t="s">
        <v>3171</v>
      </c>
      <c r="AP569" t="s">
        <v>74</v>
      </c>
      <c r="AQ569" t="s">
        <v>74</v>
      </c>
      <c r="AR569" t="s">
        <v>3172</v>
      </c>
      <c r="AS569" t="s">
        <v>3173</v>
      </c>
      <c r="AT569" t="s">
        <v>74</v>
      </c>
      <c r="AU569">
        <v>2011</v>
      </c>
      <c r="AV569">
        <v>57</v>
      </c>
      <c r="AW569">
        <v>202</v>
      </c>
      <c r="AX569" t="s">
        <v>74</v>
      </c>
      <c r="AY569" t="s">
        <v>74</v>
      </c>
      <c r="AZ569" t="s">
        <v>74</v>
      </c>
      <c r="BA569" t="s">
        <v>74</v>
      </c>
      <c r="BB569">
        <v>295</v>
      </c>
      <c r="BC569">
        <v>301</v>
      </c>
      <c r="BD569" t="s">
        <v>74</v>
      </c>
      <c r="BE569" t="s">
        <v>10091</v>
      </c>
      <c r="BF569" t="str">
        <f>HYPERLINK("http://dx.doi.org/10.3189/002214311796405861","http://dx.doi.org/10.3189/002214311796405861")</f>
        <v>http://dx.doi.org/10.3189/002214311796405861</v>
      </c>
      <c r="BG569" t="s">
        <v>74</v>
      </c>
      <c r="BH569" t="s">
        <v>74</v>
      </c>
      <c r="BI569">
        <v>7</v>
      </c>
      <c r="BJ569" t="s">
        <v>222</v>
      </c>
      <c r="BK569" t="s">
        <v>100</v>
      </c>
      <c r="BL569" t="s">
        <v>223</v>
      </c>
      <c r="BM569" t="s">
        <v>3803</v>
      </c>
      <c r="BN569" t="s">
        <v>74</v>
      </c>
      <c r="BO569" t="s">
        <v>252</v>
      </c>
      <c r="BP569" t="s">
        <v>74</v>
      </c>
      <c r="BQ569" t="s">
        <v>74</v>
      </c>
      <c r="BR569" t="s">
        <v>103</v>
      </c>
      <c r="BS569" t="s">
        <v>10092</v>
      </c>
      <c r="BT569" t="str">
        <f>HYPERLINK("https%3A%2F%2Fwww.webofscience.com%2Fwos%2Fwoscc%2Ffull-record%2FWOS:000294083700011","View Full Record in Web of Science")</f>
        <v>View Full Record in Web of Science</v>
      </c>
    </row>
    <row r="570" spans="1:72" x14ac:dyDescent="0.15">
      <c r="A570" t="s">
        <v>72</v>
      </c>
      <c r="B570" t="s">
        <v>10093</v>
      </c>
      <c r="C570" t="s">
        <v>74</v>
      </c>
      <c r="D570" t="s">
        <v>74</v>
      </c>
      <c r="E570" t="s">
        <v>74</v>
      </c>
      <c r="F570" t="s">
        <v>10094</v>
      </c>
      <c r="G570" t="s">
        <v>74</v>
      </c>
      <c r="H570" t="s">
        <v>74</v>
      </c>
      <c r="I570" t="s">
        <v>10095</v>
      </c>
      <c r="J570" t="s">
        <v>3158</v>
      </c>
      <c r="K570" t="s">
        <v>74</v>
      </c>
      <c r="L570" t="s">
        <v>74</v>
      </c>
      <c r="M570" t="s">
        <v>78</v>
      </c>
      <c r="N570" t="s">
        <v>79</v>
      </c>
      <c r="O570" t="s">
        <v>74</v>
      </c>
      <c r="P570" t="s">
        <v>74</v>
      </c>
      <c r="Q570" t="s">
        <v>74</v>
      </c>
      <c r="R570" t="s">
        <v>74</v>
      </c>
      <c r="S570" t="s">
        <v>74</v>
      </c>
      <c r="T570" t="s">
        <v>74</v>
      </c>
      <c r="U570" t="s">
        <v>74</v>
      </c>
      <c r="V570" t="s">
        <v>10096</v>
      </c>
      <c r="W570" t="s">
        <v>10097</v>
      </c>
      <c r="X570" t="s">
        <v>10098</v>
      </c>
      <c r="Y570" t="s">
        <v>10099</v>
      </c>
      <c r="Z570" t="s">
        <v>10100</v>
      </c>
      <c r="AA570" t="s">
        <v>10101</v>
      </c>
      <c r="AB570" t="s">
        <v>7737</v>
      </c>
      <c r="AC570" t="s">
        <v>10102</v>
      </c>
      <c r="AD570" t="s">
        <v>10103</v>
      </c>
      <c r="AE570" t="s">
        <v>10104</v>
      </c>
      <c r="AF570" t="s">
        <v>74</v>
      </c>
      <c r="AG570">
        <v>25</v>
      </c>
      <c r="AH570">
        <v>33</v>
      </c>
      <c r="AI570">
        <v>35</v>
      </c>
      <c r="AJ570">
        <v>0</v>
      </c>
      <c r="AK570">
        <v>5</v>
      </c>
      <c r="AL570" t="s">
        <v>90</v>
      </c>
      <c r="AM570" t="s">
        <v>2335</v>
      </c>
      <c r="AN570" t="s">
        <v>3413</v>
      </c>
      <c r="AO570" t="s">
        <v>3171</v>
      </c>
      <c r="AP570" t="s">
        <v>3414</v>
      </c>
      <c r="AQ570" t="s">
        <v>74</v>
      </c>
      <c r="AR570" t="s">
        <v>3172</v>
      </c>
      <c r="AS570" t="s">
        <v>3173</v>
      </c>
      <c r="AT570" t="s">
        <v>74</v>
      </c>
      <c r="AU570">
        <v>2011</v>
      </c>
      <c r="AV570">
        <v>57</v>
      </c>
      <c r="AW570">
        <v>202</v>
      </c>
      <c r="AX570" t="s">
        <v>74</v>
      </c>
      <c r="AY570" t="s">
        <v>74</v>
      </c>
      <c r="AZ570" t="s">
        <v>74</v>
      </c>
      <c r="BA570" t="s">
        <v>74</v>
      </c>
      <c r="BB570">
        <v>315</v>
      </c>
      <c r="BC570">
        <v>324</v>
      </c>
      <c r="BD570" t="s">
        <v>74</v>
      </c>
      <c r="BE570" t="s">
        <v>10105</v>
      </c>
      <c r="BF570" t="str">
        <f>HYPERLINK("http://dx.doi.org/10.3189/002214311796406004","http://dx.doi.org/10.3189/002214311796406004")</f>
        <v>http://dx.doi.org/10.3189/002214311796406004</v>
      </c>
      <c r="BG570" t="s">
        <v>74</v>
      </c>
      <c r="BH570" t="s">
        <v>74</v>
      </c>
      <c r="BI570">
        <v>10</v>
      </c>
      <c r="BJ570" t="s">
        <v>222</v>
      </c>
      <c r="BK570" t="s">
        <v>100</v>
      </c>
      <c r="BL570" t="s">
        <v>223</v>
      </c>
      <c r="BM570" t="s">
        <v>3803</v>
      </c>
      <c r="BN570" t="s">
        <v>74</v>
      </c>
      <c r="BO570" t="s">
        <v>9686</v>
      </c>
      <c r="BP570" t="s">
        <v>74</v>
      </c>
      <c r="BQ570" t="s">
        <v>74</v>
      </c>
      <c r="BR570" t="s">
        <v>103</v>
      </c>
      <c r="BS570" t="s">
        <v>10106</v>
      </c>
      <c r="BT570" t="str">
        <f>HYPERLINK("https%3A%2F%2Fwww.webofscience.com%2Fwos%2Fwoscc%2Ffull-record%2FWOS:000294083700013","View Full Record in Web of Science")</f>
        <v>View Full Record in Web of Science</v>
      </c>
    </row>
    <row r="571" spans="1:72" x14ac:dyDescent="0.15">
      <c r="A571" t="s">
        <v>72</v>
      </c>
      <c r="B571" t="s">
        <v>10107</v>
      </c>
      <c r="C571" t="s">
        <v>74</v>
      </c>
      <c r="D571" t="s">
        <v>74</v>
      </c>
      <c r="E571" t="s">
        <v>74</v>
      </c>
      <c r="F571" t="s">
        <v>10108</v>
      </c>
      <c r="G571" t="s">
        <v>74</v>
      </c>
      <c r="H571" t="s">
        <v>74</v>
      </c>
      <c r="I571" t="s">
        <v>10109</v>
      </c>
      <c r="J571" t="s">
        <v>3158</v>
      </c>
      <c r="K571" t="s">
        <v>74</v>
      </c>
      <c r="L571" t="s">
        <v>74</v>
      </c>
      <c r="M571" t="s">
        <v>78</v>
      </c>
      <c r="N571" t="s">
        <v>79</v>
      </c>
      <c r="O571" t="s">
        <v>74</v>
      </c>
      <c r="P571" t="s">
        <v>74</v>
      </c>
      <c r="Q571" t="s">
        <v>74</v>
      </c>
      <c r="R571" t="s">
        <v>74</v>
      </c>
      <c r="S571" t="s">
        <v>74</v>
      </c>
      <c r="T571" t="s">
        <v>74</v>
      </c>
      <c r="U571" t="s">
        <v>10110</v>
      </c>
      <c r="V571" t="s">
        <v>10111</v>
      </c>
      <c r="W571" t="s">
        <v>10112</v>
      </c>
      <c r="X571" t="s">
        <v>10113</v>
      </c>
      <c r="Y571" t="s">
        <v>10114</v>
      </c>
      <c r="Z571" t="s">
        <v>10115</v>
      </c>
      <c r="AA571" t="s">
        <v>10116</v>
      </c>
      <c r="AB571" t="s">
        <v>10117</v>
      </c>
      <c r="AC571" t="s">
        <v>10118</v>
      </c>
      <c r="AD571" t="s">
        <v>10119</v>
      </c>
      <c r="AE571" t="s">
        <v>10120</v>
      </c>
      <c r="AF571" t="s">
        <v>74</v>
      </c>
      <c r="AG571">
        <v>41</v>
      </c>
      <c r="AH571">
        <v>52</v>
      </c>
      <c r="AI571">
        <v>56</v>
      </c>
      <c r="AJ571">
        <v>1</v>
      </c>
      <c r="AK571">
        <v>33</v>
      </c>
      <c r="AL571" t="s">
        <v>3169</v>
      </c>
      <c r="AM571" t="s">
        <v>2335</v>
      </c>
      <c r="AN571" t="s">
        <v>3170</v>
      </c>
      <c r="AO571" t="s">
        <v>3171</v>
      </c>
      <c r="AP571" t="s">
        <v>74</v>
      </c>
      <c r="AQ571" t="s">
        <v>74</v>
      </c>
      <c r="AR571" t="s">
        <v>3172</v>
      </c>
      <c r="AS571" t="s">
        <v>3173</v>
      </c>
      <c r="AT571" t="s">
        <v>74</v>
      </c>
      <c r="AU571">
        <v>2011</v>
      </c>
      <c r="AV571">
        <v>57</v>
      </c>
      <c r="AW571">
        <v>203</v>
      </c>
      <c r="AX571" t="s">
        <v>74</v>
      </c>
      <c r="AY571" t="s">
        <v>74</v>
      </c>
      <c r="AZ571" t="s">
        <v>74</v>
      </c>
      <c r="BA571" t="s">
        <v>74</v>
      </c>
      <c r="BB571">
        <v>397</v>
      </c>
      <c r="BC571">
        <v>406</v>
      </c>
      <c r="BD571" t="s">
        <v>74</v>
      </c>
      <c r="BE571" t="s">
        <v>10121</v>
      </c>
      <c r="BF571" t="str">
        <f>HYPERLINK("http://dx.doi.org/10.3189/002214311796905578","http://dx.doi.org/10.3189/002214311796905578")</f>
        <v>http://dx.doi.org/10.3189/002214311796905578</v>
      </c>
      <c r="BG571" t="s">
        <v>74</v>
      </c>
      <c r="BH571" t="s">
        <v>74</v>
      </c>
      <c r="BI571">
        <v>10</v>
      </c>
      <c r="BJ571" t="s">
        <v>222</v>
      </c>
      <c r="BK571" t="s">
        <v>100</v>
      </c>
      <c r="BL571" t="s">
        <v>223</v>
      </c>
      <c r="BM571" t="s">
        <v>10122</v>
      </c>
      <c r="BN571" t="s">
        <v>74</v>
      </c>
      <c r="BO571" t="s">
        <v>252</v>
      </c>
      <c r="BP571" t="s">
        <v>74</v>
      </c>
      <c r="BQ571" t="s">
        <v>74</v>
      </c>
      <c r="BR571" t="s">
        <v>103</v>
      </c>
      <c r="BS571" t="s">
        <v>10123</v>
      </c>
      <c r="BT571" t="str">
        <f>HYPERLINK("https%3A%2F%2Fwww.webofscience.com%2Fwos%2Fwoscc%2Ffull-record%2FWOS:000293324300002","View Full Record in Web of Science")</f>
        <v>View Full Record in Web of Science</v>
      </c>
    </row>
    <row r="572" spans="1:72" x14ac:dyDescent="0.15">
      <c r="A572" t="s">
        <v>72</v>
      </c>
      <c r="B572" t="s">
        <v>10124</v>
      </c>
      <c r="C572" t="s">
        <v>74</v>
      </c>
      <c r="D572" t="s">
        <v>74</v>
      </c>
      <c r="E572" t="s">
        <v>74</v>
      </c>
      <c r="F572" t="s">
        <v>10125</v>
      </c>
      <c r="G572" t="s">
        <v>74</v>
      </c>
      <c r="H572" t="s">
        <v>74</v>
      </c>
      <c r="I572" t="s">
        <v>10126</v>
      </c>
      <c r="J572" t="s">
        <v>3158</v>
      </c>
      <c r="K572" t="s">
        <v>74</v>
      </c>
      <c r="L572" t="s">
        <v>74</v>
      </c>
      <c r="M572" t="s">
        <v>78</v>
      </c>
      <c r="N572" t="s">
        <v>79</v>
      </c>
      <c r="O572" t="s">
        <v>74</v>
      </c>
      <c r="P572" t="s">
        <v>74</v>
      </c>
      <c r="Q572" t="s">
        <v>74</v>
      </c>
      <c r="R572" t="s">
        <v>74</v>
      </c>
      <c r="S572" t="s">
        <v>74</v>
      </c>
      <c r="T572" t="s">
        <v>74</v>
      </c>
      <c r="U572" t="s">
        <v>10127</v>
      </c>
      <c r="V572" t="s">
        <v>10128</v>
      </c>
      <c r="W572" t="s">
        <v>10129</v>
      </c>
      <c r="X572" t="s">
        <v>10130</v>
      </c>
      <c r="Y572" t="s">
        <v>10131</v>
      </c>
      <c r="Z572" t="s">
        <v>10132</v>
      </c>
      <c r="AA572" t="s">
        <v>10133</v>
      </c>
      <c r="AB572" t="s">
        <v>74</v>
      </c>
      <c r="AC572" t="s">
        <v>10134</v>
      </c>
      <c r="AD572" t="s">
        <v>10135</v>
      </c>
      <c r="AE572" t="s">
        <v>10136</v>
      </c>
      <c r="AF572" t="s">
        <v>74</v>
      </c>
      <c r="AG572">
        <v>25</v>
      </c>
      <c r="AH572">
        <v>21</v>
      </c>
      <c r="AI572">
        <v>22</v>
      </c>
      <c r="AJ572">
        <v>1</v>
      </c>
      <c r="AK572">
        <v>6</v>
      </c>
      <c r="AL572" t="s">
        <v>90</v>
      </c>
      <c r="AM572" t="s">
        <v>2335</v>
      </c>
      <c r="AN572" t="s">
        <v>3413</v>
      </c>
      <c r="AO572" t="s">
        <v>3171</v>
      </c>
      <c r="AP572" t="s">
        <v>3414</v>
      </c>
      <c r="AQ572" t="s">
        <v>74</v>
      </c>
      <c r="AR572" t="s">
        <v>3172</v>
      </c>
      <c r="AS572" t="s">
        <v>3173</v>
      </c>
      <c r="AT572" t="s">
        <v>74</v>
      </c>
      <c r="AU572">
        <v>2011</v>
      </c>
      <c r="AV572">
        <v>57</v>
      </c>
      <c r="AW572">
        <v>203</v>
      </c>
      <c r="AX572" t="s">
        <v>74</v>
      </c>
      <c r="AY572" t="s">
        <v>74</v>
      </c>
      <c r="AZ572" t="s">
        <v>74</v>
      </c>
      <c r="BA572" t="s">
        <v>74</v>
      </c>
      <c r="BB572">
        <v>416</v>
      </c>
      <c r="BC572">
        <v>430</v>
      </c>
      <c r="BD572" t="s">
        <v>74</v>
      </c>
      <c r="BE572" t="s">
        <v>10137</v>
      </c>
      <c r="BF572" t="str">
        <f>HYPERLINK("http://dx.doi.org/10.3189/002214311796905613","http://dx.doi.org/10.3189/002214311796905613")</f>
        <v>http://dx.doi.org/10.3189/002214311796905613</v>
      </c>
      <c r="BG572" t="s">
        <v>74</v>
      </c>
      <c r="BH572" t="s">
        <v>74</v>
      </c>
      <c r="BI572">
        <v>15</v>
      </c>
      <c r="BJ572" t="s">
        <v>222</v>
      </c>
      <c r="BK572" t="s">
        <v>100</v>
      </c>
      <c r="BL572" t="s">
        <v>223</v>
      </c>
      <c r="BM572" t="s">
        <v>10122</v>
      </c>
      <c r="BN572" t="s">
        <v>74</v>
      </c>
      <c r="BO572" t="s">
        <v>252</v>
      </c>
      <c r="BP572" t="s">
        <v>74</v>
      </c>
      <c r="BQ572" t="s">
        <v>74</v>
      </c>
      <c r="BR572" t="s">
        <v>103</v>
      </c>
      <c r="BS572" t="s">
        <v>10138</v>
      </c>
      <c r="BT572" t="str">
        <f>HYPERLINK("https%3A%2F%2Fwww.webofscience.com%2Fwos%2Fwoscc%2Ffull-record%2FWOS:000293324300004","View Full Record in Web of Science")</f>
        <v>View Full Record in Web of Science</v>
      </c>
    </row>
    <row r="573" spans="1:72" x14ac:dyDescent="0.15">
      <c r="A573" t="s">
        <v>72</v>
      </c>
      <c r="B573" t="s">
        <v>10139</v>
      </c>
      <c r="C573" t="s">
        <v>74</v>
      </c>
      <c r="D573" t="s">
        <v>74</v>
      </c>
      <c r="E573" t="s">
        <v>74</v>
      </c>
      <c r="F573" t="s">
        <v>10140</v>
      </c>
      <c r="G573" t="s">
        <v>74</v>
      </c>
      <c r="H573" t="s">
        <v>74</v>
      </c>
      <c r="I573" t="s">
        <v>10141</v>
      </c>
      <c r="J573" t="s">
        <v>3158</v>
      </c>
      <c r="K573" t="s">
        <v>74</v>
      </c>
      <c r="L573" t="s">
        <v>74</v>
      </c>
      <c r="M573" t="s">
        <v>78</v>
      </c>
      <c r="N573" t="s">
        <v>79</v>
      </c>
      <c r="O573" t="s">
        <v>74</v>
      </c>
      <c r="P573" t="s">
        <v>74</v>
      </c>
      <c r="Q573" t="s">
        <v>74</v>
      </c>
      <c r="R573" t="s">
        <v>74</v>
      </c>
      <c r="S573" t="s">
        <v>74</v>
      </c>
      <c r="T573" t="s">
        <v>74</v>
      </c>
      <c r="U573" t="s">
        <v>10142</v>
      </c>
      <c r="V573" t="s">
        <v>10143</v>
      </c>
      <c r="W573" t="s">
        <v>10144</v>
      </c>
      <c r="X573" t="s">
        <v>1607</v>
      </c>
      <c r="Y573" t="s">
        <v>10145</v>
      </c>
      <c r="Z573" t="s">
        <v>10146</v>
      </c>
      <c r="AA573" t="s">
        <v>10147</v>
      </c>
      <c r="AB573" t="s">
        <v>10148</v>
      </c>
      <c r="AC573" t="s">
        <v>10149</v>
      </c>
      <c r="AD573" t="s">
        <v>10150</v>
      </c>
      <c r="AE573" t="s">
        <v>10151</v>
      </c>
      <c r="AF573" t="s">
        <v>74</v>
      </c>
      <c r="AG573">
        <v>48</v>
      </c>
      <c r="AH573">
        <v>100</v>
      </c>
      <c r="AI573">
        <v>121</v>
      </c>
      <c r="AJ573">
        <v>0</v>
      </c>
      <c r="AK573">
        <v>38</v>
      </c>
      <c r="AL573" t="s">
        <v>90</v>
      </c>
      <c r="AM573" t="s">
        <v>2335</v>
      </c>
      <c r="AN573" t="s">
        <v>3413</v>
      </c>
      <c r="AO573" t="s">
        <v>3171</v>
      </c>
      <c r="AP573" t="s">
        <v>3414</v>
      </c>
      <c r="AQ573" t="s">
        <v>74</v>
      </c>
      <c r="AR573" t="s">
        <v>3172</v>
      </c>
      <c r="AS573" t="s">
        <v>3173</v>
      </c>
      <c r="AT573" t="s">
        <v>74</v>
      </c>
      <c r="AU573">
        <v>2011</v>
      </c>
      <c r="AV573">
        <v>57</v>
      </c>
      <c r="AW573">
        <v>203</v>
      </c>
      <c r="AX573" t="s">
        <v>74</v>
      </c>
      <c r="AY573" t="s">
        <v>74</v>
      </c>
      <c r="AZ573" t="s">
        <v>74</v>
      </c>
      <c r="BA573" t="s">
        <v>74</v>
      </c>
      <c r="BB573">
        <v>485</v>
      </c>
      <c r="BC573">
        <v>498</v>
      </c>
      <c r="BD573" t="s">
        <v>74</v>
      </c>
      <c r="BE573" t="s">
        <v>10152</v>
      </c>
      <c r="BF573" t="str">
        <f>HYPERLINK("http://dx.doi.org/10.3189/002214311796905659","http://dx.doi.org/10.3189/002214311796905659")</f>
        <v>http://dx.doi.org/10.3189/002214311796905659</v>
      </c>
      <c r="BG573" t="s">
        <v>74</v>
      </c>
      <c r="BH573" t="s">
        <v>74</v>
      </c>
      <c r="BI573">
        <v>14</v>
      </c>
      <c r="BJ573" t="s">
        <v>222</v>
      </c>
      <c r="BK573" t="s">
        <v>100</v>
      </c>
      <c r="BL573" t="s">
        <v>223</v>
      </c>
      <c r="BM573" t="s">
        <v>10122</v>
      </c>
      <c r="BN573" t="s">
        <v>74</v>
      </c>
      <c r="BO573" t="s">
        <v>252</v>
      </c>
      <c r="BP573" t="s">
        <v>74</v>
      </c>
      <c r="BQ573" t="s">
        <v>74</v>
      </c>
      <c r="BR573" t="s">
        <v>103</v>
      </c>
      <c r="BS573" t="s">
        <v>10153</v>
      </c>
      <c r="BT573" t="str">
        <f>HYPERLINK("https%3A%2F%2Fwww.webofscience.com%2Fwos%2Fwoscc%2Ffull-record%2FWOS:000293324300011","View Full Record in Web of Science")</f>
        <v>View Full Record in Web of Science</v>
      </c>
    </row>
    <row r="574" spans="1:72" x14ac:dyDescent="0.15">
      <c r="A574" t="s">
        <v>72</v>
      </c>
      <c r="B574" t="s">
        <v>10154</v>
      </c>
      <c r="C574" t="s">
        <v>74</v>
      </c>
      <c r="D574" t="s">
        <v>74</v>
      </c>
      <c r="E574" t="s">
        <v>74</v>
      </c>
      <c r="F574" t="s">
        <v>10155</v>
      </c>
      <c r="G574" t="s">
        <v>74</v>
      </c>
      <c r="H574" t="s">
        <v>74</v>
      </c>
      <c r="I574" t="s">
        <v>10156</v>
      </c>
      <c r="J574" t="s">
        <v>3158</v>
      </c>
      <c r="K574" t="s">
        <v>74</v>
      </c>
      <c r="L574" t="s">
        <v>74</v>
      </c>
      <c r="M574" t="s">
        <v>78</v>
      </c>
      <c r="N574" t="s">
        <v>79</v>
      </c>
      <c r="O574" t="s">
        <v>74</v>
      </c>
      <c r="P574" t="s">
        <v>74</v>
      </c>
      <c r="Q574" t="s">
        <v>74</v>
      </c>
      <c r="R574" t="s">
        <v>74</v>
      </c>
      <c r="S574" t="s">
        <v>74</v>
      </c>
      <c r="T574" t="s">
        <v>74</v>
      </c>
      <c r="U574" t="s">
        <v>10157</v>
      </c>
      <c r="V574" t="s">
        <v>10158</v>
      </c>
      <c r="W574" t="s">
        <v>10159</v>
      </c>
      <c r="X574" t="s">
        <v>10160</v>
      </c>
      <c r="Y574" t="s">
        <v>10161</v>
      </c>
      <c r="Z574" t="s">
        <v>7801</v>
      </c>
      <c r="AA574" t="s">
        <v>10162</v>
      </c>
      <c r="AB574" t="s">
        <v>10163</v>
      </c>
      <c r="AC574" t="s">
        <v>10164</v>
      </c>
      <c r="AD574" t="s">
        <v>10165</v>
      </c>
      <c r="AE574" t="s">
        <v>10166</v>
      </c>
      <c r="AF574" t="s">
        <v>74</v>
      </c>
      <c r="AG574">
        <v>22</v>
      </c>
      <c r="AH574">
        <v>69</v>
      </c>
      <c r="AI574">
        <v>78</v>
      </c>
      <c r="AJ574">
        <v>0</v>
      </c>
      <c r="AK574">
        <v>16</v>
      </c>
      <c r="AL574" t="s">
        <v>3169</v>
      </c>
      <c r="AM574" t="s">
        <v>2335</v>
      </c>
      <c r="AN574" t="s">
        <v>3170</v>
      </c>
      <c r="AO574" t="s">
        <v>3171</v>
      </c>
      <c r="AP574" t="s">
        <v>3414</v>
      </c>
      <c r="AQ574" t="s">
        <v>74</v>
      </c>
      <c r="AR574" t="s">
        <v>3172</v>
      </c>
      <c r="AS574" t="s">
        <v>3173</v>
      </c>
      <c r="AT574" t="s">
        <v>74</v>
      </c>
      <c r="AU574">
        <v>2011</v>
      </c>
      <c r="AV574">
        <v>57</v>
      </c>
      <c r="AW574">
        <v>204</v>
      </c>
      <c r="AX574" t="s">
        <v>74</v>
      </c>
      <c r="AY574" t="s">
        <v>74</v>
      </c>
      <c r="AZ574" t="s">
        <v>74</v>
      </c>
      <c r="BA574" t="s">
        <v>74</v>
      </c>
      <c r="BB574">
        <v>581</v>
      </c>
      <c r="BC574">
        <v>595</v>
      </c>
      <c r="BD574" t="s">
        <v>74</v>
      </c>
      <c r="BE574" t="s">
        <v>10167</v>
      </c>
      <c r="BF574" t="str">
        <f>HYPERLINK("http://dx.doi.org/10.3189/002214311797409802","http://dx.doi.org/10.3189/002214311797409802")</f>
        <v>http://dx.doi.org/10.3189/002214311797409802</v>
      </c>
      <c r="BG574" t="s">
        <v>74</v>
      </c>
      <c r="BH574" t="s">
        <v>74</v>
      </c>
      <c r="BI574">
        <v>15</v>
      </c>
      <c r="BJ574" t="s">
        <v>222</v>
      </c>
      <c r="BK574" t="s">
        <v>100</v>
      </c>
      <c r="BL574" t="s">
        <v>223</v>
      </c>
      <c r="BM574" t="s">
        <v>3416</v>
      </c>
      <c r="BN574" t="s">
        <v>74</v>
      </c>
      <c r="BO574" t="s">
        <v>3320</v>
      </c>
      <c r="BP574" t="s">
        <v>74</v>
      </c>
      <c r="BQ574" t="s">
        <v>74</v>
      </c>
      <c r="BR574" t="s">
        <v>103</v>
      </c>
      <c r="BS574" t="s">
        <v>10168</v>
      </c>
      <c r="BT574" t="str">
        <f>HYPERLINK("https%3A%2F%2Fwww.webofscience.com%2Fwos%2Fwoscc%2Ffull-record%2FWOS:000295019400001","View Full Record in Web of Science")</f>
        <v>View Full Record in Web of Science</v>
      </c>
    </row>
    <row r="575" spans="1:72" x14ac:dyDescent="0.15">
      <c r="A575" t="s">
        <v>72</v>
      </c>
      <c r="B575" t="s">
        <v>10169</v>
      </c>
      <c r="C575" t="s">
        <v>74</v>
      </c>
      <c r="D575" t="s">
        <v>74</v>
      </c>
      <c r="E575" t="s">
        <v>74</v>
      </c>
      <c r="F575" t="s">
        <v>10170</v>
      </c>
      <c r="G575" t="s">
        <v>74</v>
      </c>
      <c r="H575" t="s">
        <v>74</v>
      </c>
      <c r="I575" t="s">
        <v>10171</v>
      </c>
      <c r="J575" t="s">
        <v>3158</v>
      </c>
      <c r="K575" t="s">
        <v>74</v>
      </c>
      <c r="L575" t="s">
        <v>74</v>
      </c>
      <c r="M575" t="s">
        <v>78</v>
      </c>
      <c r="N575" t="s">
        <v>79</v>
      </c>
      <c r="O575" t="s">
        <v>74</v>
      </c>
      <c r="P575" t="s">
        <v>74</v>
      </c>
      <c r="Q575" t="s">
        <v>74</v>
      </c>
      <c r="R575" t="s">
        <v>74</v>
      </c>
      <c r="S575" t="s">
        <v>74</v>
      </c>
      <c r="T575" t="s">
        <v>74</v>
      </c>
      <c r="U575" t="s">
        <v>10172</v>
      </c>
      <c r="V575" t="s">
        <v>10173</v>
      </c>
      <c r="W575" t="s">
        <v>10174</v>
      </c>
      <c r="X575" t="s">
        <v>10175</v>
      </c>
      <c r="Y575" t="s">
        <v>10176</v>
      </c>
      <c r="Z575" t="s">
        <v>10177</v>
      </c>
      <c r="AA575" t="s">
        <v>10178</v>
      </c>
      <c r="AB575" t="s">
        <v>10179</v>
      </c>
      <c r="AC575" t="s">
        <v>10180</v>
      </c>
      <c r="AD575" t="s">
        <v>10181</v>
      </c>
      <c r="AE575" t="s">
        <v>10182</v>
      </c>
      <c r="AF575" t="s">
        <v>74</v>
      </c>
      <c r="AG575">
        <v>44</v>
      </c>
      <c r="AH575">
        <v>17</v>
      </c>
      <c r="AI575">
        <v>24</v>
      </c>
      <c r="AJ575">
        <v>1</v>
      </c>
      <c r="AK575">
        <v>20</v>
      </c>
      <c r="AL575" t="s">
        <v>90</v>
      </c>
      <c r="AM575" t="s">
        <v>2335</v>
      </c>
      <c r="AN575" t="s">
        <v>3413</v>
      </c>
      <c r="AO575" t="s">
        <v>3171</v>
      </c>
      <c r="AP575" t="s">
        <v>3414</v>
      </c>
      <c r="AQ575" t="s">
        <v>74</v>
      </c>
      <c r="AR575" t="s">
        <v>3172</v>
      </c>
      <c r="AS575" t="s">
        <v>3173</v>
      </c>
      <c r="AT575" t="s">
        <v>74</v>
      </c>
      <c r="AU575">
        <v>2011</v>
      </c>
      <c r="AV575">
        <v>57</v>
      </c>
      <c r="AW575">
        <v>204</v>
      </c>
      <c r="AX575" t="s">
        <v>74</v>
      </c>
      <c r="AY575" t="s">
        <v>74</v>
      </c>
      <c r="AZ575" t="s">
        <v>74</v>
      </c>
      <c r="BA575" t="s">
        <v>74</v>
      </c>
      <c r="BB575">
        <v>629</v>
      </c>
      <c r="BC575">
        <v>638</v>
      </c>
      <c r="BD575" t="s">
        <v>74</v>
      </c>
      <c r="BE575" t="s">
        <v>10183</v>
      </c>
      <c r="BF575" t="str">
        <f>HYPERLINK("http://dx.doi.org/10.3189/002214311797409677","http://dx.doi.org/10.3189/002214311797409677")</f>
        <v>http://dx.doi.org/10.3189/002214311797409677</v>
      </c>
      <c r="BG575" t="s">
        <v>74</v>
      </c>
      <c r="BH575" t="s">
        <v>74</v>
      </c>
      <c r="BI575">
        <v>10</v>
      </c>
      <c r="BJ575" t="s">
        <v>222</v>
      </c>
      <c r="BK575" t="s">
        <v>100</v>
      </c>
      <c r="BL575" t="s">
        <v>223</v>
      </c>
      <c r="BM575" t="s">
        <v>3416</v>
      </c>
      <c r="BN575" t="s">
        <v>74</v>
      </c>
      <c r="BO575" t="s">
        <v>252</v>
      </c>
      <c r="BP575" t="s">
        <v>74</v>
      </c>
      <c r="BQ575" t="s">
        <v>74</v>
      </c>
      <c r="BR575" t="s">
        <v>103</v>
      </c>
      <c r="BS575" t="s">
        <v>10184</v>
      </c>
      <c r="BT575" t="str">
        <f>HYPERLINK("https%3A%2F%2Fwww.webofscience.com%2Fwos%2Fwoscc%2Ffull-record%2FWOS:000295019400005","View Full Record in Web of Science")</f>
        <v>View Full Record in Web of Science</v>
      </c>
    </row>
    <row r="576" spans="1:72" x14ac:dyDescent="0.15">
      <c r="A576" t="s">
        <v>72</v>
      </c>
      <c r="B576" t="s">
        <v>10185</v>
      </c>
      <c r="C576" t="s">
        <v>74</v>
      </c>
      <c r="D576" t="s">
        <v>74</v>
      </c>
      <c r="E576" t="s">
        <v>74</v>
      </c>
      <c r="F576" t="s">
        <v>10186</v>
      </c>
      <c r="G576" t="s">
        <v>74</v>
      </c>
      <c r="H576" t="s">
        <v>74</v>
      </c>
      <c r="I576" t="s">
        <v>10187</v>
      </c>
      <c r="J576" t="s">
        <v>3158</v>
      </c>
      <c r="K576" t="s">
        <v>74</v>
      </c>
      <c r="L576" t="s">
        <v>74</v>
      </c>
      <c r="M576" t="s">
        <v>78</v>
      </c>
      <c r="N576" t="s">
        <v>79</v>
      </c>
      <c r="O576" t="s">
        <v>74</v>
      </c>
      <c r="P576" t="s">
        <v>74</v>
      </c>
      <c r="Q576" t="s">
        <v>74</v>
      </c>
      <c r="R576" t="s">
        <v>74</v>
      </c>
      <c r="S576" t="s">
        <v>74</v>
      </c>
      <c r="T576" t="s">
        <v>74</v>
      </c>
      <c r="U576" t="s">
        <v>10188</v>
      </c>
      <c r="V576" t="s">
        <v>10189</v>
      </c>
      <c r="W576" t="s">
        <v>10190</v>
      </c>
      <c r="X576" t="s">
        <v>10191</v>
      </c>
      <c r="Y576" t="s">
        <v>10192</v>
      </c>
      <c r="Z576" t="s">
        <v>10193</v>
      </c>
      <c r="AA576" t="s">
        <v>10194</v>
      </c>
      <c r="AB576" t="s">
        <v>5978</v>
      </c>
      <c r="AC576" t="s">
        <v>10195</v>
      </c>
      <c r="AD576" t="s">
        <v>5980</v>
      </c>
      <c r="AE576" t="s">
        <v>10196</v>
      </c>
      <c r="AF576" t="s">
        <v>74</v>
      </c>
      <c r="AG576">
        <v>59</v>
      </c>
      <c r="AH576">
        <v>54</v>
      </c>
      <c r="AI576">
        <v>59</v>
      </c>
      <c r="AJ576">
        <v>0</v>
      </c>
      <c r="AK576">
        <v>34</v>
      </c>
      <c r="AL576" t="s">
        <v>3169</v>
      </c>
      <c r="AM576" t="s">
        <v>2335</v>
      </c>
      <c r="AN576" t="s">
        <v>3170</v>
      </c>
      <c r="AO576" t="s">
        <v>3171</v>
      </c>
      <c r="AP576" t="s">
        <v>3414</v>
      </c>
      <c r="AQ576" t="s">
        <v>74</v>
      </c>
      <c r="AR576" t="s">
        <v>3172</v>
      </c>
      <c r="AS576" t="s">
        <v>3173</v>
      </c>
      <c r="AT576" t="s">
        <v>74</v>
      </c>
      <c r="AU576">
        <v>2011</v>
      </c>
      <c r="AV576">
        <v>57</v>
      </c>
      <c r="AW576">
        <v>204</v>
      </c>
      <c r="AX576" t="s">
        <v>74</v>
      </c>
      <c r="AY576" t="s">
        <v>74</v>
      </c>
      <c r="AZ576" t="s">
        <v>74</v>
      </c>
      <c r="BA576" t="s">
        <v>74</v>
      </c>
      <c r="BB576">
        <v>737</v>
      </c>
      <c r="BC576">
        <v>754</v>
      </c>
      <c r="BD576" t="s">
        <v>74</v>
      </c>
      <c r="BE576" t="s">
        <v>10197</v>
      </c>
      <c r="BF576" t="str">
        <f>HYPERLINK("http://dx.doi.org/10.3189/002214311797409811","http://dx.doi.org/10.3189/002214311797409811")</f>
        <v>http://dx.doi.org/10.3189/002214311797409811</v>
      </c>
      <c r="BG576" t="s">
        <v>74</v>
      </c>
      <c r="BH576" t="s">
        <v>74</v>
      </c>
      <c r="BI576">
        <v>18</v>
      </c>
      <c r="BJ576" t="s">
        <v>222</v>
      </c>
      <c r="BK576" t="s">
        <v>100</v>
      </c>
      <c r="BL576" t="s">
        <v>223</v>
      </c>
      <c r="BM576" t="s">
        <v>3416</v>
      </c>
      <c r="BN576" t="s">
        <v>74</v>
      </c>
      <c r="BO576" t="s">
        <v>375</v>
      </c>
      <c r="BP576" t="s">
        <v>74</v>
      </c>
      <c r="BQ576" t="s">
        <v>74</v>
      </c>
      <c r="BR576" t="s">
        <v>103</v>
      </c>
      <c r="BS576" t="s">
        <v>10198</v>
      </c>
      <c r="BT576" t="str">
        <f>HYPERLINK("https%3A%2F%2Fwww.webofscience.com%2Fwos%2Fwoscc%2Ffull-record%2FWOS:000295019400014","View Full Record in Web of Science")</f>
        <v>View Full Record in Web of Science</v>
      </c>
    </row>
    <row r="577" spans="1:72" x14ac:dyDescent="0.15">
      <c r="A577" t="s">
        <v>72</v>
      </c>
      <c r="B577" t="s">
        <v>10199</v>
      </c>
      <c r="C577" t="s">
        <v>74</v>
      </c>
      <c r="D577" t="s">
        <v>74</v>
      </c>
      <c r="E577" t="s">
        <v>74</v>
      </c>
      <c r="F577" t="s">
        <v>10200</v>
      </c>
      <c r="G577" t="s">
        <v>74</v>
      </c>
      <c r="H577" t="s">
        <v>74</v>
      </c>
      <c r="I577" t="s">
        <v>10201</v>
      </c>
      <c r="J577" t="s">
        <v>3158</v>
      </c>
      <c r="K577" t="s">
        <v>74</v>
      </c>
      <c r="L577" t="s">
        <v>74</v>
      </c>
      <c r="M577" t="s">
        <v>78</v>
      </c>
      <c r="N577" t="s">
        <v>79</v>
      </c>
      <c r="O577" t="s">
        <v>74</v>
      </c>
      <c r="P577" t="s">
        <v>74</v>
      </c>
      <c r="Q577" t="s">
        <v>74</v>
      </c>
      <c r="R577" t="s">
        <v>74</v>
      </c>
      <c r="S577" t="s">
        <v>74</v>
      </c>
      <c r="T577" t="s">
        <v>74</v>
      </c>
      <c r="U577" t="s">
        <v>10202</v>
      </c>
      <c r="V577" t="s">
        <v>10203</v>
      </c>
      <c r="W577" t="s">
        <v>10204</v>
      </c>
      <c r="X577" t="s">
        <v>10205</v>
      </c>
      <c r="Y577" t="s">
        <v>10206</v>
      </c>
      <c r="Z577" t="s">
        <v>10207</v>
      </c>
      <c r="AA577" t="s">
        <v>74</v>
      </c>
      <c r="AB577" t="s">
        <v>10208</v>
      </c>
      <c r="AC577" t="s">
        <v>10209</v>
      </c>
      <c r="AD577" t="s">
        <v>10210</v>
      </c>
      <c r="AE577" t="s">
        <v>10211</v>
      </c>
      <c r="AF577" t="s">
        <v>74</v>
      </c>
      <c r="AG577">
        <v>20</v>
      </c>
      <c r="AH577">
        <v>57</v>
      </c>
      <c r="AI577">
        <v>61</v>
      </c>
      <c r="AJ577">
        <v>0</v>
      </c>
      <c r="AK577">
        <v>9</v>
      </c>
      <c r="AL577" t="s">
        <v>3169</v>
      </c>
      <c r="AM577" t="s">
        <v>2335</v>
      </c>
      <c r="AN577" t="s">
        <v>3170</v>
      </c>
      <c r="AO577" t="s">
        <v>3171</v>
      </c>
      <c r="AP577" t="s">
        <v>74</v>
      </c>
      <c r="AQ577" t="s">
        <v>74</v>
      </c>
      <c r="AR577" t="s">
        <v>3172</v>
      </c>
      <c r="AS577" t="s">
        <v>3173</v>
      </c>
      <c r="AT577" t="s">
        <v>74</v>
      </c>
      <c r="AU577">
        <v>2011</v>
      </c>
      <c r="AV577">
        <v>57</v>
      </c>
      <c r="AW577">
        <v>205</v>
      </c>
      <c r="AX577" t="s">
        <v>74</v>
      </c>
      <c r="AY577" t="s">
        <v>74</v>
      </c>
      <c r="AZ577" t="s">
        <v>74</v>
      </c>
      <c r="BA577" t="s">
        <v>74</v>
      </c>
      <c r="BB577">
        <v>785</v>
      </c>
      <c r="BC577">
        <v>788</v>
      </c>
      <c r="BD577" t="s">
        <v>74</v>
      </c>
      <c r="BE577" t="s">
        <v>10212</v>
      </c>
      <c r="BF577" t="str">
        <f>HYPERLINK("http://dx.doi.org/10.3189/002214311798043681","http://dx.doi.org/10.3189/002214311798043681")</f>
        <v>http://dx.doi.org/10.3189/002214311798043681</v>
      </c>
      <c r="BG577" t="s">
        <v>74</v>
      </c>
      <c r="BH577" t="s">
        <v>74</v>
      </c>
      <c r="BI577">
        <v>4</v>
      </c>
      <c r="BJ577" t="s">
        <v>222</v>
      </c>
      <c r="BK577" t="s">
        <v>100</v>
      </c>
      <c r="BL577" t="s">
        <v>223</v>
      </c>
      <c r="BM577" t="s">
        <v>3175</v>
      </c>
      <c r="BN577" t="s">
        <v>74</v>
      </c>
      <c r="BO577" t="s">
        <v>252</v>
      </c>
      <c r="BP577" t="s">
        <v>74</v>
      </c>
      <c r="BQ577" t="s">
        <v>74</v>
      </c>
      <c r="BR577" t="s">
        <v>103</v>
      </c>
      <c r="BS577" t="s">
        <v>10213</v>
      </c>
      <c r="BT577" t="str">
        <f>HYPERLINK("https%3A%2F%2Fwww.webofscience.com%2Fwos%2Fwoscc%2Ffull-record%2FWOS:000296118700001","View Full Record in Web of Science")</f>
        <v>View Full Record in Web of Science</v>
      </c>
    </row>
    <row r="578" spans="1:72" x14ac:dyDescent="0.15">
      <c r="A578" t="s">
        <v>72</v>
      </c>
      <c r="B578" t="s">
        <v>10214</v>
      </c>
      <c r="C578" t="s">
        <v>74</v>
      </c>
      <c r="D578" t="s">
        <v>74</v>
      </c>
      <c r="E578" t="s">
        <v>74</v>
      </c>
      <c r="F578" t="s">
        <v>10215</v>
      </c>
      <c r="G578" t="s">
        <v>74</v>
      </c>
      <c r="H578" t="s">
        <v>74</v>
      </c>
      <c r="I578" t="s">
        <v>10216</v>
      </c>
      <c r="J578" t="s">
        <v>3158</v>
      </c>
      <c r="K578" t="s">
        <v>74</v>
      </c>
      <c r="L578" t="s">
        <v>74</v>
      </c>
      <c r="M578" t="s">
        <v>78</v>
      </c>
      <c r="N578" t="s">
        <v>79</v>
      </c>
      <c r="O578" t="s">
        <v>74</v>
      </c>
      <c r="P578" t="s">
        <v>74</v>
      </c>
      <c r="Q578" t="s">
        <v>74</v>
      </c>
      <c r="R578" t="s">
        <v>74</v>
      </c>
      <c r="S578" t="s">
        <v>74</v>
      </c>
      <c r="T578" t="s">
        <v>74</v>
      </c>
      <c r="U578" t="s">
        <v>10217</v>
      </c>
      <c r="V578" t="s">
        <v>10218</v>
      </c>
      <c r="W578" t="s">
        <v>10219</v>
      </c>
      <c r="X578" t="s">
        <v>10220</v>
      </c>
      <c r="Y578" t="s">
        <v>10221</v>
      </c>
      <c r="Z578" t="s">
        <v>10222</v>
      </c>
      <c r="AA578" t="s">
        <v>10223</v>
      </c>
      <c r="AB578" t="s">
        <v>10224</v>
      </c>
      <c r="AC578" t="s">
        <v>10225</v>
      </c>
      <c r="AD578" t="s">
        <v>10210</v>
      </c>
      <c r="AE578" t="s">
        <v>10226</v>
      </c>
      <c r="AF578" t="s">
        <v>74</v>
      </c>
      <c r="AG578">
        <v>34</v>
      </c>
      <c r="AH578">
        <v>26</v>
      </c>
      <c r="AI578">
        <v>26</v>
      </c>
      <c r="AJ578">
        <v>0</v>
      </c>
      <c r="AK578">
        <v>26</v>
      </c>
      <c r="AL578" t="s">
        <v>90</v>
      </c>
      <c r="AM578" t="s">
        <v>2335</v>
      </c>
      <c r="AN578" t="s">
        <v>3413</v>
      </c>
      <c r="AO578" t="s">
        <v>3171</v>
      </c>
      <c r="AP578" t="s">
        <v>3414</v>
      </c>
      <c r="AQ578" t="s">
        <v>74</v>
      </c>
      <c r="AR578" t="s">
        <v>3172</v>
      </c>
      <c r="AS578" t="s">
        <v>3173</v>
      </c>
      <c r="AT578" t="s">
        <v>74</v>
      </c>
      <c r="AU578">
        <v>2011</v>
      </c>
      <c r="AV578">
        <v>57</v>
      </c>
      <c r="AW578">
        <v>205</v>
      </c>
      <c r="AX578" t="s">
        <v>74</v>
      </c>
      <c r="AY578" t="s">
        <v>74</v>
      </c>
      <c r="AZ578" t="s">
        <v>74</v>
      </c>
      <c r="BA578" t="s">
        <v>74</v>
      </c>
      <c r="BB578">
        <v>841</v>
      </c>
      <c r="BC578">
        <v>847</v>
      </c>
      <c r="BD578" t="s">
        <v>74</v>
      </c>
      <c r="BE578" t="s">
        <v>10227</v>
      </c>
      <c r="BF578" t="str">
        <f>HYPERLINK("http://dx.doi.org/10.3189/002214311798043708","http://dx.doi.org/10.3189/002214311798043708")</f>
        <v>http://dx.doi.org/10.3189/002214311798043708</v>
      </c>
      <c r="BG578" t="s">
        <v>74</v>
      </c>
      <c r="BH578" t="s">
        <v>74</v>
      </c>
      <c r="BI578">
        <v>7</v>
      </c>
      <c r="BJ578" t="s">
        <v>222</v>
      </c>
      <c r="BK578" t="s">
        <v>100</v>
      </c>
      <c r="BL578" t="s">
        <v>223</v>
      </c>
      <c r="BM578" t="s">
        <v>3175</v>
      </c>
      <c r="BN578" t="s">
        <v>74</v>
      </c>
      <c r="BO578" t="s">
        <v>252</v>
      </c>
      <c r="BP578" t="s">
        <v>74</v>
      </c>
      <c r="BQ578" t="s">
        <v>74</v>
      </c>
      <c r="BR578" t="s">
        <v>103</v>
      </c>
      <c r="BS578" t="s">
        <v>10228</v>
      </c>
      <c r="BT578" t="str">
        <f>HYPERLINK("https%3A%2F%2Fwww.webofscience.com%2Fwos%2Fwoscc%2Ffull-record%2FWOS:000296118700007","View Full Record in Web of Science")</f>
        <v>View Full Record in Web of Science</v>
      </c>
    </row>
    <row r="579" spans="1:72" x14ac:dyDescent="0.15">
      <c r="A579" t="s">
        <v>72</v>
      </c>
      <c r="B579" t="s">
        <v>10229</v>
      </c>
      <c r="C579" t="s">
        <v>74</v>
      </c>
      <c r="D579" t="s">
        <v>74</v>
      </c>
      <c r="E579" t="s">
        <v>74</v>
      </c>
      <c r="F579" t="s">
        <v>10230</v>
      </c>
      <c r="G579" t="s">
        <v>74</v>
      </c>
      <c r="H579" t="s">
        <v>74</v>
      </c>
      <c r="I579" t="s">
        <v>10231</v>
      </c>
      <c r="J579" t="s">
        <v>3158</v>
      </c>
      <c r="K579" t="s">
        <v>74</v>
      </c>
      <c r="L579" t="s">
        <v>74</v>
      </c>
      <c r="M579" t="s">
        <v>78</v>
      </c>
      <c r="N579" t="s">
        <v>79</v>
      </c>
      <c r="O579" t="s">
        <v>74</v>
      </c>
      <c r="P579" t="s">
        <v>74</v>
      </c>
      <c r="Q579" t="s">
        <v>74</v>
      </c>
      <c r="R579" t="s">
        <v>74</v>
      </c>
      <c r="S579" t="s">
        <v>74</v>
      </c>
      <c r="T579" t="s">
        <v>74</v>
      </c>
      <c r="U579" t="s">
        <v>10232</v>
      </c>
      <c r="V579" t="s">
        <v>10233</v>
      </c>
      <c r="W579" t="s">
        <v>10234</v>
      </c>
      <c r="X579" t="s">
        <v>10235</v>
      </c>
      <c r="Y579" t="s">
        <v>10236</v>
      </c>
      <c r="Z579" t="s">
        <v>10237</v>
      </c>
      <c r="AA579" t="s">
        <v>10238</v>
      </c>
      <c r="AB579" t="s">
        <v>10239</v>
      </c>
      <c r="AC579" t="s">
        <v>10240</v>
      </c>
      <c r="AD579" t="s">
        <v>10241</v>
      </c>
      <c r="AE579" t="s">
        <v>10242</v>
      </c>
      <c r="AF579" t="s">
        <v>74</v>
      </c>
      <c r="AG579">
        <v>54</v>
      </c>
      <c r="AH579">
        <v>41</v>
      </c>
      <c r="AI579">
        <v>47</v>
      </c>
      <c r="AJ579">
        <v>0</v>
      </c>
      <c r="AK579">
        <v>22</v>
      </c>
      <c r="AL579" t="s">
        <v>3169</v>
      </c>
      <c r="AM579" t="s">
        <v>2335</v>
      </c>
      <c r="AN579" t="s">
        <v>3170</v>
      </c>
      <c r="AO579" t="s">
        <v>3171</v>
      </c>
      <c r="AP579" t="s">
        <v>74</v>
      </c>
      <c r="AQ579" t="s">
        <v>74</v>
      </c>
      <c r="AR579" t="s">
        <v>3172</v>
      </c>
      <c r="AS579" t="s">
        <v>3173</v>
      </c>
      <c r="AT579" t="s">
        <v>74</v>
      </c>
      <c r="AU579">
        <v>2011</v>
      </c>
      <c r="AV579">
        <v>57</v>
      </c>
      <c r="AW579">
        <v>205</v>
      </c>
      <c r="AX579" t="s">
        <v>74</v>
      </c>
      <c r="AY579" t="s">
        <v>74</v>
      </c>
      <c r="AZ579" t="s">
        <v>74</v>
      </c>
      <c r="BA579" t="s">
        <v>74</v>
      </c>
      <c r="BB579">
        <v>917</v>
      </c>
      <c r="BC579">
        <v>928</v>
      </c>
      <c r="BD579" t="s">
        <v>74</v>
      </c>
      <c r="BE579" t="s">
        <v>10243</v>
      </c>
      <c r="BF579" t="str">
        <f>HYPERLINK("http://dx.doi.org/10.3189/002214311798043780","http://dx.doi.org/10.3189/002214311798043780")</f>
        <v>http://dx.doi.org/10.3189/002214311798043780</v>
      </c>
      <c r="BG579" t="s">
        <v>74</v>
      </c>
      <c r="BH579" t="s">
        <v>74</v>
      </c>
      <c r="BI579">
        <v>12</v>
      </c>
      <c r="BJ579" t="s">
        <v>222</v>
      </c>
      <c r="BK579" t="s">
        <v>100</v>
      </c>
      <c r="BL579" t="s">
        <v>223</v>
      </c>
      <c r="BM579" t="s">
        <v>3175</v>
      </c>
      <c r="BN579" t="s">
        <v>74</v>
      </c>
      <c r="BO579" t="s">
        <v>252</v>
      </c>
      <c r="BP579" t="s">
        <v>74</v>
      </c>
      <c r="BQ579" t="s">
        <v>74</v>
      </c>
      <c r="BR579" t="s">
        <v>103</v>
      </c>
      <c r="BS579" t="s">
        <v>10244</v>
      </c>
      <c r="BT579" t="str">
        <f>HYPERLINK("https%3A%2F%2Fwww.webofscience.com%2Fwos%2Fwoscc%2Ffull-record%2FWOS:000296118700015","View Full Record in Web of Science")</f>
        <v>View Full Record in Web of Science</v>
      </c>
    </row>
    <row r="580" spans="1:72" x14ac:dyDescent="0.15">
      <c r="A580" t="s">
        <v>72</v>
      </c>
      <c r="B580" t="s">
        <v>10245</v>
      </c>
      <c r="C580" t="s">
        <v>74</v>
      </c>
      <c r="D580" t="s">
        <v>74</v>
      </c>
      <c r="E580" t="s">
        <v>74</v>
      </c>
      <c r="F580" t="s">
        <v>10246</v>
      </c>
      <c r="G580" t="s">
        <v>74</v>
      </c>
      <c r="H580" t="s">
        <v>74</v>
      </c>
      <c r="I580" t="s">
        <v>10247</v>
      </c>
      <c r="J580" t="s">
        <v>3158</v>
      </c>
      <c r="K580" t="s">
        <v>74</v>
      </c>
      <c r="L580" t="s">
        <v>74</v>
      </c>
      <c r="M580" t="s">
        <v>78</v>
      </c>
      <c r="N580" t="s">
        <v>79</v>
      </c>
      <c r="O580" t="s">
        <v>74</v>
      </c>
      <c r="P580" t="s">
        <v>74</v>
      </c>
      <c r="Q580" t="s">
        <v>74</v>
      </c>
      <c r="R580" t="s">
        <v>74</v>
      </c>
      <c r="S580" t="s">
        <v>74</v>
      </c>
      <c r="T580" t="s">
        <v>74</v>
      </c>
      <c r="U580" t="s">
        <v>10248</v>
      </c>
      <c r="V580" t="s">
        <v>10249</v>
      </c>
      <c r="W580" t="s">
        <v>10250</v>
      </c>
      <c r="X580" t="s">
        <v>10251</v>
      </c>
      <c r="Y580" t="s">
        <v>10252</v>
      </c>
      <c r="Z580" t="s">
        <v>10253</v>
      </c>
      <c r="AA580" t="s">
        <v>10254</v>
      </c>
      <c r="AB580" t="s">
        <v>10255</v>
      </c>
      <c r="AC580" t="s">
        <v>10256</v>
      </c>
      <c r="AD580" t="s">
        <v>10257</v>
      </c>
      <c r="AE580" t="s">
        <v>10258</v>
      </c>
      <c r="AF580" t="s">
        <v>74</v>
      </c>
      <c r="AG580">
        <v>35</v>
      </c>
      <c r="AH580">
        <v>22</v>
      </c>
      <c r="AI580">
        <v>22</v>
      </c>
      <c r="AJ580">
        <v>0</v>
      </c>
      <c r="AK580">
        <v>9</v>
      </c>
      <c r="AL580" t="s">
        <v>90</v>
      </c>
      <c r="AM580" t="s">
        <v>2335</v>
      </c>
      <c r="AN580" t="s">
        <v>3413</v>
      </c>
      <c r="AO580" t="s">
        <v>3171</v>
      </c>
      <c r="AP580" t="s">
        <v>3414</v>
      </c>
      <c r="AQ580" t="s">
        <v>74</v>
      </c>
      <c r="AR580" t="s">
        <v>3172</v>
      </c>
      <c r="AS580" t="s">
        <v>3173</v>
      </c>
      <c r="AT580" t="s">
        <v>74</v>
      </c>
      <c r="AU580">
        <v>2011</v>
      </c>
      <c r="AV580">
        <v>57</v>
      </c>
      <c r="AW580">
        <v>206</v>
      </c>
      <c r="AX580" t="s">
        <v>74</v>
      </c>
      <c r="AY580" t="s">
        <v>74</v>
      </c>
      <c r="AZ580" t="s">
        <v>74</v>
      </c>
      <c r="BA580" t="s">
        <v>74</v>
      </c>
      <c r="BB580">
        <v>1027</v>
      </c>
      <c r="BC580">
        <v>1032</v>
      </c>
      <c r="BD580" t="s">
        <v>74</v>
      </c>
      <c r="BE580" t="s">
        <v>10259</v>
      </c>
      <c r="BF580" t="str">
        <f>HYPERLINK("http://dx.doi.org/10.3189/002214311798843403","http://dx.doi.org/10.3189/002214311798843403")</f>
        <v>http://dx.doi.org/10.3189/002214311798843403</v>
      </c>
      <c r="BG580" t="s">
        <v>74</v>
      </c>
      <c r="BH580" t="s">
        <v>74</v>
      </c>
      <c r="BI580">
        <v>6</v>
      </c>
      <c r="BJ580" t="s">
        <v>222</v>
      </c>
      <c r="BK580" t="s">
        <v>100</v>
      </c>
      <c r="BL580" t="s">
        <v>223</v>
      </c>
      <c r="BM580" t="s">
        <v>10260</v>
      </c>
      <c r="BN580" t="s">
        <v>74</v>
      </c>
      <c r="BO580" t="s">
        <v>923</v>
      </c>
      <c r="BP580" t="s">
        <v>74</v>
      </c>
      <c r="BQ580" t="s">
        <v>74</v>
      </c>
      <c r="BR580" t="s">
        <v>103</v>
      </c>
      <c r="BS580" t="s">
        <v>10261</v>
      </c>
      <c r="BT580" t="str">
        <f>HYPERLINK("https%3A%2F%2Fwww.webofscience.com%2Fwos%2Fwoscc%2Ffull-record%2FWOS:000298224000004","View Full Record in Web of Science")</f>
        <v>View Full Record in Web of Science</v>
      </c>
    </row>
    <row r="581" spans="1:72" x14ac:dyDescent="0.15">
      <c r="A581" t="s">
        <v>72</v>
      </c>
      <c r="B581" t="s">
        <v>10262</v>
      </c>
      <c r="C581" t="s">
        <v>74</v>
      </c>
      <c r="D581" t="s">
        <v>74</v>
      </c>
      <c r="E581" t="s">
        <v>74</v>
      </c>
      <c r="F581" t="s">
        <v>10263</v>
      </c>
      <c r="G581" t="s">
        <v>74</v>
      </c>
      <c r="H581" t="s">
        <v>74</v>
      </c>
      <c r="I581" t="s">
        <v>10264</v>
      </c>
      <c r="J581" t="s">
        <v>3158</v>
      </c>
      <c r="K581" t="s">
        <v>74</v>
      </c>
      <c r="L581" t="s">
        <v>74</v>
      </c>
      <c r="M581" t="s">
        <v>78</v>
      </c>
      <c r="N581" t="s">
        <v>79</v>
      </c>
      <c r="O581" t="s">
        <v>74</v>
      </c>
      <c r="P581" t="s">
        <v>74</v>
      </c>
      <c r="Q581" t="s">
        <v>74</v>
      </c>
      <c r="R581" t="s">
        <v>74</v>
      </c>
      <c r="S581" t="s">
        <v>74</v>
      </c>
      <c r="T581" t="s">
        <v>74</v>
      </c>
      <c r="U581" t="s">
        <v>10265</v>
      </c>
      <c r="V581" t="s">
        <v>10266</v>
      </c>
      <c r="W581" t="s">
        <v>10267</v>
      </c>
      <c r="X581" t="s">
        <v>10268</v>
      </c>
      <c r="Y581" t="s">
        <v>10269</v>
      </c>
      <c r="Z581" t="s">
        <v>10270</v>
      </c>
      <c r="AA581" t="s">
        <v>74</v>
      </c>
      <c r="AB581" t="s">
        <v>10271</v>
      </c>
      <c r="AC581" t="s">
        <v>10272</v>
      </c>
      <c r="AD581" t="s">
        <v>10273</v>
      </c>
      <c r="AE581" t="s">
        <v>10274</v>
      </c>
      <c r="AF581" t="s">
        <v>74</v>
      </c>
      <c r="AG581">
        <v>37</v>
      </c>
      <c r="AH581">
        <v>8</v>
      </c>
      <c r="AI581">
        <v>10</v>
      </c>
      <c r="AJ581">
        <v>0</v>
      </c>
      <c r="AK581">
        <v>3</v>
      </c>
      <c r="AL581" t="s">
        <v>3169</v>
      </c>
      <c r="AM581" t="s">
        <v>2335</v>
      </c>
      <c r="AN581" t="s">
        <v>3170</v>
      </c>
      <c r="AO581" t="s">
        <v>3171</v>
      </c>
      <c r="AP581" t="s">
        <v>74</v>
      </c>
      <c r="AQ581" t="s">
        <v>74</v>
      </c>
      <c r="AR581" t="s">
        <v>3172</v>
      </c>
      <c r="AS581" t="s">
        <v>3173</v>
      </c>
      <c r="AT581" t="s">
        <v>74</v>
      </c>
      <c r="AU581">
        <v>2011</v>
      </c>
      <c r="AV581">
        <v>57</v>
      </c>
      <c r="AW581">
        <v>206</v>
      </c>
      <c r="AX581" t="s">
        <v>74</v>
      </c>
      <c r="AY581" t="s">
        <v>74</v>
      </c>
      <c r="AZ581" t="s">
        <v>74</v>
      </c>
      <c r="BA581" t="s">
        <v>74</v>
      </c>
      <c r="BB581">
        <v>1119</v>
      </c>
      <c r="BC581">
        <v>1134</v>
      </c>
      <c r="BD581" t="s">
        <v>74</v>
      </c>
      <c r="BE581" t="s">
        <v>10275</v>
      </c>
      <c r="BF581" t="str">
        <f>HYPERLINK("http://dx.doi.org/10.3189/002214311798843340","http://dx.doi.org/10.3189/002214311798843340")</f>
        <v>http://dx.doi.org/10.3189/002214311798843340</v>
      </c>
      <c r="BG581" t="s">
        <v>74</v>
      </c>
      <c r="BH581" t="s">
        <v>74</v>
      </c>
      <c r="BI581">
        <v>16</v>
      </c>
      <c r="BJ581" t="s">
        <v>222</v>
      </c>
      <c r="BK581" t="s">
        <v>100</v>
      </c>
      <c r="BL581" t="s">
        <v>223</v>
      </c>
      <c r="BM581" t="s">
        <v>10260</v>
      </c>
      <c r="BN581" t="s">
        <v>74</v>
      </c>
      <c r="BO581" t="s">
        <v>1744</v>
      </c>
      <c r="BP581" t="s">
        <v>74</v>
      </c>
      <c r="BQ581" t="s">
        <v>74</v>
      </c>
      <c r="BR581" t="s">
        <v>103</v>
      </c>
      <c r="BS581" t="s">
        <v>10276</v>
      </c>
      <c r="BT581" t="str">
        <f>HYPERLINK("https%3A%2F%2Fwww.webofscience.com%2Fwos%2Fwoscc%2Ffull-record%2FWOS:000298224000013","View Full Record in Web of Science")</f>
        <v>View Full Record in Web of Science</v>
      </c>
    </row>
    <row r="582" spans="1:72" x14ac:dyDescent="0.15">
      <c r="A582" t="s">
        <v>72</v>
      </c>
      <c r="B582" t="s">
        <v>10277</v>
      </c>
      <c r="C582" t="s">
        <v>74</v>
      </c>
      <c r="D582" t="s">
        <v>74</v>
      </c>
      <c r="E582" t="s">
        <v>74</v>
      </c>
      <c r="F582" t="s">
        <v>10278</v>
      </c>
      <c r="G582" t="s">
        <v>74</v>
      </c>
      <c r="H582" t="s">
        <v>74</v>
      </c>
      <c r="I582" t="s">
        <v>10279</v>
      </c>
      <c r="J582" t="s">
        <v>3158</v>
      </c>
      <c r="K582" t="s">
        <v>74</v>
      </c>
      <c r="L582" t="s">
        <v>74</v>
      </c>
      <c r="M582" t="s">
        <v>78</v>
      </c>
      <c r="N582" t="s">
        <v>10280</v>
      </c>
      <c r="O582" t="s">
        <v>74</v>
      </c>
      <c r="P582" t="s">
        <v>74</v>
      </c>
      <c r="Q582" t="s">
        <v>74</v>
      </c>
      <c r="R582" t="s">
        <v>74</v>
      </c>
      <c r="S582" t="s">
        <v>74</v>
      </c>
      <c r="T582" t="s">
        <v>74</v>
      </c>
      <c r="U582" t="s">
        <v>10281</v>
      </c>
      <c r="V582" t="s">
        <v>74</v>
      </c>
      <c r="W582" t="s">
        <v>10282</v>
      </c>
      <c r="X582" t="s">
        <v>1386</v>
      </c>
      <c r="Y582" t="s">
        <v>10283</v>
      </c>
      <c r="Z582" t="s">
        <v>74</v>
      </c>
      <c r="AA582" t="s">
        <v>10284</v>
      </c>
      <c r="AB582" t="s">
        <v>10285</v>
      </c>
      <c r="AC582" t="s">
        <v>74</v>
      </c>
      <c r="AD582" t="s">
        <v>74</v>
      </c>
      <c r="AE582" t="s">
        <v>74</v>
      </c>
      <c r="AF582" t="s">
        <v>74</v>
      </c>
      <c r="AG582">
        <v>10</v>
      </c>
      <c r="AH582">
        <v>6</v>
      </c>
      <c r="AI582">
        <v>6</v>
      </c>
      <c r="AJ582">
        <v>0</v>
      </c>
      <c r="AK582">
        <v>7</v>
      </c>
      <c r="AL582" t="s">
        <v>90</v>
      </c>
      <c r="AM582" t="s">
        <v>2335</v>
      </c>
      <c r="AN582" t="s">
        <v>3413</v>
      </c>
      <c r="AO582" t="s">
        <v>3171</v>
      </c>
      <c r="AP582" t="s">
        <v>3414</v>
      </c>
      <c r="AQ582" t="s">
        <v>74</v>
      </c>
      <c r="AR582" t="s">
        <v>3172</v>
      </c>
      <c r="AS582" t="s">
        <v>3173</v>
      </c>
      <c r="AT582" t="s">
        <v>74</v>
      </c>
      <c r="AU582">
        <v>2011</v>
      </c>
      <c r="AV582">
        <v>57</v>
      </c>
      <c r="AW582">
        <v>206</v>
      </c>
      <c r="AX582" t="s">
        <v>74</v>
      </c>
      <c r="AY582" t="s">
        <v>74</v>
      </c>
      <c r="AZ582" t="s">
        <v>74</v>
      </c>
      <c r="BA582" t="s">
        <v>74</v>
      </c>
      <c r="BB582">
        <v>1177</v>
      </c>
      <c r="BC582">
        <v>1178</v>
      </c>
      <c r="BD582" t="s">
        <v>74</v>
      </c>
      <c r="BE582" t="s">
        <v>10286</v>
      </c>
      <c r="BF582" t="str">
        <f>HYPERLINK("http://dx.doi.org/10.3189/002214311798843304","http://dx.doi.org/10.3189/002214311798843304")</f>
        <v>http://dx.doi.org/10.3189/002214311798843304</v>
      </c>
      <c r="BG582" t="s">
        <v>74</v>
      </c>
      <c r="BH582" t="s">
        <v>74</v>
      </c>
      <c r="BI582">
        <v>2</v>
      </c>
      <c r="BJ582" t="s">
        <v>222</v>
      </c>
      <c r="BK582" t="s">
        <v>100</v>
      </c>
      <c r="BL582" t="s">
        <v>223</v>
      </c>
      <c r="BM582" t="s">
        <v>10260</v>
      </c>
      <c r="BN582" t="s">
        <v>74</v>
      </c>
      <c r="BO582" t="s">
        <v>252</v>
      </c>
      <c r="BP582" t="s">
        <v>74</v>
      </c>
      <c r="BQ582" t="s">
        <v>74</v>
      </c>
      <c r="BR582" t="s">
        <v>103</v>
      </c>
      <c r="BS582" t="s">
        <v>10287</v>
      </c>
      <c r="BT582" t="str">
        <f>HYPERLINK("https%3A%2F%2Fwww.webofscience.com%2Fwos%2Fwoscc%2Ffull-record%2FWOS:000298224000017","View Full Record in Web of Science")</f>
        <v>View Full Record in Web of Science</v>
      </c>
    </row>
    <row r="583" spans="1:72" x14ac:dyDescent="0.15">
      <c r="A583" t="s">
        <v>72</v>
      </c>
      <c r="B583" t="s">
        <v>10288</v>
      </c>
      <c r="C583" t="s">
        <v>74</v>
      </c>
      <c r="D583" t="s">
        <v>74</v>
      </c>
      <c r="E583" t="s">
        <v>74</v>
      </c>
      <c r="F583" t="s">
        <v>10289</v>
      </c>
      <c r="G583" t="s">
        <v>74</v>
      </c>
      <c r="H583" t="s">
        <v>74</v>
      </c>
      <c r="I583" t="s">
        <v>10290</v>
      </c>
      <c r="J583" t="s">
        <v>10291</v>
      </c>
      <c r="K583" t="s">
        <v>74</v>
      </c>
      <c r="L583" t="s">
        <v>74</v>
      </c>
      <c r="M583" t="s">
        <v>78</v>
      </c>
      <c r="N583" t="s">
        <v>79</v>
      </c>
      <c r="O583" t="s">
        <v>74</v>
      </c>
      <c r="P583" t="s">
        <v>74</v>
      </c>
      <c r="Q583" t="s">
        <v>74</v>
      </c>
      <c r="R583" t="s">
        <v>74</v>
      </c>
      <c r="S583" t="s">
        <v>74</v>
      </c>
      <c r="T583" t="s">
        <v>10292</v>
      </c>
      <c r="U583" t="s">
        <v>10293</v>
      </c>
      <c r="V583" t="s">
        <v>10294</v>
      </c>
      <c r="W583" t="s">
        <v>10295</v>
      </c>
      <c r="X583" t="s">
        <v>1187</v>
      </c>
      <c r="Y583" t="s">
        <v>1188</v>
      </c>
      <c r="Z583" t="s">
        <v>1189</v>
      </c>
      <c r="AA583" t="s">
        <v>1252</v>
      </c>
      <c r="AB583" t="s">
        <v>10296</v>
      </c>
      <c r="AC583" t="s">
        <v>10297</v>
      </c>
      <c r="AD583" t="s">
        <v>6849</v>
      </c>
      <c r="AE583" t="s">
        <v>10298</v>
      </c>
      <c r="AF583" t="s">
        <v>74</v>
      </c>
      <c r="AG583">
        <v>74</v>
      </c>
      <c r="AH583">
        <v>42</v>
      </c>
      <c r="AI583">
        <v>45</v>
      </c>
      <c r="AJ583">
        <v>0</v>
      </c>
      <c r="AK583">
        <v>16</v>
      </c>
      <c r="AL583" t="s">
        <v>666</v>
      </c>
      <c r="AM583" t="s">
        <v>667</v>
      </c>
      <c r="AN583" t="s">
        <v>668</v>
      </c>
      <c r="AO583" t="s">
        <v>10299</v>
      </c>
      <c r="AP583" t="s">
        <v>10300</v>
      </c>
      <c r="AQ583" t="s">
        <v>74</v>
      </c>
      <c r="AR583" t="s">
        <v>10301</v>
      </c>
      <c r="AS583" t="s">
        <v>10302</v>
      </c>
      <c r="AT583" t="s">
        <v>4305</v>
      </c>
      <c r="AU583">
        <v>2011</v>
      </c>
      <c r="AV583">
        <v>102</v>
      </c>
      <c r="AW583">
        <v>1</v>
      </c>
      <c r="AX583" t="s">
        <v>74</v>
      </c>
      <c r="AY583" t="s">
        <v>74</v>
      </c>
      <c r="AZ583" t="s">
        <v>74</v>
      </c>
      <c r="BA583" t="s">
        <v>74</v>
      </c>
      <c r="BB583">
        <v>55</v>
      </c>
      <c r="BC583">
        <v>66</v>
      </c>
      <c r="BD583" t="s">
        <v>74</v>
      </c>
      <c r="BE583" t="s">
        <v>10303</v>
      </c>
      <c r="BF583" t="str">
        <f>HYPERLINK("http://dx.doi.org/10.1093/jhered/esq094","http://dx.doi.org/10.1093/jhered/esq094")</f>
        <v>http://dx.doi.org/10.1093/jhered/esq094</v>
      </c>
      <c r="BG583" t="s">
        <v>74</v>
      </c>
      <c r="BH583" t="s">
        <v>74</v>
      </c>
      <c r="BI583">
        <v>12</v>
      </c>
      <c r="BJ583" t="s">
        <v>10304</v>
      </c>
      <c r="BK583" t="s">
        <v>100</v>
      </c>
      <c r="BL583" t="s">
        <v>10304</v>
      </c>
      <c r="BM583" t="s">
        <v>10305</v>
      </c>
      <c r="BN583">
        <v>20720149</v>
      </c>
      <c r="BO583" t="s">
        <v>252</v>
      </c>
      <c r="BP583" t="s">
        <v>74</v>
      </c>
      <c r="BQ583" t="s">
        <v>74</v>
      </c>
      <c r="BR583" t="s">
        <v>103</v>
      </c>
      <c r="BS583" t="s">
        <v>10306</v>
      </c>
      <c r="BT583" t="str">
        <f>HYPERLINK("https%3A%2F%2Fwww.webofscience.com%2Fwos%2Fwoscc%2Ffull-record%2FWOS:000285419500007","View Full Record in Web of Science")</f>
        <v>View Full Record in Web of Science</v>
      </c>
    </row>
    <row r="584" spans="1:72" x14ac:dyDescent="0.15">
      <c r="A584" t="s">
        <v>72</v>
      </c>
      <c r="B584" t="s">
        <v>10307</v>
      </c>
      <c r="C584" t="s">
        <v>74</v>
      </c>
      <c r="D584" t="s">
        <v>74</v>
      </c>
      <c r="E584" t="s">
        <v>74</v>
      </c>
      <c r="F584" t="s">
        <v>10308</v>
      </c>
      <c r="G584" t="s">
        <v>74</v>
      </c>
      <c r="H584" t="s">
        <v>74</v>
      </c>
      <c r="I584" t="s">
        <v>10309</v>
      </c>
      <c r="J584" t="s">
        <v>10310</v>
      </c>
      <c r="K584" t="s">
        <v>74</v>
      </c>
      <c r="L584" t="s">
        <v>74</v>
      </c>
      <c r="M584" t="s">
        <v>78</v>
      </c>
      <c r="N584" t="s">
        <v>79</v>
      </c>
      <c r="O584" t="s">
        <v>74</v>
      </c>
      <c r="P584" t="s">
        <v>74</v>
      </c>
      <c r="Q584" t="s">
        <v>74</v>
      </c>
      <c r="R584" t="s">
        <v>74</v>
      </c>
      <c r="S584" t="s">
        <v>74</v>
      </c>
      <c r="T584" t="s">
        <v>10311</v>
      </c>
      <c r="U584" t="s">
        <v>10312</v>
      </c>
      <c r="V584" t="s">
        <v>10313</v>
      </c>
      <c r="W584" t="s">
        <v>10314</v>
      </c>
      <c r="X584" t="s">
        <v>10315</v>
      </c>
      <c r="Y584" t="s">
        <v>10316</v>
      </c>
      <c r="Z584" t="s">
        <v>10317</v>
      </c>
      <c r="AA584" t="s">
        <v>74</v>
      </c>
      <c r="AB584" t="s">
        <v>74</v>
      </c>
      <c r="AC584" t="s">
        <v>74</v>
      </c>
      <c r="AD584" t="s">
        <v>74</v>
      </c>
      <c r="AE584" t="s">
        <v>74</v>
      </c>
      <c r="AF584" t="s">
        <v>74</v>
      </c>
      <c r="AG584">
        <v>63</v>
      </c>
      <c r="AH584">
        <v>20</v>
      </c>
      <c r="AI584">
        <v>22</v>
      </c>
      <c r="AJ584">
        <v>0</v>
      </c>
      <c r="AK584">
        <v>4</v>
      </c>
      <c r="AL584" t="s">
        <v>474</v>
      </c>
      <c r="AM584" t="s">
        <v>475</v>
      </c>
      <c r="AN584" t="s">
        <v>476</v>
      </c>
      <c r="AO584" t="s">
        <v>10318</v>
      </c>
      <c r="AP584" t="s">
        <v>10319</v>
      </c>
      <c r="AQ584" t="s">
        <v>74</v>
      </c>
      <c r="AR584" t="s">
        <v>10320</v>
      </c>
      <c r="AS584" t="s">
        <v>10321</v>
      </c>
      <c r="AT584" t="s">
        <v>74</v>
      </c>
      <c r="AU584">
        <v>2011</v>
      </c>
      <c r="AV584">
        <v>45</v>
      </c>
      <c r="AW584" t="s">
        <v>10322</v>
      </c>
      <c r="AX584" t="s">
        <v>74</v>
      </c>
      <c r="AY584" t="s">
        <v>74</v>
      </c>
      <c r="AZ584" t="s">
        <v>74</v>
      </c>
      <c r="BA584" t="s">
        <v>74</v>
      </c>
      <c r="BB584">
        <v>2259</v>
      </c>
      <c r="BC584">
        <v>2338</v>
      </c>
      <c r="BD584" t="s">
        <v>74</v>
      </c>
      <c r="BE584" t="s">
        <v>10323</v>
      </c>
      <c r="BF584" t="str">
        <f>HYPERLINK("http://dx.doi.org/10.1080/00222933.2011.574922","http://dx.doi.org/10.1080/00222933.2011.574922")</f>
        <v>http://dx.doi.org/10.1080/00222933.2011.574922</v>
      </c>
      <c r="BG584" t="s">
        <v>74</v>
      </c>
      <c r="BH584" t="s">
        <v>74</v>
      </c>
      <c r="BI584">
        <v>80</v>
      </c>
      <c r="BJ584" t="s">
        <v>10324</v>
      </c>
      <c r="BK584" t="s">
        <v>100</v>
      </c>
      <c r="BL584" t="s">
        <v>10325</v>
      </c>
      <c r="BM584" t="s">
        <v>10326</v>
      </c>
      <c r="BN584" t="s">
        <v>74</v>
      </c>
      <c r="BO584" t="s">
        <v>74</v>
      </c>
      <c r="BP584" t="s">
        <v>74</v>
      </c>
      <c r="BQ584" t="s">
        <v>74</v>
      </c>
      <c r="BR584" t="s">
        <v>103</v>
      </c>
      <c r="BS584" t="s">
        <v>10327</v>
      </c>
      <c r="BT584" t="str">
        <f>HYPERLINK("https%3A%2F%2Fwww.webofscience.com%2Fwos%2Fwoscc%2Ffull-record%2FWOS:000293444900001","View Full Record in Web of Science")</f>
        <v>View Full Record in Web of Science</v>
      </c>
    </row>
    <row r="585" spans="1:72" x14ac:dyDescent="0.15">
      <c r="A585" t="s">
        <v>72</v>
      </c>
      <c r="B585" t="s">
        <v>10328</v>
      </c>
      <c r="C585" t="s">
        <v>74</v>
      </c>
      <c r="D585" t="s">
        <v>74</v>
      </c>
      <c r="E585" t="s">
        <v>74</v>
      </c>
      <c r="F585" t="s">
        <v>10329</v>
      </c>
      <c r="G585" t="s">
        <v>74</v>
      </c>
      <c r="H585" t="s">
        <v>74</v>
      </c>
      <c r="I585" t="s">
        <v>10330</v>
      </c>
      <c r="J585" t="s">
        <v>10331</v>
      </c>
      <c r="K585" t="s">
        <v>74</v>
      </c>
      <c r="L585" t="s">
        <v>74</v>
      </c>
      <c r="M585" t="s">
        <v>78</v>
      </c>
      <c r="N585" t="s">
        <v>79</v>
      </c>
      <c r="O585" t="s">
        <v>74</v>
      </c>
      <c r="P585" t="s">
        <v>74</v>
      </c>
      <c r="Q585" t="s">
        <v>74</v>
      </c>
      <c r="R585" t="s">
        <v>74</v>
      </c>
      <c r="S585" t="s">
        <v>74</v>
      </c>
      <c r="T585" t="s">
        <v>10332</v>
      </c>
      <c r="U585" t="s">
        <v>10333</v>
      </c>
      <c r="V585" t="s">
        <v>10334</v>
      </c>
      <c r="W585" t="s">
        <v>10335</v>
      </c>
      <c r="X585" t="s">
        <v>10336</v>
      </c>
      <c r="Y585" t="s">
        <v>10337</v>
      </c>
      <c r="Z585" t="s">
        <v>10338</v>
      </c>
      <c r="AA585" t="s">
        <v>10339</v>
      </c>
      <c r="AB585" t="s">
        <v>10340</v>
      </c>
      <c r="AC585" t="s">
        <v>10341</v>
      </c>
      <c r="AD585" t="s">
        <v>10342</v>
      </c>
      <c r="AE585" t="s">
        <v>10343</v>
      </c>
      <c r="AF585" t="s">
        <v>74</v>
      </c>
      <c r="AG585">
        <v>26</v>
      </c>
      <c r="AH585">
        <v>4</v>
      </c>
      <c r="AI585">
        <v>4</v>
      </c>
      <c r="AJ585">
        <v>0</v>
      </c>
      <c r="AK585">
        <v>7</v>
      </c>
      <c r="AL585" t="s">
        <v>270</v>
      </c>
      <c r="AM585" t="s">
        <v>91</v>
      </c>
      <c r="AN585" t="s">
        <v>320</v>
      </c>
      <c r="AO585" t="s">
        <v>10344</v>
      </c>
      <c r="AP585" t="s">
        <v>74</v>
      </c>
      <c r="AQ585" t="s">
        <v>74</v>
      </c>
      <c r="AR585" t="s">
        <v>10345</v>
      </c>
      <c r="AS585" t="s">
        <v>10346</v>
      </c>
      <c r="AT585" t="s">
        <v>3935</v>
      </c>
      <c r="AU585">
        <v>2011</v>
      </c>
      <c r="AV585">
        <v>152</v>
      </c>
      <c r="AW585">
        <v>1</v>
      </c>
      <c r="AX585" t="s">
        <v>74</v>
      </c>
      <c r="AY585" t="s">
        <v>74</v>
      </c>
      <c r="AZ585" t="s">
        <v>74</v>
      </c>
      <c r="BA585" t="s">
        <v>74</v>
      </c>
      <c r="BB585">
        <v>137</v>
      </c>
      <c r="BC585">
        <v>142</v>
      </c>
      <c r="BD585" t="s">
        <v>74</v>
      </c>
      <c r="BE585" t="s">
        <v>10347</v>
      </c>
      <c r="BF585" t="str">
        <f>HYPERLINK("http://dx.doi.org/10.1007/s10336-010-0558-0","http://dx.doi.org/10.1007/s10336-010-0558-0")</f>
        <v>http://dx.doi.org/10.1007/s10336-010-0558-0</v>
      </c>
      <c r="BG585" t="s">
        <v>74</v>
      </c>
      <c r="BH585" t="s">
        <v>74</v>
      </c>
      <c r="BI585">
        <v>6</v>
      </c>
      <c r="BJ585" t="s">
        <v>673</v>
      </c>
      <c r="BK585" t="s">
        <v>100</v>
      </c>
      <c r="BL585" t="s">
        <v>674</v>
      </c>
      <c r="BM585" t="s">
        <v>10348</v>
      </c>
      <c r="BN585" t="s">
        <v>74</v>
      </c>
      <c r="BO585" t="s">
        <v>74</v>
      </c>
      <c r="BP585" t="s">
        <v>74</v>
      </c>
      <c r="BQ585" t="s">
        <v>74</v>
      </c>
      <c r="BR585" t="s">
        <v>103</v>
      </c>
      <c r="BS585" t="s">
        <v>10349</v>
      </c>
      <c r="BT585" t="str">
        <f>HYPERLINK("https%3A%2F%2Fwww.webofscience.com%2Fwos%2Fwoscc%2Ffull-record%2FWOS:000285783900016","View Full Record in Web of Science")</f>
        <v>View Full Record in Web of Science</v>
      </c>
    </row>
    <row r="586" spans="1:72" x14ac:dyDescent="0.15">
      <c r="A586" t="s">
        <v>72</v>
      </c>
      <c r="B586" t="s">
        <v>10350</v>
      </c>
      <c r="C586" t="s">
        <v>74</v>
      </c>
      <c r="D586" t="s">
        <v>74</v>
      </c>
      <c r="E586" t="s">
        <v>74</v>
      </c>
      <c r="F586" t="s">
        <v>10351</v>
      </c>
      <c r="G586" t="s">
        <v>74</v>
      </c>
      <c r="H586" t="s">
        <v>74</v>
      </c>
      <c r="I586" t="s">
        <v>10352</v>
      </c>
      <c r="J586" t="s">
        <v>10353</v>
      </c>
      <c r="K586" t="s">
        <v>74</v>
      </c>
      <c r="L586" t="s">
        <v>74</v>
      </c>
      <c r="M586" t="s">
        <v>78</v>
      </c>
      <c r="N586" t="s">
        <v>79</v>
      </c>
      <c r="O586" t="s">
        <v>74</v>
      </c>
      <c r="P586" t="s">
        <v>74</v>
      </c>
      <c r="Q586" t="s">
        <v>74</v>
      </c>
      <c r="R586" t="s">
        <v>74</v>
      </c>
      <c r="S586" t="s">
        <v>74</v>
      </c>
      <c r="T586" t="s">
        <v>74</v>
      </c>
      <c r="U586" t="s">
        <v>10354</v>
      </c>
      <c r="V586" t="s">
        <v>10355</v>
      </c>
      <c r="W586" t="s">
        <v>10356</v>
      </c>
      <c r="X586" t="s">
        <v>10357</v>
      </c>
      <c r="Y586" t="s">
        <v>10358</v>
      </c>
      <c r="Z586" t="s">
        <v>10359</v>
      </c>
      <c r="AA586" t="s">
        <v>10360</v>
      </c>
      <c r="AB586" t="s">
        <v>74</v>
      </c>
      <c r="AC586" t="s">
        <v>10361</v>
      </c>
      <c r="AD586" t="s">
        <v>10362</v>
      </c>
      <c r="AE586" t="s">
        <v>10363</v>
      </c>
      <c r="AF586" t="s">
        <v>74</v>
      </c>
      <c r="AG586">
        <v>82</v>
      </c>
      <c r="AH586">
        <v>14</v>
      </c>
      <c r="AI586">
        <v>15</v>
      </c>
      <c r="AJ586">
        <v>0</v>
      </c>
      <c r="AK586">
        <v>6</v>
      </c>
      <c r="AL586" t="s">
        <v>90</v>
      </c>
      <c r="AM586" t="s">
        <v>91</v>
      </c>
      <c r="AN586" t="s">
        <v>92</v>
      </c>
      <c r="AO586" t="s">
        <v>10364</v>
      </c>
      <c r="AP586" t="s">
        <v>10365</v>
      </c>
      <c r="AQ586" t="s">
        <v>74</v>
      </c>
      <c r="AR586" t="s">
        <v>10366</v>
      </c>
      <c r="AS586" t="s">
        <v>10367</v>
      </c>
      <c r="AT586" t="s">
        <v>3935</v>
      </c>
      <c r="AU586">
        <v>2011</v>
      </c>
      <c r="AV586">
        <v>85</v>
      </c>
      <c r="AW586">
        <v>1</v>
      </c>
      <c r="AX586" t="s">
        <v>74</v>
      </c>
      <c r="AY586" t="s">
        <v>74</v>
      </c>
      <c r="AZ586" t="s">
        <v>74</v>
      </c>
      <c r="BA586" t="s">
        <v>74</v>
      </c>
      <c r="BB586">
        <v>48</v>
      </c>
      <c r="BC586">
        <v>57</v>
      </c>
      <c r="BD586" t="s">
        <v>74</v>
      </c>
      <c r="BE586" t="s">
        <v>10368</v>
      </c>
      <c r="BF586" t="str">
        <f>HYPERLINK("http://dx.doi.org/10.1666/10-069.1","http://dx.doi.org/10.1666/10-069.1")</f>
        <v>http://dx.doi.org/10.1666/10-069.1</v>
      </c>
      <c r="BG586" t="s">
        <v>74</v>
      </c>
      <c r="BH586" t="s">
        <v>74</v>
      </c>
      <c r="BI586">
        <v>10</v>
      </c>
      <c r="BJ586" t="s">
        <v>5596</v>
      </c>
      <c r="BK586" t="s">
        <v>100</v>
      </c>
      <c r="BL586" t="s">
        <v>5596</v>
      </c>
      <c r="BM586" t="s">
        <v>10369</v>
      </c>
      <c r="BN586" t="s">
        <v>74</v>
      </c>
      <c r="BO586" t="s">
        <v>74</v>
      </c>
      <c r="BP586" t="s">
        <v>74</v>
      </c>
      <c r="BQ586" t="s">
        <v>74</v>
      </c>
      <c r="BR586" t="s">
        <v>103</v>
      </c>
      <c r="BS586" t="s">
        <v>10370</v>
      </c>
      <c r="BT586" t="str">
        <f>HYPERLINK("https%3A%2F%2Fwww.webofscience.com%2Fwos%2Fwoscc%2Ffull-record%2FWOS:000286348100006","View Full Record in Web of Science")</f>
        <v>View Full Record in Web of Science</v>
      </c>
    </row>
    <row r="587" spans="1:72" x14ac:dyDescent="0.15">
      <c r="A587" t="s">
        <v>72</v>
      </c>
      <c r="B587" t="s">
        <v>10371</v>
      </c>
      <c r="C587" t="s">
        <v>74</v>
      </c>
      <c r="D587" t="s">
        <v>74</v>
      </c>
      <c r="E587" t="s">
        <v>74</v>
      </c>
      <c r="F587" t="s">
        <v>10372</v>
      </c>
      <c r="G587" t="s">
        <v>74</v>
      </c>
      <c r="H587" t="s">
        <v>74</v>
      </c>
      <c r="I587" t="s">
        <v>10373</v>
      </c>
      <c r="J587" t="s">
        <v>1138</v>
      </c>
      <c r="K587" t="s">
        <v>74</v>
      </c>
      <c r="L587" t="s">
        <v>74</v>
      </c>
      <c r="M587" t="s">
        <v>78</v>
      </c>
      <c r="N587" t="s">
        <v>79</v>
      </c>
      <c r="O587" t="s">
        <v>74</v>
      </c>
      <c r="P587" t="s">
        <v>74</v>
      </c>
      <c r="Q587" t="s">
        <v>74</v>
      </c>
      <c r="R587" t="s">
        <v>74</v>
      </c>
      <c r="S587" t="s">
        <v>74</v>
      </c>
      <c r="T587" t="s">
        <v>74</v>
      </c>
      <c r="U587" t="s">
        <v>10374</v>
      </c>
      <c r="V587" t="s">
        <v>10375</v>
      </c>
      <c r="W587" t="s">
        <v>10376</v>
      </c>
      <c r="X587" t="s">
        <v>10377</v>
      </c>
      <c r="Y587" t="s">
        <v>10378</v>
      </c>
      <c r="Z587" t="s">
        <v>10379</v>
      </c>
      <c r="AA587" t="s">
        <v>10380</v>
      </c>
      <c r="AB587" t="s">
        <v>10381</v>
      </c>
      <c r="AC587" t="s">
        <v>10382</v>
      </c>
      <c r="AD587" t="s">
        <v>10383</v>
      </c>
      <c r="AE587" t="s">
        <v>10384</v>
      </c>
      <c r="AF587" t="s">
        <v>74</v>
      </c>
      <c r="AG587">
        <v>41</v>
      </c>
      <c r="AH587">
        <v>17</v>
      </c>
      <c r="AI587">
        <v>19</v>
      </c>
      <c r="AJ587">
        <v>0</v>
      </c>
      <c r="AK587">
        <v>11</v>
      </c>
      <c r="AL587" t="s">
        <v>1018</v>
      </c>
      <c r="AM587" t="s">
        <v>1019</v>
      </c>
      <c r="AN587" t="s">
        <v>1020</v>
      </c>
      <c r="AO587" t="s">
        <v>1151</v>
      </c>
      <c r="AP587" t="s">
        <v>74</v>
      </c>
      <c r="AQ587" t="s">
        <v>74</v>
      </c>
      <c r="AR587" t="s">
        <v>1153</v>
      </c>
      <c r="AS587" t="s">
        <v>1154</v>
      </c>
      <c r="AT587" t="s">
        <v>3935</v>
      </c>
      <c r="AU587">
        <v>2011</v>
      </c>
      <c r="AV587">
        <v>41</v>
      </c>
      <c r="AW587">
        <v>1</v>
      </c>
      <c r="AX587" t="s">
        <v>74</v>
      </c>
      <c r="AY587" t="s">
        <v>74</v>
      </c>
      <c r="AZ587" t="s">
        <v>74</v>
      </c>
      <c r="BA587" t="s">
        <v>74</v>
      </c>
      <c r="BB587">
        <v>130</v>
      </c>
      <c r="BC587">
        <v>144</v>
      </c>
      <c r="BD587" t="s">
        <v>74</v>
      </c>
      <c r="BE587" t="s">
        <v>10385</v>
      </c>
      <c r="BF587" t="str">
        <f>HYPERLINK("http://dx.doi.org/10.1175/2010JPO4429.1","http://dx.doi.org/10.1175/2010JPO4429.1")</f>
        <v>http://dx.doi.org/10.1175/2010JPO4429.1</v>
      </c>
      <c r="BG587" t="s">
        <v>74</v>
      </c>
      <c r="BH587" t="s">
        <v>74</v>
      </c>
      <c r="BI587">
        <v>15</v>
      </c>
      <c r="BJ587" t="s">
        <v>250</v>
      </c>
      <c r="BK587" t="s">
        <v>100</v>
      </c>
      <c r="BL587" t="s">
        <v>250</v>
      </c>
      <c r="BM587" t="s">
        <v>10386</v>
      </c>
      <c r="BN587" t="s">
        <v>74</v>
      </c>
      <c r="BO587" t="s">
        <v>1696</v>
      </c>
      <c r="BP587" t="s">
        <v>74</v>
      </c>
      <c r="BQ587" t="s">
        <v>74</v>
      </c>
      <c r="BR587" t="s">
        <v>103</v>
      </c>
      <c r="BS587" t="s">
        <v>10387</v>
      </c>
      <c r="BT587" t="str">
        <f>HYPERLINK("https%3A%2F%2Fwww.webofscience.com%2Fwos%2Fwoscc%2Ffull-record%2FWOS:000287222200007","View Full Record in Web of Science")</f>
        <v>View Full Record in Web of Science</v>
      </c>
    </row>
    <row r="588" spans="1:72" x14ac:dyDescent="0.15">
      <c r="A588" t="s">
        <v>72</v>
      </c>
      <c r="B588" t="s">
        <v>10388</v>
      </c>
      <c r="C588" t="s">
        <v>74</v>
      </c>
      <c r="D588" t="s">
        <v>74</v>
      </c>
      <c r="E588" t="s">
        <v>74</v>
      </c>
      <c r="F588" t="s">
        <v>10389</v>
      </c>
      <c r="G588" t="s">
        <v>74</v>
      </c>
      <c r="H588" t="s">
        <v>74</v>
      </c>
      <c r="I588" t="s">
        <v>10390</v>
      </c>
      <c r="J588" t="s">
        <v>1138</v>
      </c>
      <c r="K588" t="s">
        <v>74</v>
      </c>
      <c r="L588" t="s">
        <v>74</v>
      </c>
      <c r="M588" t="s">
        <v>78</v>
      </c>
      <c r="N588" t="s">
        <v>79</v>
      </c>
      <c r="O588" t="s">
        <v>74</v>
      </c>
      <c r="P588" t="s">
        <v>74</v>
      </c>
      <c r="Q588" t="s">
        <v>74</v>
      </c>
      <c r="R588" t="s">
        <v>74</v>
      </c>
      <c r="S588" t="s">
        <v>74</v>
      </c>
      <c r="T588" t="s">
        <v>74</v>
      </c>
      <c r="U588" t="s">
        <v>10391</v>
      </c>
      <c r="V588" t="s">
        <v>10392</v>
      </c>
      <c r="W588" t="s">
        <v>10393</v>
      </c>
      <c r="X588" t="s">
        <v>10394</v>
      </c>
      <c r="Y588" t="s">
        <v>10395</v>
      </c>
      <c r="Z588" t="s">
        <v>10396</v>
      </c>
      <c r="AA588" t="s">
        <v>10397</v>
      </c>
      <c r="AB588" t="s">
        <v>10398</v>
      </c>
      <c r="AC588" t="s">
        <v>10399</v>
      </c>
      <c r="AD588" t="s">
        <v>10400</v>
      </c>
      <c r="AE588" t="s">
        <v>10401</v>
      </c>
      <c r="AF588" t="s">
        <v>74</v>
      </c>
      <c r="AG588">
        <v>34</v>
      </c>
      <c r="AH588">
        <v>20</v>
      </c>
      <c r="AI588">
        <v>20</v>
      </c>
      <c r="AJ588">
        <v>3</v>
      </c>
      <c r="AK588">
        <v>20</v>
      </c>
      <c r="AL588" t="s">
        <v>1018</v>
      </c>
      <c r="AM588" t="s">
        <v>1019</v>
      </c>
      <c r="AN588" t="s">
        <v>1020</v>
      </c>
      <c r="AO588" t="s">
        <v>1151</v>
      </c>
      <c r="AP588" t="s">
        <v>1152</v>
      </c>
      <c r="AQ588" t="s">
        <v>74</v>
      </c>
      <c r="AR588" t="s">
        <v>1153</v>
      </c>
      <c r="AS588" t="s">
        <v>1154</v>
      </c>
      <c r="AT588" t="s">
        <v>3935</v>
      </c>
      <c r="AU588">
        <v>2011</v>
      </c>
      <c r="AV588">
        <v>41</v>
      </c>
      <c r="AW588">
        <v>1</v>
      </c>
      <c r="AX588" t="s">
        <v>74</v>
      </c>
      <c r="AY588" t="s">
        <v>74</v>
      </c>
      <c r="AZ588" t="s">
        <v>74</v>
      </c>
      <c r="BA588" t="s">
        <v>74</v>
      </c>
      <c r="BB588">
        <v>157</v>
      </c>
      <c r="BC588">
        <v>165</v>
      </c>
      <c r="BD588" t="s">
        <v>74</v>
      </c>
      <c r="BE588" t="s">
        <v>10402</v>
      </c>
      <c r="BF588" t="str">
        <f>HYPERLINK("http://dx.doi.org/10.1175/2010JPO4467.1","http://dx.doi.org/10.1175/2010JPO4467.1")</f>
        <v>http://dx.doi.org/10.1175/2010JPO4467.1</v>
      </c>
      <c r="BG588" t="s">
        <v>74</v>
      </c>
      <c r="BH588" t="s">
        <v>74</v>
      </c>
      <c r="BI588">
        <v>9</v>
      </c>
      <c r="BJ588" t="s">
        <v>250</v>
      </c>
      <c r="BK588" t="s">
        <v>100</v>
      </c>
      <c r="BL588" t="s">
        <v>250</v>
      </c>
      <c r="BM588" t="s">
        <v>10386</v>
      </c>
      <c r="BN588" t="s">
        <v>74</v>
      </c>
      <c r="BO588" t="s">
        <v>9686</v>
      </c>
      <c r="BP588" t="s">
        <v>74</v>
      </c>
      <c r="BQ588" t="s">
        <v>74</v>
      </c>
      <c r="BR588" t="s">
        <v>103</v>
      </c>
      <c r="BS588" t="s">
        <v>10403</v>
      </c>
      <c r="BT588" t="str">
        <f>HYPERLINK("https%3A%2F%2Fwww.webofscience.com%2Fwos%2Fwoscc%2Ffull-record%2FWOS:000287222200009","View Full Record in Web of Science")</f>
        <v>View Full Record in Web of Science</v>
      </c>
    </row>
    <row r="589" spans="1:72" x14ac:dyDescent="0.15">
      <c r="A589" t="s">
        <v>72</v>
      </c>
      <c r="B589" t="s">
        <v>10404</v>
      </c>
      <c r="C589" t="s">
        <v>74</v>
      </c>
      <c r="D589" t="s">
        <v>74</v>
      </c>
      <c r="E589" t="s">
        <v>74</v>
      </c>
      <c r="F589" t="s">
        <v>10405</v>
      </c>
      <c r="G589" t="s">
        <v>74</v>
      </c>
      <c r="H589" t="s">
        <v>74</v>
      </c>
      <c r="I589" t="s">
        <v>10406</v>
      </c>
      <c r="J589" t="s">
        <v>1138</v>
      </c>
      <c r="K589" t="s">
        <v>74</v>
      </c>
      <c r="L589" t="s">
        <v>74</v>
      </c>
      <c r="M589" t="s">
        <v>78</v>
      </c>
      <c r="N589" t="s">
        <v>79</v>
      </c>
      <c r="O589" t="s">
        <v>74</v>
      </c>
      <c r="P589" t="s">
        <v>74</v>
      </c>
      <c r="Q589" t="s">
        <v>74</v>
      </c>
      <c r="R589" t="s">
        <v>74</v>
      </c>
      <c r="S589" t="s">
        <v>74</v>
      </c>
      <c r="T589" t="s">
        <v>74</v>
      </c>
      <c r="U589" t="s">
        <v>10407</v>
      </c>
      <c r="V589" t="s">
        <v>10408</v>
      </c>
      <c r="W589" t="s">
        <v>10409</v>
      </c>
      <c r="X589" t="s">
        <v>10410</v>
      </c>
      <c r="Y589" t="s">
        <v>10411</v>
      </c>
      <c r="Z589" t="s">
        <v>10412</v>
      </c>
      <c r="AA589" t="s">
        <v>74</v>
      </c>
      <c r="AB589" t="s">
        <v>10413</v>
      </c>
      <c r="AC589" t="s">
        <v>10414</v>
      </c>
      <c r="AD589" t="s">
        <v>10415</v>
      </c>
      <c r="AE589" t="s">
        <v>10416</v>
      </c>
      <c r="AF589" t="s">
        <v>74</v>
      </c>
      <c r="AG589">
        <v>35</v>
      </c>
      <c r="AH589">
        <v>91</v>
      </c>
      <c r="AI589">
        <v>105</v>
      </c>
      <c r="AJ589">
        <v>1</v>
      </c>
      <c r="AK589">
        <v>28</v>
      </c>
      <c r="AL589" t="s">
        <v>1018</v>
      </c>
      <c r="AM589" t="s">
        <v>1019</v>
      </c>
      <c r="AN589" t="s">
        <v>1020</v>
      </c>
      <c r="AO589" t="s">
        <v>1151</v>
      </c>
      <c r="AP589" t="s">
        <v>74</v>
      </c>
      <c r="AQ589" t="s">
        <v>74</v>
      </c>
      <c r="AR589" t="s">
        <v>1153</v>
      </c>
      <c r="AS589" t="s">
        <v>1154</v>
      </c>
      <c r="AT589" t="s">
        <v>3935</v>
      </c>
      <c r="AU589">
        <v>2011</v>
      </c>
      <c r="AV589">
        <v>41</v>
      </c>
      <c r="AW589">
        <v>1</v>
      </c>
      <c r="AX589" t="s">
        <v>74</v>
      </c>
      <c r="AY589" t="s">
        <v>74</v>
      </c>
      <c r="AZ589" t="s">
        <v>74</v>
      </c>
      <c r="BA589" t="s">
        <v>74</v>
      </c>
      <c r="BB589">
        <v>241</v>
      </c>
      <c r="BC589">
        <v>246</v>
      </c>
      <c r="BD589" t="s">
        <v>74</v>
      </c>
      <c r="BE589" t="s">
        <v>10417</v>
      </c>
      <c r="BF589" t="str">
        <f>HYPERLINK("http://dx.doi.org/10.1175/2010JPO4557.1","http://dx.doi.org/10.1175/2010JPO4557.1")</f>
        <v>http://dx.doi.org/10.1175/2010JPO4557.1</v>
      </c>
      <c r="BG589" t="s">
        <v>74</v>
      </c>
      <c r="BH589" t="s">
        <v>74</v>
      </c>
      <c r="BI589">
        <v>6</v>
      </c>
      <c r="BJ589" t="s">
        <v>250</v>
      </c>
      <c r="BK589" t="s">
        <v>100</v>
      </c>
      <c r="BL589" t="s">
        <v>250</v>
      </c>
      <c r="BM589" t="s">
        <v>10386</v>
      </c>
      <c r="BN589" t="s">
        <v>74</v>
      </c>
      <c r="BO589" t="s">
        <v>3320</v>
      </c>
      <c r="BP589" t="s">
        <v>74</v>
      </c>
      <c r="BQ589" t="s">
        <v>74</v>
      </c>
      <c r="BR589" t="s">
        <v>103</v>
      </c>
      <c r="BS589" t="s">
        <v>10418</v>
      </c>
      <c r="BT589" t="str">
        <f>HYPERLINK("https%3A%2F%2Fwww.webofscience.com%2Fwos%2Fwoscc%2Ffull-record%2FWOS:000287222200015","View Full Record in Web of Science")</f>
        <v>View Full Record in Web of Science</v>
      </c>
    </row>
    <row r="590" spans="1:72" x14ac:dyDescent="0.15">
      <c r="A590" t="s">
        <v>72</v>
      </c>
      <c r="B590" t="s">
        <v>10419</v>
      </c>
      <c r="C590" t="s">
        <v>74</v>
      </c>
      <c r="D590" t="s">
        <v>74</v>
      </c>
      <c r="E590" t="s">
        <v>74</v>
      </c>
      <c r="F590" t="s">
        <v>10420</v>
      </c>
      <c r="G590" t="s">
        <v>74</v>
      </c>
      <c r="H590" t="s">
        <v>74</v>
      </c>
      <c r="I590" t="s">
        <v>10421</v>
      </c>
      <c r="J590" t="s">
        <v>10422</v>
      </c>
      <c r="K590" t="s">
        <v>74</v>
      </c>
      <c r="L590" t="s">
        <v>74</v>
      </c>
      <c r="M590" t="s">
        <v>78</v>
      </c>
      <c r="N590" t="s">
        <v>79</v>
      </c>
      <c r="O590" t="s">
        <v>74</v>
      </c>
      <c r="P590" t="s">
        <v>74</v>
      </c>
      <c r="Q590" t="s">
        <v>74</v>
      </c>
      <c r="R590" t="s">
        <v>74</v>
      </c>
      <c r="S590" t="s">
        <v>74</v>
      </c>
      <c r="T590" t="s">
        <v>10423</v>
      </c>
      <c r="U590" t="s">
        <v>10424</v>
      </c>
      <c r="V590" t="s">
        <v>10425</v>
      </c>
      <c r="W590" t="s">
        <v>10426</v>
      </c>
      <c r="X590" t="s">
        <v>1386</v>
      </c>
      <c r="Y590" t="s">
        <v>10427</v>
      </c>
      <c r="Z590" t="s">
        <v>10428</v>
      </c>
      <c r="AA590" t="s">
        <v>74</v>
      </c>
      <c r="AB590" t="s">
        <v>74</v>
      </c>
      <c r="AC590" t="s">
        <v>10429</v>
      </c>
      <c r="AD590" t="s">
        <v>10430</v>
      </c>
      <c r="AE590" t="s">
        <v>10431</v>
      </c>
      <c r="AF590" t="s">
        <v>74</v>
      </c>
      <c r="AG590">
        <v>56</v>
      </c>
      <c r="AH590">
        <v>29</v>
      </c>
      <c r="AI590">
        <v>32</v>
      </c>
      <c r="AJ590">
        <v>2</v>
      </c>
      <c r="AK590">
        <v>20</v>
      </c>
      <c r="AL590" t="s">
        <v>9146</v>
      </c>
      <c r="AM590" t="s">
        <v>719</v>
      </c>
      <c r="AN590" t="s">
        <v>9147</v>
      </c>
      <c r="AO590" t="s">
        <v>10432</v>
      </c>
      <c r="AP590" t="s">
        <v>10433</v>
      </c>
      <c r="AQ590" t="s">
        <v>74</v>
      </c>
      <c r="AR590" t="s">
        <v>10434</v>
      </c>
      <c r="AS590" t="s">
        <v>10435</v>
      </c>
      <c r="AT590" t="s">
        <v>3935</v>
      </c>
      <c r="AU590">
        <v>2011</v>
      </c>
      <c r="AV590">
        <v>33</v>
      </c>
      <c r="AW590">
        <v>1</v>
      </c>
      <c r="AX590" t="s">
        <v>74</v>
      </c>
      <c r="AY590" t="s">
        <v>74</v>
      </c>
      <c r="AZ590" t="s">
        <v>74</v>
      </c>
      <c r="BA590" t="s">
        <v>74</v>
      </c>
      <c r="BB590">
        <v>105</v>
      </c>
      <c r="BC590">
        <v>118</v>
      </c>
      <c r="BD590" t="s">
        <v>74</v>
      </c>
      <c r="BE590" t="s">
        <v>10436</v>
      </c>
      <c r="BF590" t="str">
        <f>HYPERLINK("http://dx.doi.org/10.1093/plankt/fbq089","http://dx.doi.org/10.1093/plankt/fbq089")</f>
        <v>http://dx.doi.org/10.1093/plankt/fbq089</v>
      </c>
      <c r="BG590" t="s">
        <v>74</v>
      </c>
      <c r="BH590" t="s">
        <v>74</v>
      </c>
      <c r="BI590">
        <v>14</v>
      </c>
      <c r="BJ590" t="s">
        <v>3751</v>
      </c>
      <c r="BK590" t="s">
        <v>100</v>
      </c>
      <c r="BL590" t="s">
        <v>3751</v>
      </c>
      <c r="BM590" t="s">
        <v>10437</v>
      </c>
      <c r="BN590" t="s">
        <v>74</v>
      </c>
      <c r="BO590" t="s">
        <v>252</v>
      </c>
      <c r="BP590" t="s">
        <v>74</v>
      </c>
      <c r="BQ590" t="s">
        <v>74</v>
      </c>
      <c r="BR590" t="s">
        <v>103</v>
      </c>
      <c r="BS590" t="s">
        <v>10438</v>
      </c>
      <c r="BT590" t="str">
        <f>HYPERLINK("https%3A%2F%2Fwww.webofscience.com%2Fwos%2Fwoscc%2Ffull-record%2FWOS:000284948600009","View Full Record in Web of Science")</f>
        <v>View Full Record in Web of Science</v>
      </c>
    </row>
    <row r="591" spans="1:72" x14ac:dyDescent="0.15">
      <c r="A591" t="s">
        <v>72</v>
      </c>
      <c r="B591" t="s">
        <v>10439</v>
      </c>
      <c r="C591" t="s">
        <v>74</v>
      </c>
      <c r="D591" t="s">
        <v>74</v>
      </c>
      <c r="E591" t="s">
        <v>74</v>
      </c>
      <c r="F591" t="s">
        <v>10440</v>
      </c>
      <c r="G591" t="s">
        <v>74</v>
      </c>
      <c r="H591" t="s">
        <v>74</v>
      </c>
      <c r="I591" t="s">
        <v>10441</v>
      </c>
      <c r="J591" t="s">
        <v>10442</v>
      </c>
      <c r="K591" t="s">
        <v>74</v>
      </c>
      <c r="L591" t="s">
        <v>74</v>
      </c>
      <c r="M591" t="s">
        <v>78</v>
      </c>
      <c r="N591" t="s">
        <v>79</v>
      </c>
      <c r="O591" t="s">
        <v>74</v>
      </c>
      <c r="P591" t="s">
        <v>74</v>
      </c>
      <c r="Q591" t="s">
        <v>74</v>
      </c>
      <c r="R591" t="s">
        <v>74</v>
      </c>
      <c r="S591" t="s">
        <v>74</v>
      </c>
      <c r="T591" t="s">
        <v>74</v>
      </c>
      <c r="U591" t="s">
        <v>10443</v>
      </c>
      <c r="V591" t="s">
        <v>10444</v>
      </c>
      <c r="W591" t="s">
        <v>10445</v>
      </c>
      <c r="X591" t="s">
        <v>7299</v>
      </c>
      <c r="Y591" t="s">
        <v>10446</v>
      </c>
      <c r="Z591" t="s">
        <v>10447</v>
      </c>
      <c r="AA591" t="s">
        <v>74</v>
      </c>
      <c r="AB591" t="s">
        <v>10448</v>
      </c>
      <c r="AC591" t="s">
        <v>74</v>
      </c>
      <c r="AD591" t="s">
        <v>74</v>
      </c>
      <c r="AE591" t="s">
        <v>74</v>
      </c>
      <c r="AF591" t="s">
        <v>74</v>
      </c>
      <c r="AG591">
        <v>47</v>
      </c>
      <c r="AH591">
        <v>13</v>
      </c>
      <c r="AI591">
        <v>15</v>
      </c>
      <c r="AJ591">
        <v>0</v>
      </c>
      <c r="AK591">
        <v>41</v>
      </c>
      <c r="AL591" t="s">
        <v>10449</v>
      </c>
      <c r="AM591" t="s">
        <v>4140</v>
      </c>
      <c r="AN591" t="s">
        <v>10450</v>
      </c>
      <c r="AO591" t="s">
        <v>10451</v>
      </c>
      <c r="AP591" t="s">
        <v>74</v>
      </c>
      <c r="AQ591" t="s">
        <v>74</v>
      </c>
      <c r="AR591" t="s">
        <v>10452</v>
      </c>
      <c r="AS591" t="s">
        <v>10453</v>
      </c>
      <c r="AT591" t="s">
        <v>3935</v>
      </c>
      <c r="AU591">
        <v>2011</v>
      </c>
      <c r="AV591">
        <v>129</v>
      </c>
      <c r="AW591">
        <v>1</v>
      </c>
      <c r="AX591" t="s">
        <v>74</v>
      </c>
      <c r="AY591" t="s">
        <v>74</v>
      </c>
      <c r="AZ591" t="s">
        <v>74</v>
      </c>
      <c r="BA591" t="s">
        <v>74</v>
      </c>
      <c r="BB591">
        <v>496</v>
      </c>
      <c r="BC591">
        <v>506</v>
      </c>
      <c r="BD591" t="s">
        <v>74</v>
      </c>
      <c r="BE591" t="s">
        <v>10454</v>
      </c>
      <c r="BF591" t="str">
        <f>HYPERLINK("http://dx.doi.org/10.1121/1.3493445","http://dx.doi.org/10.1121/1.3493445")</f>
        <v>http://dx.doi.org/10.1121/1.3493445</v>
      </c>
      <c r="BG591" t="s">
        <v>74</v>
      </c>
      <c r="BH591" t="s">
        <v>74</v>
      </c>
      <c r="BI591">
        <v>11</v>
      </c>
      <c r="BJ591" t="s">
        <v>10455</v>
      </c>
      <c r="BK591" t="s">
        <v>100</v>
      </c>
      <c r="BL591" t="s">
        <v>10455</v>
      </c>
      <c r="BM591" t="s">
        <v>10456</v>
      </c>
      <c r="BN591">
        <v>21303030</v>
      </c>
      <c r="BO591" t="s">
        <v>252</v>
      </c>
      <c r="BP591" t="s">
        <v>74</v>
      </c>
      <c r="BQ591" t="s">
        <v>74</v>
      </c>
      <c r="BR591" t="s">
        <v>103</v>
      </c>
      <c r="BS591" t="s">
        <v>10457</v>
      </c>
      <c r="BT591" t="str">
        <f>HYPERLINK("https%3A%2F%2Fwww.webofscience.com%2Fwos%2Fwoscc%2Ffull-record%2FWOS:000286944600056","View Full Record in Web of Science")</f>
        <v>View Full Record in Web of Science</v>
      </c>
    </row>
    <row r="592" spans="1:72" x14ac:dyDescent="0.15">
      <c r="A592" t="s">
        <v>72</v>
      </c>
      <c r="B592" t="s">
        <v>10458</v>
      </c>
      <c r="C592" t="s">
        <v>74</v>
      </c>
      <c r="D592" t="s">
        <v>74</v>
      </c>
      <c r="E592" t="s">
        <v>74</v>
      </c>
      <c r="F592" t="s">
        <v>10459</v>
      </c>
      <c r="G592" t="s">
        <v>74</v>
      </c>
      <c r="H592" t="s">
        <v>74</v>
      </c>
      <c r="I592" t="s">
        <v>10460</v>
      </c>
      <c r="J592" t="s">
        <v>10461</v>
      </c>
      <c r="K592" t="s">
        <v>74</v>
      </c>
      <c r="L592" t="s">
        <v>74</v>
      </c>
      <c r="M592" t="s">
        <v>78</v>
      </c>
      <c r="N592" t="s">
        <v>79</v>
      </c>
      <c r="O592" t="s">
        <v>74</v>
      </c>
      <c r="P592" t="s">
        <v>74</v>
      </c>
      <c r="Q592" t="s">
        <v>74</v>
      </c>
      <c r="R592" t="s">
        <v>74</v>
      </c>
      <c r="S592" t="s">
        <v>74</v>
      </c>
      <c r="T592" t="s">
        <v>10462</v>
      </c>
      <c r="U592" t="s">
        <v>74</v>
      </c>
      <c r="V592" t="s">
        <v>10463</v>
      </c>
      <c r="W592" t="s">
        <v>10464</v>
      </c>
      <c r="X592" t="s">
        <v>10465</v>
      </c>
      <c r="Y592" t="s">
        <v>10466</v>
      </c>
      <c r="Z592" t="s">
        <v>10467</v>
      </c>
      <c r="AA592" t="s">
        <v>74</v>
      </c>
      <c r="AB592" t="s">
        <v>10468</v>
      </c>
      <c r="AC592" t="s">
        <v>74</v>
      </c>
      <c r="AD592" t="s">
        <v>74</v>
      </c>
      <c r="AE592" t="s">
        <v>74</v>
      </c>
      <c r="AF592" t="s">
        <v>74</v>
      </c>
      <c r="AG592">
        <v>30</v>
      </c>
      <c r="AH592">
        <v>1</v>
      </c>
      <c r="AI592">
        <v>1</v>
      </c>
      <c r="AJ592">
        <v>0</v>
      </c>
      <c r="AK592">
        <v>1</v>
      </c>
      <c r="AL592" t="s">
        <v>10469</v>
      </c>
      <c r="AM592" t="s">
        <v>10470</v>
      </c>
      <c r="AN592" t="s">
        <v>10471</v>
      </c>
      <c r="AO592" t="s">
        <v>10472</v>
      </c>
      <c r="AP592" t="s">
        <v>10473</v>
      </c>
      <c r="AQ592" t="s">
        <v>74</v>
      </c>
      <c r="AR592" t="s">
        <v>10474</v>
      </c>
      <c r="AS592" t="s">
        <v>10475</v>
      </c>
      <c r="AT592" t="s">
        <v>74</v>
      </c>
      <c r="AU592">
        <v>2011</v>
      </c>
      <c r="AV592">
        <v>41</v>
      </c>
      <c r="AW592">
        <v>3</v>
      </c>
      <c r="AX592" t="s">
        <v>74</v>
      </c>
      <c r="AY592" t="s">
        <v>74</v>
      </c>
      <c r="AZ592" t="s">
        <v>74</v>
      </c>
      <c r="BA592" t="s">
        <v>74</v>
      </c>
      <c r="BB592">
        <v>270</v>
      </c>
      <c r="BC592">
        <v>277</v>
      </c>
      <c r="BD592" t="s">
        <v>74</v>
      </c>
      <c r="BE592" t="s">
        <v>10476</v>
      </c>
      <c r="BF592" t="str">
        <f>HYPERLINK("http://dx.doi.org/10.4997/JRCPE.2011.319","http://dx.doi.org/10.4997/JRCPE.2011.319")</f>
        <v>http://dx.doi.org/10.4997/JRCPE.2011.319</v>
      </c>
      <c r="BG592" t="s">
        <v>74</v>
      </c>
      <c r="BH592" t="s">
        <v>74</v>
      </c>
      <c r="BI592">
        <v>8</v>
      </c>
      <c r="BJ592" t="s">
        <v>10477</v>
      </c>
      <c r="BK592" t="s">
        <v>6441</v>
      </c>
      <c r="BL592" t="s">
        <v>10478</v>
      </c>
      <c r="BM592" t="s">
        <v>10479</v>
      </c>
      <c r="BN592">
        <v>21949929</v>
      </c>
      <c r="BO592" t="s">
        <v>252</v>
      </c>
      <c r="BP592" t="s">
        <v>74</v>
      </c>
      <c r="BQ592" t="s">
        <v>74</v>
      </c>
      <c r="BR592" t="s">
        <v>103</v>
      </c>
      <c r="BS592" t="s">
        <v>10480</v>
      </c>
      <c r="BT592" t="str">
        <f>HYPERLINK("https%3A%2F%2Fwww.webofscience.com%2Fwos%2Fwoscc%2Ffull-record%2FWOS:000443169900017","View Full Record in Web of Science")</f>
        <v>View Full Record in Web of Science</v>
      </c>
    </row>
    <row r="593" spans="1:72" x14ac:dyDescent="0.15">
      <c r="A593" t="s">
        <v>72</v>
      </c>
      <c r="B593" t="s">
        <v>10481</v>
      </c>
      <c r="C593" t="s">
        <v>74</v>
      </c>
      <c r="D593" t="s">
        <v>74</v>
      </c>
      <c r="E593" t="s">
        <v>74</v>
      </c>
      <c r="F593" t="s">
        <v>10482</v>
      </c>
      <c r="G593" t="s">
        <v>74</v>
      </c>
      <c r="H593" t="s">
        <v>74</v>
      </c>
      <c r="I593" t="s">
        <v>10483</v>
      </c>
      <c r="J593" t="s">
        <v>10484</v>
      </c>
      <c r="K593" t="s">
        <v>74</v>
      </c>
      <c r="L593" t="s">
        <v>74</v>
      </c>
      <c r="M593" t="s">
        <v>78</v>
      </c>
      <c r="N593" t="s">
        <v>79</v>
      </c>
      <c r="O593" t="s">
        <v>74</v>
      </c>
      <c r="P593" t="s">
        <v>74</v>
      </c>
      <c r="Q593" t="s">
        <v>74</v>
      </c>
      <c r="R593" t="s">
        <v>74</v>
      </c>
      <c r="S593" t="s">
        <v>74</v>
      </c>
      <c r="T593" t="s">
        <v>74</v>
      </c>
      <c r="U593" t="s">
        <v>10485</v>
      </c>
      <c r="V593" t="s">
        <v>10486</v>
      </c>
      <c r="W593" t="s">
        <v>10487</v>
      </c>
      <c r="X593" t="s">
        <v>10488</v>
      </c>
      <c r="Y593" t="s">
        <v>10489</v>
      </c>
      <c r="Z593" t="s">
        <v>10490</v>
      </c>
      <c r="AA593" t="s">
        <v>10491</v>
      </c>
      <c r="AB593" t="s">
        <v>10492</v>
      </c>
      <c r="AC593" t="s">
        <v>10493</v>
      </c>
      <c r="AD593" t="s">
        <v>10494</v>
      </c>
      <c r="AE593" t="s">
        <v>10495</v>
      </c>
      <c r="AF593" t="s">
        <v>74</v>
      </c>
      <c r="AG593">
        <v>134</v>
      </c>
      <c r="AH593">
        <v>17</v>
      </c>
      <c r="AI593">
        <v>18</v>
      </c>
      <c r="AJ593">
        <v>0</v>
      </c>
      <c r="AK593">
        <v>7</v>
      </c>
      <c r="AL593" t="s">
        <v>3012</v>
      </c>
      <c r="AM593" t="s">
        <v>3013</v>
      </c>
      <c r="AN593" t="s">
        <v>3014</v>
      </c>
      <c r="AO593" t="s">
        <v>10496</v>
      </c>
      <c r="AP593" t="s">
        <v>10497</v>
      </c>
      <c r="AQ593" t="s">
        <v>74</v>
      </c>
      <c r="AR593" t="s">
        <v>10498</v>
      </c>
      <c r="AS593" t="s">
        <v>10499</v>
      </c>
      <c r="AT593" t="s">
        <v>74</v>
      </c>
      <c r="AU593">
        <v>2011</v>
      </c>
      <c r="AV593">
        <v>31</v>
      </c>
      <c r="AW593">
        <v>4</v>
      </c>
      <c r="AX593" t="s">
        <v>74</v>
      </c>
      <c r="AY593" t="s">
        <v>74</v>
      </c>
      <c r="AZ593" t="s">
        <v>74</v>
      </c>
      <c r="BA593" t="s">
        <v>74</v>
      </c>
      <c r="BB593">
        <v>784</v>
      </c>
      <c r="BC593">
        <v>797</v>
      </c>
      <c r="BD593" t="s">
        <v>74</v>
      </c>
      <c r="BE593" t="s">
        <v>10500</v>
      </c>
      <c r="BF593" t="str">
        <f>HYPERLINK("http://dx.doi.org/10.1080/02724634.2011.586662","http://dx.doi.org/10.1080/02724634.2011.586662")</f>
        <v>http://dx.doi.org/10.1080/02724634.2011.586662</v>
      </c>
      <c r="BG593" t="s">
        <v>74</v>
      </c>
      <c r="BH593" t="s">
        <v>74</v>
      </c>
      <c r="BI593">
        <v>14</v>
      </c>
      <c r="BJ593" t="s">
        <v>5596</v>
      </c>
      <c r="BK593" t="s">
        <v>100</v>
      </c>
      <c r="BL593" t="s">
        <v>5596</v>
      </c>
      <c r="BM593" t="s">
        <v>10501</v>
      </c>
      <c r="BN593" t="s">
        <v>74</v>
      </c>
      <c r="BO593" t="s">
        <v>74</v>
      </c>
      <c r="BP593" t="s">
        <v>74</v>
      </c>
      <c r="BQ593" t="s">
        <v>74</v>
      </c>
      <c r="BR593" t="s">
        <v>103</v>
      </c>
      <c r="BS593" t="s">
        <v>10502</v>
      </c>
      <c r="BT593" t="str">
        <f>HYPERLINK("https%3A%2F%2Fwww.webofscience.com%2Fwos%2Fwoscc%2Ffull-record%2FWOS:000298950000004","View Full Record in Web of Science")</f>
        <v>View Full Record in Web of Science</v>
      </c>
    </row>
    <row r="594" spans="1:72" x14ac:dyDescent="0.15">
      <c r="A594" t="s">
        <v>72</v>
      </c>
      <c r="B594" t="s">
        <v>10503</v>
      </c>
      <c r="C594" t="s">
        <v>74</v>
      </c>
      <c r="D594" t="s">
        <v>74</v>
      </c>
      <c r="E594" t="s">
        <v>74</v>
      </c>
      <c r="F594" t="s">
        <v>10504</v>
      </c>
      <c r="G594" t="s">
        <v>74</v>
      </c>
      <c r="H594" t="s">
        <v>74</v>
      </c>
      <c r="I594" t="s">
        <v>10505</v>
      </c>
      <c r="J594" t="s">
        <v>10506</v>
      </c>
      <c r="K594" t="s">
        <v>74</v>
      </c>
      <c r="L594" t="s">
        <v>74</v>
      </c>
      <c r="M594" t="s">
        <v>7904</v>
      </c>
      <c r="N594" t="s">
        <v>79</v>
      </c>
      <c r="O594" t="s">
        <v>74</v>
      </c>
      <c r="P594" t="s">
        <v>74</v>
      </c>
      <c r="Q594" t="s">
        <v>74</v>
      </c>
      <c r="R594" t="s">
        <v>74</v>
      </c>
      <c r="S594" t="s">
        <v>74</v>
      </c>
      <c r="T594" t="s">
        <v>10507</v>
      </c>
      <c r="U594" t="s">
        <v>10508</v>
      </c>
      <c r="V594" t="s">
        <v>10509</v>
      </c>
      <c r="W594" t="s">
        <v>10510</v>
      </c>
      <c r="X594" t="s">
        <v>10511</v>
      </c>
      <c r="Y594" t="s">
        <v>10512</v>
      </c>
      <c r="Z594" t="s">
        <v>10513</v>
      </c>
      <c r="AA594" t="s">
        <v>10514</v>
      </c>
      <c r="AB594" t="s">
        <v>74</v>
      </c>
      <c r="AC594" t="s">
        <v>74</v>
      </c>
      <c r="AD594" t="s">
        <v>74</v>
      </c>
      <c r="AE594" t="s">
        <v>74</v>
      </c>
      <c r="AF594" t="s">
        <v>74</v>
      </c>
      <c r="AG594">
        <v>35</v>
      </c>
      <c r="AH594">
        <v>0</v>
      </c>
      <c r="AI594">
        <v>0</v>
      </c>
      <c r="AJ594">
        <v>1</v>
      </c>
      <c r="AK594">
        <v>20</v>
      </c>
      <c r="AL594" t="s">
        <v>10515</v>
      </c>
      <c r="AM594" t="s">
        <v>10516</v>
      </c>
      <c r="AN594" t="s">
        <v>10517</v>
      </c>
      <c r="AO594" t="s">
        <v>10518</v>
      </c>
      <c r="AP594" t="s">
        <v>10519</v>
      </c>
      <c r="AQ594" t="s">
        <v>74</v>
      </c>
      <c r="AR594" t="s">
        <v>10520</v>
      </c>
      <c r="AS594" t="s">
        <v>10521</v>
      </c>
      <c r="AT594" t="s">
        <v>74</v>
      </c>
      <c r="AU594">
        <v>2011</v>
      </c>
      <c r="AV594">
        <v>39</v>
      </c>
      <c r="AW594">
        <v>1</v>
      </c>
      <c r="AX594" t="s">
        <v>74</v>
      </c>
      <c r="AY594" t="s">
        <v>74</v>
      </c>
      <c r="AZ594" t="s">
        <v>74</v>
      </c>
      <c r="BA594" t="s">
        <v>74</v>
      </c>
      <c r="BB594">
        <v>71</v>
      </c>
      <c r="BC594">
        <v>81</v>
      </c>
      <c r="BD594" t="s">
        <v>74</v>
      </c>
      <c r="BE594" t="s">
        <v>10522</v>
      </c>
      <c r="BF594" t="str">
        <f>HYPERLINK("http://dx.doi.org/10.3856/vol39-issue1-fulltext-7","http://dx.doi.org/10.3856/vol39-issue1-fulltext-7")</f>
        <v>http://dx.doi.org/10.3856/vol39-issue1-fulltext-7</v>
      </c>
      <c r="BG594" t="s">
        <v>74</v>
      </c>
      <c r="BH594" t="s">
        <v>74</v>
      </c>
      <c r="BI594">
        <v>11</v>
      </c>
      <c r="BJ594" t="s">
        <v>6365</v>
      </c>
      <c r="BK594" t="s">
        <v>100</v>
      </c>
      <c r="BL594" t="s">
        <v>6365</v>
      </c>
      <c r="BM594" t="s">
        <v>10523</v>
      </c>
      <c r="BN594" t="s">
        <v>74</v>
      </c>
      <c r="BO594" t="s">
        <v>2317</v>
      </c>
      <c r="BP594" t="s">
        <v>74</v>
      </c>
      <c r="BQ594" t="s">
        <v>74</v>
      </c>
      <c r="BR594" t="s">
        <v>103</v>
      </c>
      <c r="BS594" t="s">
        <v>10524</v>
      </c>
      <c r="BT594" t="str">
        <f>HYPERLINK("https%3A%2F%2Fwww.webofscience.com%2Fwos%2Fwoscc%2Ffull-record%2FWOS:000288178700007","View Full Record in Web of Science")</f>
        <v>View Full Record in Web of Science</v>
      </c>
    </row>
    <row r="595" spans="1:72" x14ac:dyDescent="0.15">
      <c r="A595" t="s">
        <v>72</v>
      </c>
      <c r="B595" t="s">
        <v>10525</v>
      </c>
      <c r="C595" t="s">
        <v>74</v>
      </c>
      <c r="D595" t="s">
        <v>74</v>
      </c>
      <c r="E595" t="s">
        <v>74</v>
      </c>
      <c r="F595" t="s">
        <v>10526</v>
      </c>
      <c r="G595" t="s">
        <v>74</v>
      </c>
      <c r="H595" t="s">
        <v>74</v>
      </c>
      <c r="I595" t="s">
        <v>10527</v>
      </c>
      <c r="J595" t="s">
        <v>10506</v>
      </c>
      <c r="K595" t="s">
        <v>74</v>
      </c>
      <c r="L595" t="s">
        <v>74</v>
      </c>
      <c r="M595" t="s">
        <v>78</v>
      </c>
      <c r="N595" t="s">
        <v>79</v>
      </c>
      <c r="O595" t="s">
        <v>74</v>
      </c>
      <c r="P595" t="s">
        <v>74</v>
      </c>
      <c r="Q595" t="s">
        <v>74</v>
      </c>
      <c r="R595" t="s">
        <v>74</v>
      </c>
      <c r="S595" t="s">
        <v>74</v>
      </c>
      <c r="T595" t="s">
        <v>10528</v>
      </c>
      <c r="U595" t="s">
        <v>10529</v>
      </c>
      <c r="V595" t="s">
        <v>10530</v>
      </c>
      <c r="W595" t="s">
        <v>10531</v>
      </c>
      <c r="X595" t="s">
        <v>10532</v>
      </c>
      <c r="Y595" t="s">
        <v>10533</v>
      </c>
      <c r="Z595" t="s">
        <v>10534</v>
      </c>
      <c r="AA595" t="s">
        <v>74</v>
      </c>
      <c r="AB595" t="s">
        <v>10535</v>
      </c>
      <c r="AC595" t="s">
        <v>10536</v>
      </c>
      <c r="AD595" t="s">
        <v>10537</v>
      </c>
      <c r="AE595" t="s">
        <v>10538</v>
      </c>
      <c r="AF595" t="s">
        <v>74</v>
      </c>
      <c r="AG595">
        <v>64</v>
      </c>
      <c r="AH595">
        <v>8</v>
      </c>
      <c r="AI595">
        <v>9</v>
      </c>
      <c r="AJ595">
        <v>0</v>
      </c>
      <c r="AK595">
        <v>11</v>
      </c>
      <c r="AL595" t="s">
        <v>10515</v>
      </c>
      <c r="AM595" t="s">
        <v>10516</v>
      </c>
      <c r="AN595" t="s">
        <v>10517</v>
      </c>
      <c r="AO595" t="s">
        <v>10518</v>
      </c>
      <c r="AP595" t="s">
        <v>10519</v>
      </c>
      <c r="AQ595" t="s">
        <v>74</v>
      </c>
      <c r="AR595" t="s">
        <v>10520</v>
      </c>
      <c r="AS595" t="s">
        <v>10521</v>
      </c>
      <c r="AT595" t="s">
        <v>74</v>
      </c>
      <c r="AU595">
        <v>2011</v>
      </c>
      <c r="AV595">
        <v>39</v>
      </c>
      <c r="AW595">
        <v>3</v>
      </c>
      <c r="AX595" t="s">
        <v>74</v>
      </c>
      <c r="AY595" t="s">
        <v>74</v>
      </c>
      <c r="AZ595" t="s">
        <v>74</v>
      </c>
      <c r="BA595" t="s">
        <v>74</v>
      </c>
      <c r="BB595">
        <v>397</v>
      </c>
      <c r="BC595">
        <v>408</v>
      </c>
      <c r="BD595" t="s">
        <v>74</v>
      </c>
      <c r="BE595" t="s">
        <v>10539</v>
      </c>
      <c r="BF595" t="str">
        <f>HYPERLINK("http://dx.doi.org/10.3856/vol39-issue3-fulltext-1","http://dx.doi.org/10.3856/vol39-issue3-fulltext-1")</f>
        <v>http://dx.doi.org/10.3856/vol39-issue3-fulltext-1</v>
      </c>
      <c r="BG595" t="s">
        <v>74</v>
      </c>
      <c r="BH595" t="s">
        <v>74</v>
      </c>
      <c r="BI595">
        <v>12</v>
      </c>
      <c r="BJ595" t="s">
        <v>6365</v>
      </c>
      <c r="BK595" t="s">
        <v>100</v>
      </c>
      <c r="BL595" t="s">
        <v>6365</v>
      </c>
      <c r="BM595" t="s">
        <v>10540</v>
      </c>
      <c r="BN595" t="s">
        <v>74</v>
      </c>
      <c r="BO595" t="s">
        <v>1765</v>
      </c>
      <c r="BP595" t="s">
        <v>74</v>
      </c>
      <c r="BQ595" t="s">
        <v>74</v>
      </c>
      <c r="BR595" t="s">
        <v>103</v>
      </c>
      <c r="BS595" t="s">
        <v>10541</v>
      </c>
      <c r="BT595" t="str">
        <f>HYPERLINK("https%3A%2F%2Fwww.webofscience.com%2Fwos%2Fwoscc%2Ffull-record%2FWOS:000297979500001","View Full Record in Web of Science")</f>
        <v>View Full Record in Web of Science</v>
      </c>
    </row>
    <row r="596" spans="1:72" x14ac:dyDescent="0.15">
      <c r="A596" t="s">
        <v>72</v>
      </c>
      <c r="B596" t="s">
        <v>10542</v>
      </c>
      <c r="C596" t="s">
        <v>74</v>
      </c>
      <c r="D596" t="s">
        <v>74</v>
      </c>
      <c r="E596" t="s">
        <v>74</v>
      </c>
      <c r="F596" t="s">
        <v>10543</v>
      </c>
      <c r="G596" t="s">
        <v>74</v>
      </c>
      <c r="H596" t="s">
        <v>74</v>
      </c>
      <c r="I596" t="s">
        <v>10544</v>
      </c>
      <c r="J596" t="s">
        <v>10545</v>
      </c>
      <c r="K596" t="s">
        <v>74</v>
      </c>
      <c r="L596" t="s">
        <v>74</v>
      </c>
      <c r="M596" t="s">
        <v>78</v>
      </c>
      <c r="N596" t="s">
        <v>79</v>
      </c>
      <c r="O596" t="s">
        <v>74</v>
      </c>
      <c r="P596" t="s">
        <v>74</v>
      </c>
      <c r="Q596" t="s">
        <v>74</v>
      </c>
      <c r="R596" t="s">
        <v>74</v>
      </c>
      <c r="S596" t="s">
        <v>74</v>
      </c>
      <c r="T596" t="s">
        <v>10546</v>
      </c>
      <c r="U596" t="s">
        <v>10547</v>
      </c>
      <c r="V596" t="s">
        <v>10548</v>
      </c>
      <c r="W596" t="s">
        <v>10549</v>
      </c>
      <c r="X596" t="s">
        <v>10550</v>
      </c>
      <c r="Y596" t="s">
        <v>10551</v>
      </c>
      <c r="Z596" t="s">
        <v>74</v>
      </c>
      <c r="AA596" t="s">
        <v>74</v>
      </c>
      <c r="AB596" t="s">
        <v>74</v>
      </c>
      <c r="AC596" t="s">
        <v>74</v>
      </c>
      <c r="AD596" t="s">
        <v>74</v>
      </c>
      <c r="AE596" t="s">
        <v>74</v>
      </c>
      <c r="AF596" t="s">
        <v>74</v>
      </c>
      <c r="AG596">
        <v>29</v>
      </c>
      <c r="AH596">
        <v>3</v>
      </c>
      <c r="AI596">
        <v>4</v>
      </c>
      <c r="AJ596">
        <v>0</v>
      </c>
      <c r="AK596">
        <v>2</v>
      </c>
      <c r="AL596" t="s">
        <v>4239</v>
      </c>
      <c r="AM596" t="s">
        <v>475</v>
      </c>
      <c r="AN596" t="s">
        <v>10552</v>
      </c>
      <c r="AO596" t="s">
        <v>10553</v>
      </c>
      <c r="AP596" t="s">
        <v>74</v>
      </c>
      <c r="AQ596" t="s">
        <v>74</v>
      </c>
      <c r="AR596" t="s">
        <v>10554</v>
      </c>
      <c r="AS596" t="s">
        <v>10555</v>
      </c>
      <c r="AT596" t="s">
        <v>74</v>
      </c>
      <c r="AU596">
        <v>2011</v>
      </c>
      <c r="AV596">
        <v>8</v>
      </c>
      <c r="AW596">
        <v>3</v>
      </c>
      <c r="AX596" t="s">
        <v>74</v>
      </c>
      <c r="AY596" t="s">
        <v>74</v>
      </c>
      <c r="AZ596" t="s">
        <v>967</v>
      </c>
      <c r="BA596" t="s">
        <v>74</v>
      </c>
      <c r="BB596">
        <v>301</v>
      </c>
      <c r="BC596">
        <v>315</v>
      </c>
      <c r="BD596" t="s">
        <v>74</v>
      </c>
      <c r="BE596" t="s">
        <v>10556</v>
      </c>
      <c r="BF596" t="str">
        <f>HYPERLINK("http://dx.doi.org/10.1080/14484528.2011.579238","http://dx.doi.org/10.1080/14484528.2011.579238")</f>
        <v>http://dx.doi.org/10.1080/14484528.2011.579238</v>
      </c>
      <c r="BG596" t="s">
        <v>74</v>
      </c>
      <c r="BH596" t="s">
        <v>74</v>
      </c>
      <c r="BI596">
        <v>15</v>
      </c>
      <c r="BJ596" t="s">
        <v>10557</v>
      </c>
      <c r="BK596" t="s">
        <v>1561</v>
      </c>
      <c r="BL596" t="s">
        <v>10557</v>
      </c>
      <c r="BM596" t="s">
        <v>10558</v>
      </c>
      <c r="BN596" t="s">
        <v>74</v>
      </c>
      <c r="BO596" t="s">
        <v>74</v>
      </c>
      <c r="BP596" t="s">
        <v>74</v>
      </c>
      <c r="BQ596" t="s">
        <v>74</v>
      </c>
      <c r="BR596" t="s">
        <v>103</v>
      </c>
      <c r="BS596" t="s">
        <v>10559</v>
      </c>
      <c r="BT596" t="str">
        <f>HYPERLINK("https%3A%2F%2Fwww.webofscience.com%2Fwos%2Fwoscc%2Ffull-record%2FWOS:000299827900006","View Full Record in Web of Science")</f>
        <v>View Full Record in Web of Science</v>
      </c>
    </row>
    <row r="597" spans="1:72" x14ac:dyDescent="0.15">
      <c r="A597" t="s">
        <v>72</v>
      </c>
      <c r="B597" t="s">
        <v>10560</v>
      </c>
      <c r="C597" t="s">
        <v>74</v>
      </c>
      <c r="D597" t="s">
        <v>74</v>
      </c>
      <c r="E597" t="s">
        <v>74</v>
      </c>
      <c r="F597" t="s">
        <v>10561</v>
      </c>
      <c r="G597" t="s">
        <v>74</v>
      </c>
      <c r="H597" t="s">
        <v>74</v>
      </c>
      <c r="I597" t="s">
        <v>10562</v>
      </c>
      <c r="J597" t="s">
        <v>4270</v>
      </c>
      <c r="K597" t="s">
        <v>74</v>
      </c>
      <c r="L597" t="s">
        <v>74</v>
      </c>
      <c r="M597" t="s">
        <v>78</v>
      </c>
      <c r="N597" t="s">
        <v>79</v>
      </c>
      <c r="O597" t="s">
        <v>74</v>
      </c>
      <c r="P597" t="s">
        <v>74</v>
      </c>
      <c r="Q597" t="s">
        <v>74</v>
      </c>
      <c r="R597" t="s">
        <v>74</v>
      </c>
      <c r="S597" t="s">
        <v>74</v>
      </c>
      <c r="T597" t="s">
        <v>10563</v>
      </c>
      <c r="U597" t="s">
        <v>10564</v>
      </c>
      <c r="V597" t="s">
        <v>10565</v>
      </c>
      <c r="W597" t="s">
        <v>10566</v>
      </c>
      <c r="X597" t="s">
        <v>10567</v>
      </c>
      <c r="Y597" t="s">
        <v>10568</v>
      </c>
      <c r="Z597" t="s">
        <v>10569</v>
      </c>
      <c r="AA597" t="s">
        <v>10570</v>
      </c>
      <c r="AB597" t="s">
        <v>10571</v>
      </c>
      <c r="AC597" t="s">
        <v>10572</v>
      </c>
      <c r="AD597" t="s">
        <v>10573</v>
      </c>
      <c r="AE597" t="s">
        <v>10574</v>
      </c>
      <c r="AF597" t="s">
        <v>74</v>
      </c>
      <c r="AG597">
        <v>56</v>
      </c>
      <c r="AH597">
        <v>11</v>
      </c>
      <c r="AI597">
        <v>12</v>
      </c>
      <c r="AJ597">
        <v>2</v>
      </c>
      <c r="AK597">
        <v>15</v>
      </c>
      <c r="AL597" t="s">
        <v>3995</v>
      </c>
      <c r="AM597" t="s">
        <v>4046</v>
      </c>
      <c r="AN597" t="s">
        <v>4047</v>
      </c>
      <c r="AO597" t="s">
        <v>4283</v>
      </c>
      <c r="AP597" t="s">
        <v>10575</v>
      </c>
      <c r="AQ597" t="s">
        <v>74</v>
      </c>
      <c r="AR597" t="s">
        <v>4284</v>
      </c>
      <c r="AS597" t="s">
        <v>4285</v>
      </c>
      <c r="AT597" t="s">
        <v>74</v>
      </c>
      <c r="AU597">
        <v>2011</v>
      </c>
      <c r="AV597">
        <v>62</v>
      </c>
      <c r="AW597">
        <v>7</v>
      </c>
      <c r="AX597" t="s">
        <v>74</v>
      </c>
      <c r="AY597" t="s">
        <v>74</v>
      </c>
      <c r="AZ597" t="s">
        <v>74</v>
      </c>
      <c r="BA597" t="s">
        <v>74</v>
      </c>
      <c r="BB597">
        <v>781</v>
      </c>
      <c r="BC597">
        <v>789</v>
      </c>
      <c r="BD597" t="s">
        <v>74</v>
      </c>
      <c r="BE597" t="s">
        <v>10576</v>
      </c>
      <c r="BF597" t="str">
        <f>HYPERLINK("http://dx.doi.org/10.1071/MF10225","http://dx.doi.org/10.1071/MF10225")</f>
        <v>http://dx.doi.org/10.1071/MF10225</v>
      </c>
      <c r="BG597" t="s">
        <v>74</v>
      </c>
      <c r="BH597" t="s">
        <v>74</v>
      </c>
      <c r="BI597">
        <v>9</v>
      </c>
      <c r="BJ597" t="s">
        <v>4287</v>
      </c>
      <c r="BK597" t="s">
        <v>100</v>
      </c>
      <c r="BL597" t="s">
        <v>4288</v>
      </c>
      <c r="BM597" t="s">
        <v>10577</v>
      </c>
      <c r="BN597" t="s">
        <v>74</v>
      </c>
      <c r="BO597" t="s">
        <v>74</v>
      </c>
      <c r="BP597" t="s">
        <v>74</v>
      </c>
      <c r="BQ597" t="s">
        <v>74</v>
      </c>
      <c r="BR597" t="s">
        <v>103</v>
      </c>
      <c r="BS597" t="s">
        <v>10578</v>
      </c>
      <c r="BT597" t="str">
        <f>HYPERLINK("https%3A%2F%2Fwww.webofscience.com%2Fwos%2Fwoscc%2Ffull-record%2FWOS:000293084800001","View Full Record in Web of Science")</f>
        <v>View Full Record in Web of Science</v>
      </c>
    </row>
    <row r="598" spans="1:72" x14ac:dyDescent="0.15">
      <c r="A598" t="s">
        <v>72</v>
      </c>
      <c r="B598" t="s">
        <v>10579</v>
      </c>
      <c r="C598" t="s">
        <v>74</v>
      </c>
      <c r="D598" t="s">
        <v>74</v>
      </c>
      <c r="E598" t="s">
        <v>74</v>
      </c>
      <c r="F598" t="s">
        <v>10580</v>
      </c>
      <c r="G598" t="s">
        <v>74</v>
      </c>
      <c r="H598" t="s">
        <v>74</v>
      </c>
      <c r="I598" t="s">
        <v>10581</v>
      </c>
      <c r="J598" t="s">
        <v>3221</v>
      </c>
      <c r="K598" t="s">
        <v>74</v>
      </c>
      <c r="L598" t="s">
        <v>74</v>
      </c>
      <c r="M598" t="s">
        <v>78</v>
      </c>
      <c r="N598" t="s">
        <v>79</v>
      </c>
      <c r="O598" t="s">
        <v>74</v>
      </c>
      <c r="P598" t="s">
        <v>74</v>
      </c>
      <c r="Q598" t="s">
        <v>74</v>
      </c>
      <c r="R598" t="s">
        <v>74</v>
      </c>
      <c r="S598" t="s">
        <v>74</v>
      </c>
      <c r="T598" t="s">
        <v>10582</v>
      </c>
      <c r="U598" t="s">
        <v>10583</v>
      </c>
      <c r="V598" t="s">
        <v>10584</v>
      </c>
      <c r="W598" t="s">
        <v>10585</v>
      </c>
      <c r="X598" t="s">
        <v>10586</v>
      </c>
      <c r="Y598" t="s">
        <v>10587</v>
      </c>
      <c r="Z598" t="s">
        <v>10588</v>
      </c>
      <c r="AA598" t="s">
        <v>74</v>
      </c>
      <c r="AB598" t="s">
        <v>10589</v>
      </c>
      <c r="AC598" t="s">
        <v>10590</v>
      </c>
      <c r="AD598" t="s">
        <v>10590</v>
      </c>
      <c r="AE598" t="s">
        <v>10591</v>
      </c>
      <c r="AF598" t="s">
        <v>74</v>
      </c>
      <c r="AG598">
        <v>59</v>
      </c>
      <c r="AH598">
        <v>48</v>
      </c>
      <c r="AI598">
        <v>52</v>
      </c>
      <c r="AJ598">
        <v>0</v>
      </c>
      <c r="AK598">
        <v>28</v>
      </c>
      <c r="AL598" t="s">
        <v>3232</v>
      </c>
      <c r="AM598" t="s">
        <v>3233</v>
      </c>
      <c r="AN598" t="s">
        <v>3234</v>
      </c>
      <c r="AO598" t="s">
        <v>3235</v>
      </c>
      <c r="AP598" t="s">
        <v>3236</v>
      </c>
      <c r="AQ598" t="s">
        <v>74</v>
      </c>
      <c r="AR598" t="s">
        <v>3237</v>
      </c>
      <c r="AS598" t="s">
        <v>3238</v>
      </c>
      <c r="AT598" t="s">
        <v>74</v>
      </c>
      <c r="AU598">
        <v>2011</v>
      </c>
      <c r="AV598">
        <v>443</v>
      </c>
      <c r="AW598" t="s">
        <v>74</v>
      </c>
      <c r="AX598" t="s">
        <v>74</v>
      </c>
      <c r="AY598" t="s">
        <v>74</v>
      </c>
      <c r="AZ598" t="s">
        <v>74</v>
      </c>
      <c r="BA598" t="s">
        <v>74</v>
      </c>
      <c r="BB598">
        <v>217</v>
      </c>
      <c r="BC598">
        <v>235</v>
      </c>
      <c r="BD598" t="s">
        <v>74</v>
      </c>
      <c r="BE598" t="s">
        <v>10592</v>
      </c>
      <c r="BF598" t="str">
        <f>HYPERLINK("http://dx.doi.org/10.3354/meps09408","http://dx.doi.org/10.3354/meps09408")</f>
        <v>http://dx.doi.org/10.3354/meps09408</v>
      </c>
      <c r="BG598" t="s">
        <v>74</v>
      </c>
      <c r="BH598" t="s">
        <v>74</v>
      </c>
      <c r="BI598">
        <v>19</v>
      </c>
      <c r="BJ598" t="s">
        <v>3240</v>
      </c>
      <c r="BK598" t="s">
        <v>100</v>
      </c>
      <c r="BL598" t="s">
        <v>3241</v>
      </c>
      <c r="BM598" t="s">
        <v>10593</v>
      </c>
      <c r="BN598" t="s">
        <v>74</v>
      </c>
      <c r="BO598" t="s">
        <v>252</v>
      </c>
      <c r="BP598" t="s">
        <v>74</v>
      </c>
      <c r="BQ598" t="s">
        <v>74</v>
      </c>
      <c r="BR598" t="s">
        <v>103</v>
      </c>
      <c r="BS598" t="s">
        <v>10594</v>
      </c>
      <c r="BT598" t="str">
        <f>HYPERLINK("https%3A%2F%2Fwww.webofscience.com%2Fwos%2Fwoscc%2Ffull-record%2FWOS:000298302500016","View Full Record in Web of Science")</f>
        <v>View Full Record in Web of Science</v>
      </c>
    </row>
    <row r="599" spans="1:72" x14ac:dyDescent="0.15">
      <c r="A599" t="s">
        <v>72</v>
      </c>
      <c r="B599" t="s">
        <v>10595</v>
      </c>
      <c r="C599" t="s">
        <v>74</v>
      </c>
      <c r="D599" t="s">
        <v>74</v>
      </c>
      <c r="E599" t="s">
        <v>74</v>
      </c>
      <c r="F599" t="s">
        <v>10596</v>
      </c>
      <c r="G599" t="s">
        <v>74</v>
      </c>
      <c r="H599" t="s">
        <v>74</v>
      </c>
      <c r="I599" t="s">
        <v>10597</v>
      </c>
      <c r="J599" t="s">
        <v>3221</v>
      </c>
      <c r="K599" t="s">
        <v>74</v>
      </c>
      <c r="L599" t="s">
        <v>74</v>
      </c>
      <c r="M599" t="s">
        <v>78</v>
      </c>
      <c r="N599" t="s">
        <v>79</v>
      </c>
      <c r="O599" t="s">
        <v>74</v>
      </c>
      <c r="P599" t="s">
        <v>74</v>
      </c>
      <c r="Q599" t="s">
        <v>74</v>
      </c>
      <c r="R599" t="s">
        <v>74</v>
      </c>
      <c r="S599" t="s">
        <v>74</v>
      </c>
      <c r="T599" t="s">
        <v>10598</v>
      </c>
      <c r="U599" t="s">
        <v>10599</v>
      </c>
      <c r="V599" t="s">
        <v>10600</v>
      </c>
      <c r="W599" t="s">
        <v>10601</v>
      </c>
      <c r="X599" t="s">
        <v>10602</v>
      </c>
      <c r="Y599" t="s">
        <v>10603</v>
      </c>
      <c r="Z599" t="s">
        <v>10604</v>
      </c>
      <c r="AA599" t="s">
        <v>4042</v>
      </c>
      <c r="AB599" t="s">
        <v>10605</v>
      </c>
      <c r="AC599" t="s">
        <v>10606</v>
      </c>
      <c r="AD599" t="s">
        <v>10606</v>
      </c>
      <c r="AE599" t="s">
        <v>10607</v>
      </c>
      <c r="AF599" t="s">
        <v>74</v>
      </c>
      <c r="AG599">
        <v>105</v>
      </c>
      <c r="AH599">
        <v>49</v>
      </c>
      <c r="AI599">
        <v>56</v>
      </c>
      <c r="AJ599">
        <v>1</v>
      </c>
      <c r="AK599">
        <v>68</v>
      </c>
      <c r="AL599" t="s">
        <v>3232</v>
      </c>
      <c r="AM599" t="s">
        <v>3233</v>
      </c>
      <c r="AN599" t="s">
        <v>3234</v>
      </c>
      <c r="AO599" t="s">
        <v>3235</v>
      </c>
      <c r="AP599" t="s">
        <v>3236</v>
      </c>
      <c r="AQ599" t="s">
        <v>74</v>
      </c>
      <c r="AR599" t="s">
        <v>3237</v>
      </c>
      <c r="AS599" t="s">
        <v>3238</v>
      </c>
      <c r="AT599" t="s">
        <v>74</v>
      </c>
      <c r="AU599">
        <v>2011</v>
      </c>
      <c r="AV599">
        <v>443</v>
      </c>
      <c r="AW599" t="s">
        <v>74</v>
      </c>
      <c r="AX599" t="s">
        <v>74</v>
      </c>
      <c r="AY599" t="s">
        <v>74</v>
      </c>
      <c r="AZ599" t="s">
        <v>74</v>
      </c>
      <c r="BA599" t="s">
        <v>74</v>
      </c>
      <c r="BB599">
        <v>249</v>
      </c>
      <c r="BC599" t="s">
        <v>1316</v>
      </c>
      <c r="BD599" t="s">
        <v>74</v>
      </c>
      <c r="BE599" t="s">
        <v>10608</v>
      </c>
      <c r="BF599" t="str">
        <f>HYPERLINK("http://dx.doi.org/10.3354/meps09392","http://dx.doi.org/10.3354/meps09392")</f>
        <v>http://dx.doi.org/10.3354/meps09392</v>
      </c>
      <c r="BG599" t="s">
        <v>74</v>
      </c>
      <c r="BH599" t="s">
        <v>74</v>
      </c>
      <c r="BI599">
        <v>21</v>
      </c>
      <c r="BJ599" t="s">
        <v>3240</v>
      </c>
      <c r="BK599" t="s">
        <v>100</v>
      </c>
      <c r="BL599" t="s">
        <v>3241</v>
      </c>
      <c r="BM599" t="s">
        <v>10593</v>
      </c>
      <c r="BN599" t="s">
        <v>74</v>
      </c>
      <c r="BO599" t="s">
        <v>252</v>
      </c>
      <c r="BP599" t="s">
        <v>74</v>
      </c>
      <c r="BQ599" t="s">
        <v>74</v>
      </c>
      <c r="BR599" t="s">
        <v>103</v>
      </c>
      <c r="BS599" t="s">
        <v>10609</v>
      </c>
      <c r="BT599" t="str">
        <f>HYPERLINK("https%3A%2F%2Fwww.webofscience.com%2Fwos%2Fwoscc%2Ffull-record%2FWOS:000298302500018","View Full Record in Web of Science")</f>
        <v>View Full Record in Web of Science</v>
      </c>
    </row>
    <row r="600" spans="1:72" x14ac:dyDescent="0.15">
      <c r="A600" t="s">
        <v>72</v>
      </c>
      <c r="B600" t="s">
        <v>10610</v>
      </c>
      <c r="C600" t="s">
        <v>74</v>
      </c>
      <c r="D600" t="s">
        <v>74</v>
      </c>
      <c r="E600" t="s">
        <v>74</v>
      </c>
      <c r="F600" t="s">
        <v>10611</v>
      </c>
      <c r="G600" t="s">
        <v>74</v>
      </c>
      <c r="H600" t="s">
        <v>74</v>
      </c>
      <c r="I600" t="s">
        <v>10612</v>
      </c>
      <c r="J600" t="s">
        <v>3221</v>
      </c>
      <c r="K600" t="s">
        <v>74</v>
      </c>
      <c r="L600" t="s">
        <v>74</v>
      </c>
      <c r="M600" t="s">
        <v>78</v>
      </c>
      <c r="N600" t="s">
        <v>79</v>
      </c>
      <c r="O600" t="s">
        <v>74</v>
      </c>
      <c r="P600" t="s">
        <v>74</v>
      </c>
      <c r="Q600" t="s">
        <v>74</v>
      </c>
      <c r="R600" t="s">
        <v>74</v>
      </c>
      <c r="S600" t="s">
        <v>74</v>
      </c>
      <c r="T600" t="s">
        <v>10613</v>
      </c>
      <c r="U600" t="s">
        <v>10614</v>
      </c>
      <c r="V600" t="s">
        <v>10615</v>
      </c>
      <c r="W600" t="s">
        <v>10616</v>
      </c>
      <c r="X600" t="s">
        <v>10617</v>
      </c>
      <c r="Y600" t="s">
        <v>10618</v>
      </c>
      <c r="Z600" t="s">
        <v>10619</v>
      </c>
      <c r="AA600" t="s">
        <v>10620</v>
      </c>
      <c r="AB600" t="s">
        <v>10621</v>
      </c>
      <c r="AC600" t="s">
        <v>10622</v>
      </c>
      <c r="AD600" t="s">
        <v>10623</v>
      </c>
      <c r="AE600" t="s">
        <v>10624</v>
      </c>
      <c r="AF600" t="s">
        <v>74</v>
      </c>
      <c r="AG600">
        <v>50</v>
      </c>
      <c r="AH600">
        <v>88</v>
      </c>
      <c r="AI600">
        <v>95</v>
      </c>
      <c r="AJ600">
        <v>1</v>
      </c>
      <c r="AK600">
        <v>44</v>
      </c>
      <c r="AL600" t="s">
        <v>3232</v>
      </c>
      <c r="AM600" t="s">
        <v>3233</v>
      </c>
      <c r="AN600" t="s">
        <v>3234</v>
      </c>
      <c r="AO600" t="s">
        <v>3235</v>
      </c>
      <c r="AP600" t="s">
        <v>3236</v>
      </c>
      <c r="AQ600" t="s">
        <v>74</v>
      </c>
      <c r="AR600" t="s">
        <v>3237</v>
      </c>
      <c r="AS600" t="s">
        <v>3238</v>
      </c>
      <c r="AT600" t="s">
        <v>74</v>
      </c>
      <c r="AU600">
        <v>2011</v>
      </c>
      <c r="AV600">
        <v>442</v>
      </c>
      <c r="AW600" t="s">
        <v>74</v>
      </c>
      <c r="AX600" t="s">
        <v>74</v>
      </c>
      <c r="AY600" t="s">
        <v>74</v>
      </c>
      <c r="AZ600" t="s">
        <v>74</v>
      </c>
      <c r="BA600" t="s">
        <v>74</v>
      </c>
      <c r="BB600">
        <v>87</v>
      </c>
      <c r="BC600">
        <v>99</v>
      </c>
      <c r="BD600" t="s">
        <v>74</v>
      </c>
      <c r="BE600" t="s">
        <v>10625</v>
      </c>
      <c r="BF600" t="str">
        <f>HYPERLINK("http://dx.doi.org/10.3354/meps09400","http://dx.doi.org/10.3354/meps09400")</f>
        <v>http://dx.doi.org/10.3354/meps09400</v>
      </c>
      <c r="BG600" t="s">
        <v>74</v>
      </c>
      <c r="BH600" t="s">
        <v>74</v>
      </c>
      <c r="BI600">
        <v>13</v>
      </c>
      <c r="BJ600" t="s">
        <v>3240</v>
      </c>
      <c r="BK600" t="s">
        <v>100</v>
      </c>
      <c r="BL600" t="s">
        <v>3241</v>
      </c>
      <c r="BM600" t="s">
        <v>10626</v>
      </c>
      <c r="BN600" t="s">
        <v>74</v>
      </c>
      <c r="BO600" t="s">
        <v>10627</v>
      </c>
      <c r="BP600" t="s">
        <v>74</v>
      </c>
      <c r="BQ600" t="s">
        <v>74</v>
      </c>
      <c r="BR600" t="s">
        <v>103</v>
      </c>
      <c r="BS600" t="s">
        <v>10628</v>
      </c>
      <c r="BT600" t="str">
        <f>HYPERLINK("https%3A%2F%2Fwww.webofscience.com%2Fwos%2Fwoscc%2Ffull-record%2FWOS:000298301200007","View Full Record in Web of Science")</f>
        <v>View Full Record in Web of Science</v>
      </c>
    </row>
    <row r="601" spans="1:72" x14ac:dyDescent="0.15">
      <c r="A601" t="s">
        <v>72</v>
      </c>
      <c r="B601" t="s">
        <v>10629</v>
      </c>
      <c r="C601" t="s">
        <v>74</v>
      </c>
      <c r="D601" t="s">
        <v>74</v>
      </c>
      <c r="E601" t="s">
        <v>74</v>
      </c>
      <c r="F601" t="s">
        <v>10630</v>
      </c>
      <c r="G601" t="s">
        <v>74</v>
      </c>
      <c r="H601" t="s">
        <v>74</v>
      </c>
      <c r="I601" t="s">
        <v>10631</v>
      </c>
      <c r="J601" t="s">
        <v>3221</v>
      </c>
      <c r="K601" t="s">
        <v>74</v>
      </c>
      <c r="L601" t="s">
        <v>74</v>
      </c>
      <c r="M601" t="s">
        <v>78</v>
      </c>
      <c r="N601" t="s">
        <v>79</v>
      </c>
      <c r="O601" t="s">
        <v>74</v>
      </c>
      <c r="P601" t="s">
        <v>74</v>
      </c>
      <c r="Q601" t="s">
        <v>74</v>
      </c>
      <c r="R601" t="s">
        <v>74</v>
      </c>
      <c r="S601" t="s">
        <v>74</v>
      </c>
      <c r="T601" t="s">
        <v>10632</v>
      </c>
      <c r="U601" t="s">
        <v>10633</v>
      </c>
      <c r="V601" t="s">
        <v>10634</v>
      </c>
      <c r="W601" t="s">
        <v>10635</v>
      </c>
      <c r="X601" t="s">
        <v>10636</v>
      </c>
      <c r="Y601" t="s">
        <v>10637</v>
      </c>
      <c r="Z601" t="s">
        <v>10638</v>
      </c>
      <c r="AA601" t="s">
        <v>74</v>
      </c>
      <c r="AB601" t="s">
        <v>10639</v>
      </c>
      <c r="AC601" t="s">
        <v>10640</v>
      </c>
      <c r="AD601" t="s">
        <v>10641</v>
      </c>
      <c r="AE601" t="s">
        <v>10642</v>
      </c>
      <c r="AF601" t="s">
        <v>74</v>
      </c>
      <c r="AG601">
        <v>47</v>
      </c>
      <c r="AH601">
        <v>34</v>
      </c>
      <c r="AI601">
        <v>39</v>
      </c>
      <c r="AJ601">
        <v>2</v>
      </c>
      <c r="AK601">
        <v>37</v>
      </c>
      <c r="AL601" t="s">
        <v>3232</v>
      </c>
      <c r="AM601" t="s">
        <v>3233</v>
      </c>
      <c r="AN601" t="s">
        <v>3234</v>
      </c>
      <c r="AO601" t="s">
        <v>3235</v>
      </c>
      <c r="AP601" t="s">
        <v>74</v>
      </c>
      <c r="AQ601" t="s">
        <v>74</v>
      </c>
      <c r="AR601" t="s">
        <v>3237</v>
      </c>
      <c r="AS601" t="s">
        <v>3238</v>
      </c>
      <c r="AT601" t="s">
        <v>74</v>
      </c>
      <c r="AU601">
        <v>2011</v>
      </c>
      <c r="AV601">
        <v>442</v>
      </c>
      <c r="AW601" t="s">
        <v>74</v>
      </c>
      <c r="AX601" t="s">
        <v>74</v>
      </c>
      <c r="AY601" t="s">
        <v>74</v>
      </c>
      <c r="AZ601" t="s">
        <v>74</v>
      </c>
      <c r="BA601" t="s">
        <v>74</v>
      </c>
      <c r="BB601">
        <v>241</v>
      </c>
      <c r="BC601">
        <v>253</v>
      </c>
      <c r="BD601" t="s">
        <v>74</v>
      </c>
      <c r="BE601" t="s">
        <v>10643</v>
      </c>
      <c r="BF601" t="str">
        <f>HYPERLINK("http://dx.doi.org/10.3354/meps09373","http://dx.doi.org/10.3354/meps09373")</f>
        <v>http://dx.doi.org/10.3354/meps09373</v>
      </c>
      <c r="BG601" t="s">
        <v>74</v>
      </c>
      <c r="BH601" t="s">
        <v>74</v>
      </c>
      <c r="BI601">
        <v>13</v>
      </c>
      <c r="BJ601" t="s">
        <v>3240</v>
      </c>
      <c r="BK601" t="s">
        <v>100</v>
      </c>
      <c r="BL601" t="s">
        <v>3241</v>
      </c>
      <c r="BM601" t="s">
        <v>10626</v>
      </c>
      <c r="BN601" t="s">
        <v>74</v>
      </c>
      <c r="BO601" t="s">
        <v>252</v>
      </c>
      <c r="BP601" t="s">
        <v>74</v>
      </c>
      <c r="BQ601" t="s">
        <v>74</v>
      </c>
      <c r="BR601" t="s">
        <v>103</v>
      </c>
      <c r="BS601" t="s">
        <v>10644</v>
      </c>
      <c r="BT601" t="str">
        <f>HYPERLINK("https%3A%2F%2Fwww.webofscience.com%2Fwos%2Fwoscc%2Ffull-record%2FWOS:000298301200018","View Full Record in Web of Science")</f>
        <v>View Full Record in Web of Science</v>
      </c>
    </row>
    <row r="602" spans="1:72" x14ac:dyDescent="0.15">
      <c r="A602" t="s">
        <v>72</v>
      </c>
      <c r="B602" t="s">
        <v>10645</v>
      </c>
      <c r="C602" t="s">
        <v>74</v>
      </c>
      <c r="D602" t="s">
        <v>74</v>
      </c>
      <c r="E602" t="s">
        <v>74</v>
      </c>
      <c r="F602" t="s">
        <v>10646</v>
      </c>
      <c r="G602" t="s">
        <v>74</v>
      </c>
      <c r="H602" t="s">
        <v>74</v>
      </c>
      <c r="I602" t="s">
        <v>10647</v>
      </c>
      <c r="J602" t="s">
        <v>3221</v>
      </c>
      <c r="K602" t="s">
        <v>74</v>
      </c>
      <c r="L602" t="s">
        <v>74</v>
      </c>
      <c r="M602" t="s">
        <v>78</v>
      </c>
      <c r="N602" t="s">
        <v>79</v>
      </c>
      <c r="O602" t="s">
        <v>74</v>
      </c>
      <c r="P602" t="s">
        <v>74</v>
      </c>
      <c r="Q602" t="s">
        <v>74</v>
      </c>
      <c r="R602" t="s">
        <v>74</v>
      </c>
      <c r="S602" t="s">
        <v>74</v>
      </c>
      <c r="T602" t="s">
        <v>10648</v>
      </c>
      <c r="U602" t="s">
        <v>10649</v>
      </c>
      <c r="V602" t="s">
        <v>10650</v>
      </c>
      <c r="W602" t="s">
        <v>10651</v>
      </c>
      <c r="X602" t="s">
        <v>10652</v>
      </c>
      <c r="Y602" t="s">
        <v>10653</v>
      </c>
      <c r="Z602" t="s">
        <v>10654</v>
      </c>
      <c r="AA602" t="s">
        <v>10655</v>
      </c>
      <c r="AB602" t="s">
        <v>10656</v>
      </c>
      <c r="AC602" t="s">
        <v>10657</v>
      </c>
      <c r="AD602" t="s">
        <v>10658</v>
      </c>
      <c r="AE602" t="s">
        <v>10659</v>
      </c>
      <c r="AF602" t="s">
        <v>74</v>
      </c>
      <c r="AG602">
        <v>61</v>
      </c>
      <c r="AH602">
        <v>9</v>
      </c>
      <c r="AI602">
        <v>10</v>
      </c>
      <c r="AJ602">
        <v>0</v>
      </c>
      <c r="AK602">
        <v>12</v>
      </c>
      <c r="AL602" t="s">
        <v>3232</v>
      </c>
      <c r="AM602" t="s">
        <v>3233</v>
      </c>
      <c r="AN602" t="s">
        <v>3234</v>
      </c>
      <c r="AO602" t="s">
        <v>3235</v>
      </c>
      <c r="AP602" t="s">
        <v>3236</v>
      </c>
      <c r="AQ602" t="s">
        <v>74</v>
      </c>
      <c r="AR602" t="s">
        <v>3237</v>
      </c>
      <c r="AS602" t="s">
        <v>3238</v>
      </c>
      <c r="AT602" t="s">
        <v>74</v>
      </c>
      <c r="AU602">
        <v>2011</v>
      </c>
      <c r="AV602">
        <v>441</v>
      </c>
      <c r="AW602" t="s">
        <v>74</v>
      </c>
      <c r="AX602" t="s">
        <v>74</v>
      </c>
      <c r="AY602" t="s">
        <v>74</v>
      </c>
      <c r="AZ602" t="s">
        <v>74</v>
      </c>
      <c r="BA602" t="s">
        <v>74</v>
      </c>
      <c r="BB602">
        <v>105</v>
      </c>
      <c r="BC602">
        <v>116</v>
      </c>
      <c r="BD602" t="s">
        <v>74</v>
      </c>
      <c r="BE602" t="s">
        <v>10660</v>
      </c>
      <c r="BF602" t="str">
        <f>HYPERLINK("http://dx.doi.org/10.3354/meps09330","http://dx.doi.org/10.3354/meps09330")</f>
        <v>http://dx.doi.org/10.3354/meps09330</v>
      </c>
      <c r="BG602" t="s">
        <v>74</v>
      </c>
      <c r="BH602" t="s">
        <v>74</v>
      </c>
      <c r="BI602">
        <v>12</v>
      </c>
      <c r="BJ602" t="s">
        <v>3240</v>
      </c>
      <c r="BK602" t="s">
        <v>100</v>
      </c>
      <c r="BL602" t="s">
        <v>3241</v>
      </c>
      <c r="BM602" t="s">
        <v>10661</v>
      </c>
      <c r="BN602" t="s">
        <v>74</v>
      </c>
      <c r="BO602" t="s">
        <v>1696</v>
      </c>
      <c r="BP602" t="s">
        <v>74</v>
      </c>
      <c r="BQ602" t="s">
        <v>74</v>
      </c>
      <c r="BR602" t="s">
        <v>103</v>
      </c>
      <c r="BS602" t="s">
        <v>10662</v>
      </c>
      <c r="BT602" t="str">
        <f>HYPERLINK("https%3A%2F%2Fwww.webofscience.com%2Fwos%2Fwoscc%2Ffull-record%2FWOS:000298061000009","View Full Record in Web of Science")</f>
        <v>View Full Record in Web of Science</v>
      </c>
    </row>
    <row r="603" spans="1:72" x14ac:dyDescent="0.15">
      <c r="A603" t="s">
        <v>72</v>
      </c>
      <c r="B603" t="s">
        <v>10663</v>
      </c>
      <c r="C603" t="s">
        <v>74</v>
      </c>
      <c r="D603" t="s">
        <v>74</v>
      </c>
      <c r="E603" t="s">
        <v>74</v>
      </c>
      <c r="F603" t="s">
        <v>10664</v>
      </c>
      <c r="G603" t="s">
        <v>74</v>
      </c>
      <c r="H603" t="s">
        <v>74</v>
      </c>
      <c r="I603" t="s">
        <v>10665</v>
      </c>
      <c r="J603" t="s">
        <v>3221</v>
      </c>
      <c r="K603" t="s">
        <v>74</v>
      </c>
      <c r="L603" t="s">
        <v>74</v>
      </c>
      <c r="M603" t="s">
        <v>78</v>
      </c>
      <c r="N603" t="s">
        <v>79</v>
      </c>
      <c r="O603" t="s">
        <v>74</v>
      </c>
      <c r="P603" t="s">
        <v>74</v>
      </c>
      <c r="Q603" t="s">
        <v>74</v>
      </c>
      <c r="R603" t="s">
        <v>74</v>
      </c>
      <c r="S603" t="s">
        <v>74</v>
      </c>
      <c r="T603" t="s">
        <v>10666</v>
      </c>
      <c r="U603" t="s">
        <v>10667</v>
      </c>
      <c r="V603" t="s">
        <v>10668</v>
      </c>
      <c r="W603" t="s">
        <v>10669</v>
      </c>
      <c r="X603" t="s">
        <v>10670</v>
      </c>
      <c r="Y603" t="s">
        <v>10671</v>
      </c>
      <c r="Z603" t="s">
        <v>10672</v>
      </c>
      <c r="AA603" t="s">
        <v>10673</v>
      </c>
      <c r="AB603" t="s">
        <v>10674</v>
      </c>
      <c r="AC603" t="s">
        <v>10675</v>
      </c>
      <c r="AD603" t="s">
        <v>10676</v>
      </c>
      <c r="AE603" t="s">
        <v>10677</v>
      </c>
      <c r="AF603" t="s">
        <v>74</v>
      </c>
      <c r="AG603">
        <v>61</v>
      </c>
      <c r="AH603">
        <v>36</v>
      </c>
      <c r="AI603">
        <v>41</v>
      </c>
      <c r="AJ603">
        <v>1</v>
      </c>
      <c r="AK603">
        <v>30</v>
      </c>
      <c r="AL603" t="s">
        <v>3232</v>
      </c>
      <c r="AM603" t="s">
        <v>3233</v>
      </c>
      <c r="AN603" t="s">
        <v>3234</v>
      </c>
      <c r="AO603" t="s">
        <v>3235</v>
      </c>
      <c r="AP603" t="s">
        <v>3236</v>
      </c>
      <c r="AQ603" t="s">
        <v>74</v>
      </c>
      <c r="AR603" t="s">
        <v>3237</v>
      </c>
      <c r="AS603" t="s">
        <v>3238</v>
      </c>
      <c r="AT603" t="s">
        <v>74</v>
      </c>
      <c r="AU603">
        <v>2011</v>
      </c>
      <c r="AV603">
        <v>441</v>
      </c>
      <c r="AW603" t="s">
        <v>74</v>
      </c>
      <c r="AX603" t="s">
        <v>74</v>
      </c>
      <c r="AY603" t="s">
        <v>74</v>
      </c>
      <c r="AZ603" t="s">
        <v>74</v>
      </c>
      <c r="BA603" t="s">
        <v>74</v>
      </c>
      <c r="BB603">
        <v>129</v>
      </c>
      <c r="BC603">
        <v>139</v>
      </c>
      <c r="BD603" t="s">
        <v>74</v>
      </c>
      <c r="BE603" t="s">
        <v>10678</v>
      </c>
      <c r="BF603" t="str">
        <f>HYPERLINK("http://dx.doi.org/10.3354/meps09358","http://dx.doi.org/10.3354/meps09358")</f>
        <v>http://dx.doi.org/10.3354/meps09358</v>
      </c>
      <c r="BG603" t="s">
        <v>74</v>
      </c>
      <c r="BH603" t="s">
        <v>74</v>
      </c>
      <c r="BI603">
        <v>11</v>
      </c>
      <c r="BJ603" t="s">
        <v>3240</v>
      </c>
      <c r="BK603" t="s">
        <v>100</v>
      </c>
      <c r="BL603" t="s">
        <v>3241</v>
      </c>
      <c r="BM603" t="s">
        <v>10661</v>
      </c>
      <c r="BN603" t="s">
        <v>74</v>
      </c>
      <c r="BO603" t="s">
        <v>252</v>
      </c>
      <c r="BP603" t="s">
        <v>74</v>
      </c>
      <c r="BQ603" t="s">
        <v>74</v>
      </c>
      <c r="BR603" t="s">
        <v>103</v>
      </c>
      <c r="BS603" t="s">
        <v>10679</v>
      </c>
      <c r="BT603" t="str">
        <f>HYPERLINK("https%3A%2F%2Fwww.webofscience.com%2Fwos%2Fwoscc%2Ffull-record%2FWOS:000298061000011","View Full Record in Web of Science")</f>
        <v>View Full Record in Web of Science</v>
      </c>
    </row>
    <row r="604" spans="1:72" x14ac:dyDescent="0.15">
      <c r="A604" t="s">
        <v>72</v>
      </c>
      <c r="B604" t="s">
        <v>10680</v>
      </c>
      <c r="C604" t="s">
        <v>74</v>
      </c>
      <c r="D604" t="s">
        <v>74</v>
      </c>
      <c r="E604" t="s">
        <v>74</v>
      </c>
      <c r="F604" t="s">
        <v>10681</v>
      </c>
      <c r="G604" t="s">
        <v>74</v>
      </c>
      <c r="H604" t="s">
        <v>74</v>
      </c>
      <c r="I604" t="s">
        <v>10682</v>
      </c>
      <c r="J604" t="s">
        <v>3221</v>
      </c>
      <c r="K604" t="s">
        <v>74</v>
      </c>
      <c r="L604" t="s">
        <v>74</v>
      </c>
      <c r="M604" t="s">
        <v>78</v>
      </c>
      <c r="N604" t="s">
        <v>79</v>
      </c>
      <c r="O604" t="s">
        <v>74</v>
      </c>
      <c r="P604" t="s">
        <v>74</v>
      </c>
      <c r="Q604" t="s">
        <v>74</v>
      </c>
      <c r="R604" t="s">
        <v>74</v>
      </c>
      <c r="S604" t="s">
        <v>74</v>
      </c>
      <c r="T604" t="s">
        <v>10683</v>
      </c>
      <c r="U604" t="s">
        <v>10684</v>
      </c>
      <c r="V604" t="s">
        <v>10685</v>
      </c>
      <c r="W604" t="s">
        <v>10686</v>
      </c>
      <c r="X604" t="s">
        <v>10687</v>
      </c>
      <c r="Y604" t="s">
        <v>10688</v>
      </c>
      <c r="Z604" t="s">
        <v>10689</v>
      </c>
      <c r="AA604" t="s">
        <v>10690</v>
      </c>
      <c r="AB604" t="s">
        <v>10691</v>
      </c>
      <c r="AC604" t="s">
        <v>10692</v>
      </c>
      <c r="AD604" t="s">
        <v>10692</v>
      </c>
      <c r="AE604" t="s">
        <v>10693</v>
      </c>
      <c r="AF604" t="s">
        <v>74</v>
      </c>
      <c r="AG604">
        <v>78</v>
      </c>
      <c r="AH604">
        <v>52</v>
      </c>
      <c r="AI604">
        <v>60</v>
      </c>
      <c r="AJ604">
        <v>2</v>
      </c>
      <c r="AK604">
        <v>117</v>
      </c>
      <c r="AL604" t="s">
        <v>3232</v>
      </c>
      <c r="AM604" t="s">
        <v>3233</v>
      </c>
      <c r="AN604" t="s">
        <v>3234</v>
      </c>
      <c r="AO604" t="s">
        <v>3235</v>
      </c>
      <c r="AP604" t="s">
        <v>3236</v>
      </c>
      <c r="AQ604" t="s">
        <v>74</v>
      </c>
      <c r="AR604" t="s">
        <v>3237</v>
      </c>
      <c r="AS604" t="s">
        <v>3238</v>
      </c>
      <c r="AT604" t="s">
        <v>74</v>
      </c>
      <c r="AU604">
        <v>2011</v>
      </c>
      <c r="AV604">
        <v>441</v>
      </c>
      <c r="AW604" t="s">
        <v>74</v>
      </c>
      <c r="AX604" t="s">
        <v>74</v>
      </c>
      <c r="AY604" t="s">
        <v>74</v>
      </c>
      <c r="AZ604" t="s">
        <v>74</v>
      </c>
      <c r="BA604" t="s">
        <v>74</v>
      </c>
      <c r="BB604">
        <v>257</v>
      </c>
      <c r="BC604">
        <v>272</v>
      </c>
      <c r="BD604" t="s">
        <v>74</v>
      </c>
      <c r="BE604" t="s">
        <v>10694</v>
      </c>
      <c r="BF604" t="str">
        <f>HYPERLINK("http://dx.doi.org/10.3354/meps09383","http://dx.doi.org/10.3354/meps09383")</f>
        <v>http://dx.doi.org/10.3354/meps09383</v>
      </c>
      <c r="BG604" t="s">
        <v>74</v>
      </c>
      <c r="BH604" t="s">
        <v>74</v>
      </c>
      <c r="BI604">
        <v>16</v>
      </c>
      <c r="BJ604" t="s">
        <v>3240</v>
      </c>
      <c r="BK604" t="s">
        <v>100</v>
      </c>
      <c r="BL604" t="s">
        <v>3241</v>
      </c>
      <c r="BM604" t="s">
        <v>10661</v>
      </c>
      <c r="BN604" t="s">
        <v>74</v>
      </c>
      <c r="BO604" t="s">
        <v>252</v>
      </c>
      <c r="BP604" t="s">
        <v>74</v>
      </c>
      <c r="BQ604" t="s">
        <v>74</v>
      </c>
      <c r="BR604" t="s">
        <v>103</v>
      </c>
      <c r="BS604" t="s">
        <v>10695</v>
      </c>
      <c r="BT604" t="str">
        <f>HYPERLINK("https%3A%2F%2Fwww.webofscience.com%2Fwos%2Fwoscc%2Ffull-record%2FWOS:000298061000021","View Full Record in Web of Science")</f>
        <v>View Full Record in Web of Science</v>
      </c>
    </row>
    <row r="605" spans="1:72" x14ac:dyDescent="0.15">
      <c r="A605" t="s">
        <v>72</v>
      </c>
      <c r="B605" t="s">
        <v>10696</v>
      </c>
      <c r="C605" t="s">
        <v>74</v>
      </c>
      <c r="D605" t="s">
        <v>74</v>
      </c>
      <c r="E605" t="s">
        <v>74</v>
      </c>
      <c r="F605" t="s">
        <v>10697</v>
      </c>
      <c r="G605" t="s">
        <v>74</v>
      </c>
      <c r="H605" t="s">
        <v>74</v>
      </c>
      <c r="I605" t="s">
        <v>10698</v>
      </c>
      <c r="J605" t="s">
        <v>3221</v>
      </c>
      <c r="K605" t="s">
        <v>74</v>
      </c>
      <c r="L605" t="s">
        <v>74</v>
      </c>
      <c r="M605" t="s">
        <v>78</v>
      </c>
      <c r="N605" t="s">
        <v>79</v>
      </c>
      <c r="O605" t="s">
        <v>74</v>
      </c>
      <c r="P605" t="s">
        <v>74</v>
      </c>
      <c r="Q605" t="s">
        <v>74</v>
      </c>
      <c r="R605" t="s">
        <v>74</v>
      </c>
      <c r="S605" t="s">
        <v>74</v>
      </c>
      <c r="T605" t="s">
        <v>10699</v>
      </c>
      <c r="U605" t="s">
        <v>10700</v>
      </c>
      <c r="V605" t="s">
        <v>10701</v>
      </c>
      <c r="W605" t="s">
        <v>10702</v>
      </c>
      <c r="X605" t="s">
        <v>7299</v>
      </c>
      <c r="Y605" t="s">
        <v>10703</v>
      </c>
      <c r="Z605" t="s">
        <v>10704</v>
      </c>
      <c r="AA605" t="s">
        <v>74</v>
      </c>
      <c r="AB605" t="s">
        <v>74</v>
      </c>
      <c r="AC605" t="s">
        <v>10705</v>
      </c>
      <c r="AD605" t="s">
        <v>10706</v>
      </c>
      <c r="AE605" t="s">
        <v>10707</v>
      </c>
      <c r="AF605" t="s">
        <v>74</v>
      </c>
      <c r="AG605">
        <v>54</v>
      </c>
      <c r="AH605">
        <v>36</v>
      </c>
      <c r="AI605">
        <v>38</v>
      </c>
      <c r="AJ605">
        <v>4</v>
      </c>
      <c r="AK605">
        <v>55</v>
      </c>
      <c r="AL605" t="s">
        <v>3232</v>
      </c>
      <c r="AM605" t="s">
        <v>3233</v>
      </c>
      <c r="AN605" t="s">
        <v>3234</v>
      </c>
      <c r="AO605" t="s">
        <v>3235</v>
      </c>
      <c r="AP605" t="s">
        <v>3236</v>
      </c>
      <c r="AQ605" t="s">
        <v>74</v>
      </c>
      <c r="AR605" t="s">
        <v>3237</v>
      </c>
      <c r="AS605" t="s">
        <v>3238</v>
      </c>
      <c r="AT605" t="s">
        <v>74</v>
      </c>
      <c r="AU605">
        <v>2011</v>
      </c>
      <c r="AV605">
        <v>440</v>
      </c>
      <c r="AW605" t="s">
        <v>74</v>
      </c>
      <c r="AX605" t="s">
        <v>74</v>
      </c>
      <c r="AY605" t="s">
        <v>74</v>
      </c>
      <c r="AZ605" t="s">
        <v>74</v>
      </c>
      <c r="BA605" t="s">
        <v>74</v>
      </c>
      <c r="BB605">
        <v>203</v>
      </c>
      <c r="BC605">
        <v>216</v>
      </c>
      <c r="BD605" t="s">
        <v>74</v>
      </c>
      <c r="BE605" t="s">
        <v>10708</v>
      </c>
      <c r="BF605" t="str">
        <f>HYPERLINK("http://dx.doi.org/10.3354/meps09265","http://dx.doi.org/10.3354/meps09265")</f>
        <v>http://dx.doi.org/10.3354/meps09265</v>
      </c>
      <c r="BG605" t="s">
        <v>74</v>
      </c>
      <c r="BH605" t="s">
        <v>74</v>
      </c>
      <c r="BI605">
        <v>14</v>
      </c>
      <c r="BJ605" t="s">
        <v>3240</v>
      </c>
      <c r="BK605" t="s">
        <v>100</v>
      </c>
      <c r="BL605" t="s">
        <v>3241</v>
      </c>
      <c r="BM605" t="s">
        <v>10709</v>
      </c>
      <c r="BN605" t="s">
        <v>74</v>
      </c>
      <c r="BO605" t="s">
        <v>252</v>
      </c>
      <c r="BP605" t="s">
        <v>74</v>
      </c>
      <c r="BQ605" t="s">
        <v>74</v>
      </c>
      <c r="BR605" t="s">
        <v>103</v>
      </c>
      <c r="BS605" t="s">
        <v>10710</v>
      </c>
      <c r="BT605" t="str">
        <f>HYPERLINK("https%3A%2F%2Fwww.webofscience.com%2Fwos%2Fwoscc%2Ffull-record%2FWOS:000296391900017","View Full Record in Web of Science")</f>
        <v>View Full Record in Web of Science</v>
      </c>
    </row>
    <row r="606" spans="1:72" x14ac:dyDescent="0.15">
      <c r="A606" t="s">
        <v>72</v>
      </c>
      <c r="B606" t="s">
        <v>10711</v>
      </c>
      <c r="C606" t="s">
        <v>74</v>
      </c>
      <c r="D606" t="s">
        <v>74</v>
      </c>
      <c r="E606" t="s">
        <v>74</v>
      </c>
      <c r="F606" t="s">
        <v>10712</v>
      </c>
      <c r="G606" t="s">
        <v>74</v>
      </c>
      <c r="H606" t="s">
        <v>74</v>
      </c>
      <c r="I606" t="s">
        <v>10713</v>
      </c>
      <c r="J606" t="s">
        <v>3221</v>
      </c>
      <c r="K606" t="s">
        <v>74</v>
      </c>
      <c r="L606" t="s">
        <v>74</v>
      </c>
      <c r="M606" t="s">
        <v>78</v>
      </c>
      <c r="N606" t="s">
        <v>79</v>
      </c>
      <c r="O606" t="s">
        <v>74</v>
      </c>
      <c r="P606" t="s">
        <v>74</v>
      </c>
      <c r="Q606" t="s">
        <v>74</v>
      </c>
      <c r="R606" t="s">
        <v>74</v>
      </c>
      <c r="S606" t="s">
        <v>74</v>
      </c>
      <c r="T606" t="s">
        <v>10714</v>
      </c>
      <c r="U606" t="s">
        <v>10715</v>
      </c>
      <c r="V606" t="s">
        <v>10716</v>
      </c>
      <c r="W606" t="s">
        <v>10717</v>
      </c>
      <c r="X606" t="s">
        <v>10718</v>
      </c>
      <c r="Y606" t="s">
        <v>10719</v>
      </c>
      <c r="Z606" t="s">
        <v>10720</v>
      </c>
      <c r="AA606" t="s">
        <v>74</v>
      </c>
      <c r="AB606" t="s">
        <v>74</v>
      </c>
      <c r="AC606" t="s">
        <v>10721</v>
      </c>
      <c r="AD606" t="s">
        <v>10722</v>
      </c>
      <c r="AE606" t="s">
        <v>10723</v>
      </c>
      <c r="AF606" t="s">
        <v>74</v>
      </c>
      <c r="AG606">
        <v>57</v>
      </c>
      <c r="AH606">
        <v>11</v>
      </c>
      <c r="AI606">
        <v>11</v>
      </c>
      <c r="AJ606">
        <v>0</v>
      </c>
      <c r="AK606">
        <v>16</v>
      </c>
      <c r="AL606" t="s">
        <v>3232</v>
      </c>
      <c r="AM606" t="s">
        <v>3233</v>
      </c>
      <c r="AN606" t="s">
        <v>3234</v>
      </c>
      <c r="AO606" t="s">
        <v>3235</v>
      </c>
      <c r="AP606" t="s">
        <v>74</v>
      </c>
      <c r="AQ606" t="s">
        <v>74</v>
      </c>
      <c r="AR606" t="s">
        <v>3237</v>
      </c>
      <c r="AS606" t="s">
        <v>3238</v>
      </c>
      <c r="AT606" t="s">
        <v>74</v>
      </c>
      <c r="AU606">
        <v>2011</v>
      </c>
      <c r="AV606">
        <v>439</v>
      </c>
      <c r="AW606" t="s">
        <v>74</v>
      </c>
      <c r="AX606" t="s">
        <v>74</v>
      </c>
      <c r="AY606" t="s">
        <v>74</v>
      </c>
      <c r="AZ606" t="s">
        <v>74</v>
      </c>
      <c r="BA606" t="s">
        <v>74</v>
      </c>
      <c r="BB606">
        <v>127</v>
      </c>
      <c r="BC606">
        <v>138</v>
      </c>
      <c r="BD606" t="s">
        <v>74</v>
      </c>
      <c r="BE606" t="s">
        <v>10724</v>
      </c>
      <c r="BF606" t="str">
        <f>HYPERLINK("http://dx.doi.org/10.3354/meps09324","http://dx.doi.org/10.3354/meps09324")</f>
        <v>http://dx.doi.org/10.3354/meps09324</v>
      </c>
      <c r="BG606" t="s">
        <v>74</v>
      </c>
      <c r="BH606" t="s">
        <v>74</v>
      </c>
      <c r="BI606">
        <v>12</v>
      </c>
      <c r="BJ606" t="s">
        <v>3240</v>
      </c>
      <c r="BK606" t="s">
        <v>100</v>
      </c>
      <c r="BL606" t="s">
        <v>3241</v>
      </c>
      <c r="BM606" t="s">
        <v>10725</v>
      </c>
      <c r="BN606" t="s">
        <v>74</v>
      </c>
      <c r="BO606" t="s">
        <v>252</v>
      </c>
      <c r="BP606" t="s">
        <v>74</v>
      </c>
      <c r="BQ606" t="s">
        <v>74</v>
      </c>
      <c r="BR606" t="s">
        <v>103</v>
      </c>
      <c r="BS606" t="s">
        <v>10726</v>
      </c>
      <c r="BT606" t="str">
        <f>HYPERLINK("https%3A%2F%2Fwww.webofscience.com%2Fwos%2Fwoscc%2Ffull-record%2FWOS:000296068200010","View Full Record in Web of Science")</f>
        <v>View Full Record in Web of Science</v>
      </c>
    </row>
    <row r="607" spans="1:72" x14ac:dyDescent="0.15">
      <c r="A607" t="s">
        <v>72</v>
      </c>
      <c r="B607" t="s">
        <v>10727</v>
      </c>
      <c r="C607" t="s">
        <v>74</v>
      </c>
      <c r="D607" t="s">
        <v>74</v>
      </c>
      <c r="E607" t="s">
        <v>74</v>
      </c>
      <c r="F607" t="s">
        <v>10728</v>
      </c>
      <c r="G607" t="s">
        <v>74</v>
      </c>
      <c r="H607" t="s">
        <v>74</v>
      </c>
      <c r="I607" t="s">
        <v>10729</v>
      </c>
      <c r="J607" t="s">
        <v>3221</v>
      </c>
      <c r="K607" t="s">
        <v>74</v>
      </c>
      <c r="L607" t="s">
        <v>74</v>
      </c>
      <c r="M607" t="s">
        <v>78</v>
      </c>
      <c r="N607" t="s">
        <v>79</v>
      </c>
      <c r="O607" t="s">
        <v>74</v>
      </c>
      <c r="P607" t="s">
        <v>74</v>
      </c>
      <c r="Q607" t="s">
        <v>74</v>
      </c>
      <c r="R607" t="s">
        <v>74</v>
      </c>
      <c r="S607" t="s">
        <v>74</v>
      </c>
      <c r="T607" t="s">
        <v>10730</v>
      </c>
      <c r="U607" t="s">
        <v>10731</v>
      </c>
      <c r="V607" t="s">
        <v>10732</v>
      </c>
      <c r="W607" t="s">
        <v>10733</v>
      </c>
      <c r="X607" t="s">
        <v>10734</v>
      </c>
      <c r="Y607" t="s">
        <v>10735</v>
      </c>
      <c r="Z607" t="s">
        <v>10736</v>
      </c>
      <c r="AA607" t="s">
        <v>10737</v>
      </c>
      <c r="AB607" t="s">
        <v>10738</v>
      </c>
      <c r="AC607" t="s">
        <v>10739</v>
      </c>
      <c r="AD607" t="s">
        <v>10740</v>
      </c>
      <c r="AE607" t="s">
        <v>10741</v>
      </c>
      <c r="AF607" t="s">
        <v>74</v>
      </c>
      <c r="AG607">
        <v>66</v>
      </c>
      <c r="AH607">
        <v>28</v>
      </c>
      <c r="AI607">
        <v>32</v>
      </c>
      <c r="AJ607">
        <v>0</v>
      </c>
      <c r="AK607">
        <v>14</v>
      </c>
      <c r="AL607" t="s">
        <v>3232</v>
      </c>
      <c r="AM607" t="s">
        <v>3233</v>
      </c>
      <c r="AN607" t="s">
        <v>3234</v>
      </c>
      <c r="AO607" t="s">
        <v>3235</v>
      </c>
      <c r="AP607" t="s">
        <v>3236</v>
      </c>
      <c r="AQ607" t="s">
        <v>74</v>
      </c>
      <c r="AR607" t="s">
        <v>3237</v>
      </c>
      <c r="AS607" t="s">
        <v>3238</v>
      </c>
      <c r="AT607" t="s">
        <v>74</v>
      </c>
      <c r="AU607">
        <v>2011</v>
      </c>
      <c r="AV607">
        <v>439</v>
      </c>
      <c r="AW607" t="s">
        <v>74</v>
      </c>
      <c r="AX607" t="s">
        <v>74</v>
      </c>
      <c r="AY607" t="s">
        <v>74</v>
      </c>
      <c r="AZ607" t="s">
        <v>74</v>
      </c>
      <c r="BA607" t="s">
        <v>74</v>
      </c>
      <c r="BB607">
        <v>295</v>
      </c>
      <c r="BC607">
        <v>305</v>
      </c>
      <c r="BD607" t="s">
        <v>74</v>
      </c>
      <c r="BE607" t="s">
        <v>10742</v>
      </c>
      <c r="BF607" t="str">
        <f>HYPERLINK("http://dx.doi.org/10.3354/meps09331","http://dx.doi.org/10.3354/meps09331")</f>
        <v>http://dx.doi.org/10.3354/meps09331</v>
      </c>
      <c r="BG607" t="s">
        <v>74</v>
      </c>
      <c r="BH607" t="s">
        <v>74</v>
      </c>
      <c r="BI607">
        <v>11</v>
      </c>
      <c r="BJ607" t="s">
        <v>3240</v>
      </c>
      <c r="BK607" t="s">
        <v>100</v>
      </c>
      <c r="BL607" t="s">
        <v>3241</v>
      </c>
      <c r="BM607" t="s">
        <v>10725</v>
      </c>
      <c r="BN607" t="s">
        <v>74</v>
      </c>
      <c r="BO607" t="s">
        <v>252</v>
      </c>
      <c r="BP607" t="s">
        <v>74</v>
      </c>
      <c r="BQ607" t="s">
        <v>74</v>
      </c>
      <c r="BR607" t="s">
        <v>103</v>
      </c>
      <c r="BS607" t="s">
        <v>10743</v>
      </c>
      <c r="BT607" t="str">
        <f>HYPERLINK("https%3A%2F%2Fwww.webofscience.com%2Fwos%2Fwoscc%2Ffull-record%2FWOS:000296068200023","View Full Record in Web of Science")</f>
        <v>View Full Record in Web of Science</v>
      </c>
    </row>
    <row r="608" spans="1:72" x14ac:dyDescent="0.15">
      <c r="A608" t="s">
        <v>72</v>
      </c>
      <c r="B608" t="s">
        <v>10744</v>
      </c>
      <c r="C608" t="s">
        <v>74</v>
      </c>
      <c r="D608" t="s">
        <v>74</v>
      </c>
      <c r="E608" t="s">
        <v>74</v>
      </c>
      <c r="F608" t="s">
        <v>10745</v>
      </c>
      <c r="G608" t="s">
        <v>74</v>
      </c>
      <c r="H608" t="s">
        <v>74</v>
      </c>
      <c r="I608" t="s">
        <v>10746</v>
      </c>
      <c r="J608" t="s">
        <v>3221</v>
      </c>
      <c r="K608" t="s">
        <v>74</v>
      </c>
      <c r="L608" t="s">
        <v>74</v>
      </c>
      <c r="M608" t="s">
        <v>78</v>
      </c>
      <c r="N608" t="s">
        <v>79</v>
      </c>
      <c r="O608" t="s">
        <v>74</v>
      </c>
      <c r="P608" t="s">
        <v>74</v>
      </c>
      <c r="Q608" t="s">
        <v>74</v>
      </c>
      <c r="R608" t="s">
        <v>74</v>
      </c>
      <c r="S608" t="s">
        <v>74</v>
      </c>
      <c r="T608" t="s">
        <v>10747</v>
      </c>
      <c r="U608" t="s">
        <v>10748</v>
      </c>
      <c r="V608" t="s">
        <v>10749</v>
      </c>
      <c r="W608" t="s">
        <v>10750</v>
      </c>
      <c r="X608" t="s">
        <v>10751</v>
      </c>
      <c r="Y608" t="s">
        <v>10752</v>
      </c>
      <c r="Z608" t="s">
        <v>10753</v>
      </c>
      <c r="AA608" t="s">
        <v>10754</v>
      </c>
      <c r="AB608" t="s">
        <v>10755</v>
      </c>
      <c r="AC608" t="s">
        <v>10756</v>
      </c>
      <c r="AD608" t="s">
        <v>10757</v>
      </c>
      <c r="AE608" t="s">
        <v>10758</v>
      </c>
      <c r="AF608" t="s">
        <v>74</v>
      </c>
      <c r="AG608">
        <v>76</v>
      </c>
      <c r="AH608">
        <v>47</v>
      </c>
      <c r="AI608">
        <v>53</v>
      </c>
      <c r="AJ608">
        <v>1</v>
      </c>
      <c r="AK608">
        <v>56</v>
      </c>
      <c r="AL608" t="s">
        <v>3232</v>
      </c>
      <c r="AM608" t="s">
        <v>3233</v>
      </c>
      <c r="AN608" t="s">
        <v>3234</v>
      </c>
      <c r="AO608" t="s">
        <v>3235</v>
      </c>
      <c r="AP608" t="s">
        <v>3236</v>
      </c>
      <c r="AQ608" t="s">
        <v>74</v>
      </c>
      <c r="AR608" t="s">
        <v>3237</v>
      </c>
      <c r="AS608" t="s">
        <v>3238</v>
      </c>
      <c r="AT608" t="s">
        <v>74</v>
      </c>
      <c r="AU608">
        <v>2011</v>
      </c>
      <c r="AV608">
        <v>435</v>
      </c>
      <c r="AW608" t="s">
        <v>74</v>
      </c>
      <c r="AX608" t="s">
        <v>74</v>
      </c>
      <c r="AY608" t="s">
        <v>74</v>
      </c>
      <c r="AZ608" t="s">
        <v>74</v>
      </c>
      <c r="BA608" t="s">
        <v>74</v>
      </c>
      <c r="BB608">
        <v>251</v>
      </c>
      <c r="BC608" t="s">
        <v>10759</v>
      </c>
      <c r="BD608" t="s">
        <v>74</v>
      </c>
      <c r="BE608" t="s">
        <v>10760</v>
      </c>
      <c r="BF608" t="str">
        <f>HYPERLINK("http://dx.doi.org/10.3354/meps09233","http://dx.doi.org/10.3354/meps09233")</f>
        <v>http://dx.doi.org/10.3354/meps09233</v>
      </c>
      <c r="BG608" t="s">
        <v>74</v>
      </c>
      <c r="BH608" t="s">
        <v>74</v>
      </c>
      <c r="BI608">
        <v>23</v>
      </c>
      <c r="BJ608" t="s">
        <v>3240</v>
      </c>
      <c r="BK608" t="s">
        <v>100</v>
      </c>
      <c r="BL608" t="s">
        <v>3241</v>
      </c>
      <c r="BM608" t="s">
        <v>10761</v>
      </c>
      <c r="BN608" t="s">
        <v>74</v>
      </c>
      <c r="BO608" t="s">
        <v>923</v>
      </c>
      <c r="BP608" t="s">
        <v>74</v>
      </c>
      <c r="BQ608" t="s">
        <v>74</v>
      </c>
      <c r="BR608" t="s">
        <v>103</v>
      </c>
      <c r="BS608" t="s">
        <v>10762</v>
      </c>
      <c r="BT608" t="str">
        <f>HYPERLINK("https%3A%2F%2Fwww.webofscience.com%2Fwos%2Fwoscc%2Ffull-record%2FWOS:000294165700019","View Full Record in Web of Science")</f>
        <v>View Full Record in Web of Science</v>
      </c>
    </row>
    <row r="609" spans="1:72" x14ac:dyDescent="0.15">
      <c r="A609" t="s">
        <v>72</v>
      </c>
      <c r="B609" t="s">
        <v>10763</v>
      </c>
      <c r="C609" t="s">
        <v>74</v>
      </c>
      <c r="D609" t="s">
        <v>74</v>
      </c>
      <c r="E609" t="s">
        <v>74</v>
      </c>
      <c r="F609" t="s">
        <v>10764</v>
      </c>
      <c r="G609" t="s">
        <v>74</v>
      </c>
      <c r="H609" t="s">
        <v>74</v>
      </c>
      <c r="I609" t="s">
        <v>10765</v>
      </c>
      <c r="J609" t="s">
        <v>3221</v>
      </c>
      <c r="K609" t="s">
        <v>74</v>
      </c>
      <c r="L609" t="s">
        <v>74</v>
      </c>
      <c r="M609" t="s">
        <v>78</v>
      </c>
      <c r="N609" t="s">
        <v>79</v>
      </c>
      <c r="O609" t="s">
        <v>74</v>
      </c>
      <c r="P609" t="s">
        <v>74</v>
      </c>
      <c r="Q609" t="s">
        <v>74</v>
      </c>
      <c r="R609" t="s">
        <v>74</v>
      </c>
      <c r="S609" t="s">
        <v>74</v>
      </c>
      <c r="T609" t="s">
        <v>10766</v>
      </c>
      <c r="U609" t="s">
        <v>10767</v>
      </c>
      <c r="V609" t="s">
        <v>10768</v>
      </c>
      <c r="W609" t="s">
        <v>10769</v>
      </c>
      <c r="X609" t="s">
        <v>10770</v>
      </c>
      <c r="Y609" t="s">
        <v>10771</v>
      </c>
      <c r="Z609" t="s">
        <v>10772</v>
      </c>
      <c r="AA609" t="s">
        <v>10773</v>
      </c>
      <c r="AB609" t="s">
        <v>10774</v>
      </c>
      <c r="AC609" t="s">
        <v>10775</v>
      </c>
      <c r="AD609" t="s">
        <v>10776</v>
      </c>
      <c r="AE609" t="s">
        <v>10777</v>
      </c>
      <c r="AF609" t="s">
        <v>74</v>
      </c>
      <c r="AG609">
        <v>27</v>
      </c>
      <c r="AH609">
        <v>72</v>
      </c>
      <c r="AI609">
        <v>80</v>
      </c>
      <c r="AJ609">
        <v>1</v>
      </c>
      <c r="AK609">
        <v>44</v>
      </c>
      <c r="AL609" t="s">
        <v>3232</v>
      </c>
      <c r="AM609" t="s">
        <v>3233</v>
      </c>
      <c r="AN609" t="s">
        <v>3234</v>
      </c>
      <c r="AO609" t="s">
        <v>3235</v>
      </c>
      <c r="AP609" t="s">
        <v>3236</v>
      </c>
      <c r="AQ609" t="s">
        <v>74</v>
      </c>
      <c r="AR609" t="s">
        <v>3237</v>
      </c>
      <c r="AS609" t="s">
        <v>3238</v>
      </c>
      <c r="AT609" t="s">
        <v>74</v>
      </c>
      <c r="AU609">
        <v>2011</v>
      </c>
      <c r="AV609">
        <v>435</v>
      </c>
      <c r="AW609" t="s">
        <v>74</v>
      </c>
      <c r="AX609" t="s">
        <v>74</v>
      </c>
      <c r="AY609" t="s">
        <v>74</v>
      </c>
      <c r="AZ609" t="s">
        <v>74</v>
      </c>
      <c r="BA609" t="s">
        <v>74</v>
      </c>
      <c r="BB609">
        <v>263</v>
      </c>
      <c r="BC609">
        <v>267</v>
      </c>
      <c r="BD609" t="s">
        <v>74</v>
      </c>
      <c r="BE609" t="s">
        <v>10778</v>
      </c>
      <c r="BF609" t="str">
        <f>HYPERLINK("http://dx.doi.org/10.3354/meps09229","http://dx.doi.org/10.3354/meps09229")</f>
        <v>http://dx.doi.org/10.3354/meps09229</v>
      </c>
      <c r="BG609" t="s">
        <v>74</v>
      </c>
      <c r="BH609" t="s">
        <v>74</v>
      </c>
      <c r="BI609">
        <v>5</v>
      </c>
      <c r="BJ609" t="s">
        <v>3240</v>
      </c>
      <c r="BK609" t="s">
        <v>100</v>
      </c>
      <c r="BL609" t="s">
        <v>3241</v>
      </c>
      <c r="BM609" t="s">
        <v>10761</v>
      </c>
      <c r="BN609" t="s">
        <v>74</v>
      </c>
      <c r="BO609" t="s">
        <v>10047</v>
      </c>
      <c r="BP609" t="s">
        <v>74</v>
      </c>
      <c r="BQ609" t="s">
        <v>74</v>
      </c>
      <c r="BR609" t="s">
        <v>103</v>
      </c>
      <c r="BS609" t="s">
        <v>10779</v>
      </c>
      <c r="BT609" t="str">
        <f>HYPERLINK("https%3A%2F%2Fwww.webofscience.com%2Fwos%2Fwoscc%2Ffull-record%2FWOS:000294165700020","View Full Record in Web of Science")</f>
        <v>View Full Record in Web of Science</v>
      </c>
    </row>
    <row r="610" spans="1:72" x14ac:dyDescent="0.15">
      <c r="A610" t="s">
        <v>72</v>
      </c>
      <c r="B610" t="s">
        <v>10780</v>
      </c>
      <c r="C610" t="s">
        <v>74</v>
      </c>
      <c r="D610" t="s">
        <v>74</v>
      </c>
      <c r="E610" t="s">
        <v>74</v>
      </c>
      <c r="F610" t="s">
        <v>10781</v>
      </c>
      <c r="G610" t="s">
        <v>74</v>
      </c>
      <c r="H610" t="s">
        <v>74</v>
      </c>
      <c r="I610" t="s">
        <v>10782</v>
      </c>
      <c r="J610" t="s">
        <v>3221</v>
      </c>
      <c r="K610" t="s">
        <v>74</v>
      </c>
      <c r="L610" t="s">
        <v>74</v>
      </c>
      <c r="M610" t="s">
        <v>78</v>
      </c>
      <c r="N610" t="s">
        <v>79</v>
      </c>
      <c r="O610" t="s">
        <v>74</v>
      </c>
      <c r="P610" t="s">
        <v>74</v>
      </c>
      <c r="Q610" t="s">
        <v>74</v>
      </c>
      <c r="R610" t="s">
        <v>74</v>
      </c>
      <c r="S610" t="s">
        <v>74</v>
      </c>
      <c r="T610" t="s">
        <v>10783</v>
      </c>
      <c r="U610" t="s">
        <v>10784</v>
      </c>
      <c r="V610" t="s">
        <v>10785</v>
      </c>
      <c r="W610" t="s">
        <v>10786</v>
      </c>
      <c r="X610" t="s">
        <v>1386</v>
      </c>
      <c r="Y610" t="s">
        <v>10787</v>
      </c>
      <c r="Z610" t="s">
        <v>10788</v>
      </c>
      <c r="AA610" t="s">
        <v>10789</v>
      </c>
      <c r="AB610" t="s">
        <v>10790</v>
      </c>
      <c r="AC610" t="s">
        <v>10791</v>
      </c>
      <c r="AD610" t="s">
        <v>1687</v>
      </c>
      <c r="AE610" t="s">
        <v>74</v>
      </c>
      <c r="AF610" t="s">
        <v>74</v>
      </c>
      <c r="AG610">
        <v>77</v>
      </c>
      <c r="AH610">
        <v>21</v>
      </c>
      <c r="AI610">
        <v>23</v>
      </c>
      <c r="AJ610">
        <v>0</v>
      </c>
      <c r="AK610">
        <v>23</v>
      </c>
      <c r="AL610" t="s">
        <v>3232</v>
      </c>
      <c r="AM610" t="s">
        <v>3233</v>
      </c>
      <c r="AN610" t="s">
        <v>3234</v>
      </c>
      <c r="AO610" t="s">
        <v>3235</v>
      </c>
      <c r="AP610" t="s">
        <v>3236</v>
      </c>
      <c r="AQ610" t="s">
        <v>74</v>
      </c>
      <c r="AR610" t="s">
        <v>3237</v>
      </c>
      <c r="AS610" t="s">
        <v>3238</v>
      </c>
      <c r="AT610" t="s">
        <v>74</v>
      </c>
      <c r="AU610">
        <v>2011</v>
      </c>
      <c r="AV610">
        <v>434</v>
      </c>
      <c r="AW610" t="s">
        <v>74</v>
      </c>
      <c r="AX610" t="s">
        <v>74</v>
      </c>
      <c r="AY610" t="s">
        <v>74</v>
      </c>
      <c r="AZ610" t="s">
        <v>74</v>
      </c>
      <c r="BA610" t="s">
        <v>74</v>
      </c>
      <c r="BB610">
        <v>183</v>
      </c>
      <c r="BC610">
        <v>196</v>
      </c>
      <c r="BD610" t="s">
        <v>74</v>
      </c>
      <c r="BE610" t="s">
        <v>10792</v>
      </c>
      <c r="BF610" t="str">
        <f>HYPERLINK("http://dx.doi.org/10.3354/meps09201","http://dx.doi.org/10.3354/meps09201")</f>
        <v>http://dx.doi.org/10.3354/meps09201</v>
      </c>
      <c r="BG610" t="s">
        <v>74</v>
      </c>
      <c r="BH610" t="s">
        <v>74</v>
      </c>
      <c r="BI610">
        <v>14</v>
      </c>
      <c r="BJ610" t="s">
        <v>3240</v>
      </c>
      <c r="BK610" t="s">
        <v>100</v>
      </c>
      <c r="BL610" t="s">
        <v>3241</v>
      </c>
      <c r="BM610" t="s">
        <v>10793</v>
      </c>
      <c r="BN610" t="s">
        <v>74</v>
      </c>
      <c r="BO610" t="s">
        <v>252</v>
      </c>
      <c r="BP610" t="s">
        <v>74</v>
      </c>
      <c r="BQ610" t="s">
        <v>74</v>
      </c>
      <c r="BR610" t="s">
        <v>103</v>
      </c>
      <c r="BS610" t="s">
        <v>10794</v>
      </c>
      <c r="BT610" t="str">
        <f>HYPERLINK("https%3A%2F%2Fwww.webofscience.com%2Fwos%2Fwoscc%2Ffull-record%2FWOS:000293532900014","View Full Record in Web of Science")</f>
        <v>View Full Record in Web of Science</v>
      </c>
    </row>
    <row r="611" spans="1:72" x14ac:dyDescent="0.15">
      <c r="A611" t="s">
        <v>72</v>
      </c>
      <c r="B611" t="s">
        <v>10795</v>
      </c>
      <c r="C611" t="s">
        <v>74</v>
      </c>
      <c r="D611" t="s">
        <v>74</v>
      </c>
      <c r="E611" t="s">
        <v>74</v>
      </c>
      <c r="F611" t="s">
        <v>10796</v>
      </c>
      <c r="G611" t="s">
        <v>74</v>
      </c>
      <c r="H611" t="s">
        <v>74</v>
      </c>
      <c r="I611" t="s">
        <v>10797</v>
      </c>
      <c r="J611" t="s">
        <v>3221</v>
      </c>
      <c r="K611" t="s">
        <v>74</v>
      </c>
      <c r="L611" t="s">
        <v>74</v>
      </c>
      <c r="M611" t="s">
        <v>78</v>
      </c>
      <c r="N611" t="s">
        <v>79</v>
      </c>
      <c r="O611" t="s">
        <v>74</v>
      </c>
      <c r="P611" t="s">
        <v>74</v>
      </c>
      <c r="Q611" t="s">
        <v>74</v>
      </c>
      <c r="R611" t="s">
        <v>74</v>
      </c>
      <c r="S611" t="s">
        <v>74</v>
      </c>
      <c r="T611" t="s">
        <v>10798</v>
      </c>
      <c r="U611" t="s">
        <v>10799</v>
      </c>
      <c r="V611" t="s">
        <v>10800</v>
      </c>
      <c r="W611" t="s">
        <v>10801</v>
      </c>
      <c r="X611" t="s">
        <v>10802</v>
      </c>
      <c r="Y611" t="s">
        <v>10803</v>
      </c>
      <c r="Z611" t="s">
        <v>10804</v>
      </c>
      <c r="AA611" t="s">
        <v>10805</v>
      </c>
      <c r="AB611" t="s">
        <v>10806</v>
      </c>
      <c r="AC611" t="s">
        <v>10807</v>
      </c>
      <c r="AD611" t="s">
        <v>10807</v>
      </c>
      <c r="AE611" t="s">
        <v>10808</v>
      </c>
      <c r="AF611" t="s">
        <v>74</v>
      </c>
      <c r="AG611">
        <v>43</v>
      </c>
      <c r="AH611">
        <v>20</v>
      </c>
      <c r="AI611">
        <v>22</v>
      </c>
      <c r="AJ611">
        <v>1</v>
      </c>
      <c r="AK611">
        <v>30</v>
      </c>
      <c r="AL611" t="s">
        <v>3232</v>
      </c>
      <c r="AM611" t="s">
        <v>3233</v>
      </c>
      <c r="AN611" t="s">
        <v>3234</v>
      </c>
      <c r="AO611" t="s">
        <v>3235</v>
      </c>
      <c r="AP611" t="s">
        <v>3236</v>
      </c>
      <c r="AQ611" t="s">
        <v>74</v>
      </c>
      <c r="AR611" t="s">
        <v>3237</v>
      </c>
      <c r="AS611" t="s">
        <v>3238</v>
      </c>
      <c r="AT611" t="s">
        <v>74</v>
      </c>
      <c r="AU611">
        <v>2011</v>
      </c>
      <c r="AV611">
        <v>432</v>
      </c>
      <c r="AW611" t="s">
        <v>74</v>
      </c>
      <c r="AX611" t="s">
        <v>74</v>
      </c>
      <c r="AY611" t="s">
        <v>74</v>
      </c>
      <c r="AZ611" t="s">
        <v>74</v>
      </c>
      <c r="BA611" t="s">
        <v>74</v>
      </c>
      <c r="BB611">
        <v>247</v>
      </c>
      <c r="BC611">
        <v>256</v>
      </c>
      <c r="BD611" t="s">
        <v>74</v>
      </c>
      <c r="BE611" t="s">
        <v>10809</v>
      </c>
      <c r="BF611" t="str">
        <f>HYPERLINK("http://dx.doi.org/10.3354/meps09176","http://dx.doi.org/10.3354/meps09176")</f>
        <v>http://dx.doi.org/10.3354/meps09176</v>
      </c>
      <c r="BG611" t="s">
        <v>74</v>
      </c>
      <c r="BH611" t="s">
        <v>74</v>
      </c>
      <c r="BI611">
        <v>10</v>
      </c>
      <c r="BJ611" t="s">
        <v>3240</v>
      </c>
      <c r="BK611" t="s">
        <v>100</v>
      </c>
      <c r="BL611" t="s">
        <v>3241</v>
      </c>
      <c r="BM611" t="s">
        <v>10810</v>
      </c>
      <c r="BN611" t="s">
        <v>74</v>
      </c>
      <c r="BO611" t="s">
        <v>9686</v>
      </c>
      <c r="BP611" t="s">
        <v>74</v>
      </c>
      <c r="BQ611" t="s">
        <v>74</v>
      </c>
      <c r="BR611" t="s">
        <v>103</v>
      </c>
      <c r="BS611" t="s">
        <v>10811</v>
      </c>
      <c r="BT611" t="str">
        <f>HYPERLINK("https%3A%2F%2Fwww.webofscience.com%2Fwos%2Fwoscc%2Ffull-record%2FWOS:000292163200021","View Full Record in Web of Science")</f>
        <v>View Full Record in Web of Science</v>
      </c>
    </row>
    <row r="612" spans="1:72" x14ac:dyDescent="0.15">
      <c r="A612" t="s">
        <v>72</v>
      </c>
      <c r="B612" t="s">
        <v>10812</v>
      </c>
      <c r="C612" t="s">
        <v>74</v>
      </c>
      <c r="D612" t="s">
        <v>74</v>
      </c>
      <c r="E612" t="s">
        <v>74</v>
      </c>
      <c r="F612" t="s">
        <v>10813</v>
      </c>
      <c r="G612" t="s">
        <v>74</v>
      </c>
      <c r="H612" t="s">
        <v>74</v>
      </c>
      <c r="I612" t="s">
        <v>10814</v>
      </c>
      <c r="J612" t="s">
        <v>3221</v>
      </c>
      <c r="K612" t="s">
        <v>74</v>
      </c>
      <c r="L612" t="s">
        <v>74</v>
      </c>
      <c r="M612" t="s">
        <v>78</v>
      </c>
      <c r="N612" t="s">
        <v>79</v>
      </c>
      <c r="O612" t="s">
        <v>74</v>
      </c>
      <c r="P612" t="s">
        <v>74</v>
      </c>
      <c r="Q612" t="s">
        <v>74</v>
      </c>
      <c r="R612" t="s">
        <v>74</v>
      </c>
      <c r="S612" t="s">
        <v>74</v>
      </c>
      <c r="T612" t="s">
        <v>10815</v>
      </c>
      <c r="U612" t="s">
        <v>10816</v>
      </c>
      <c r="V612" t="s">
        <v>10817</v>
      </c>
      <c r="W612" t="s">
        <v>10818</v>
      </c>
      <c r="X612" t="s">
        <v>10819</v>
      </c>
      <c r="Y612" t="s">
        <v>10820</v>
      </c>
      <c r="Z612" t="s">
        <v>10821</v>
      </c>
      <c r="AA612" t="s">
        <v>10822</v>
      </c>
      <c r="AB612" t="s">
        <v>10823</v>
      </c>
      <c r="AC612" t="s">
        <v>10824</v>
      </c>
      <c r="AD612" t="s">
        <v>10825</v>
      </c>
      <c r="AE612" t="s">
        <v>10826</v>
      </c>
      <c r="AF612" t="s">
        <v>74</v>
      </c>
      <c r="AG612">
        <v>78</v>
      </c>
      <c r="AH612">
        <v>55</v>
      </c>
      <c r="AI612">
        <v>61</v>
      </c>
      <c r="AJ612">
        <v>2</v>
      </c>
      <c r="AK612">
        <v>55</v>
      </c>
      <c r="AL612" t="s">
        <v>3232</v>
      </c>
      <c r="AM612" t="s">
        <v>3233</v>
      </c>
      <c r="AN612" t="s">
        <v>3234</v>
      </c>
      <c r="AO612" t="s">
        <v>3235</v>
      </c>
      <c r="AP612" t="s">
        <v>3236</v>
      </c>
      <c r="AQ612" t="s">
        <v>74</v>
      </c>
      <c r="AR612" t="s">
        <v>3237</v>
      </c>
      <c r="AS612" t="s">
        <v>3238</v>
      </c>
      <c r="AT612" t="s">
        <v>74</v>
      </c>
      <c r="AU612">
        <v>2011</v>
      </c>
      <c r="AV612">
        <v>432</v>
      </c>
      <c r="AW612" t="s">
        <v>74</v>
      </c>
      <c r="AX612" t="s">
        <v>74</v>
      </c>
      <c r="AY612" t="s">
        <v>74</v>
      </c>
      <c r="AZ612" t="s">
        <v>74</v>
      </c>
      <c r="BA612" t="s">
        <v>74</v>
      </c>
      <c r="BB612">
        <v>257</v>
      </c>
      <c r="BC612" t="s">
        <v>10827</v>
      </c>
      <c r="BD612" t="s">
        <v>74</v>
      </c>
      <c r="BE612" t="s">
        <v>10828</v>
      </c>
      <c r="BF612" t="str">
        <f>HYPERLINK("http://dx.doi.org/10.3354/meps09145","http://dx.doi.org/10.3354/meps09145")</f>
        <v>http://dx.doi.org/10.3354/meps09145</v>
      </c>
      <c r="BG612" t="s">
        <v>74</v>
      </c>
      <c r="BH612" t="s">
        <v>74</v>
      </c>
      <c r="BI612">
        <v>25</v>
      </c>
      <c r="BJ612" t="s">
        <v>3240</v>
      </c>
      <c r="BK612" t="s">
        <v>100</v>
      </c>
      <c r="BL612" t="s">
        <v>3241</v>
      </c>
      <c r="BM612" t="s">
        <v>10810</v>
      </c>
      <c r="BN612" t="s">
        <v>74</v>
      </c>
      <c r="BO612" t="s">
        <v>252</v>
      </c>
      <c r="BP612" t="s">
        <v>74</v>
      </c>
      <c r="BQ612" t="s">
        <v>74</v>
      </c>
      <c r="BR612" t="s">
        <v>103</v>
      </c>
      <c r="BS612" t="s">
        <v>10829</v>
      </c>
      <c r="BT612" t="str">
        <f>HYPERLINK("https%3A%2F%2Fwww.webofscience.com%2Fwos%2Fwoscc%2Ffull-record%2FWOS:000292163200022","View Full Record in Web of Science")</f>
        <v>View Full Record in Web of Science</v>
      </c>
    </row>
    <row r="613" spans="1:72" x14ac:dyDescent="0.15">
      <c r="A613" t="s">
        <v>72</v>
      </c>
      <c r="B613" t="s">
        <v>10830</v>
      </c>
      <c r="C613" t="s">
        <v>74</v>
      </c>
      <c r="D613" t="s">
        <v>74</v>
      </c>
      <c r="E613" t="s">
        <v>74</v>
      </c>
      <c r="F613" t="s">
        <v>10831</v>
      </c>
      <c r="G613" t="s">
        <v>74</v>
      </c>
      <c r="H613" t="s">
        <v>74</v>
      </c>
      <c r="I613" t="s">
        <v>10832</v>
      </c>
      <c r="J613" t="s">
        <v>3221</v>
      </c>
      <c r="K613" t="s">
        <v>74</v>
      </c>
      <c r="L613" t="s">
        <v>74</v>
      </c>
      <c r="M613" t="s">
        <v>78</v>
      </c>
      <c r="N613" t="s">
        <v>79</v>
      </c>
      <c r="O613" t="s">
        <v>74</v>
      </c>
      <c r="P613" t="s">
        <v>74</v>
      </c>
      <c r="Q613" t="s">
        <v>74</v>
      </c>
      <c r="R613" t="s">
        <v>74</v>
      </c>
      <c r="S613" t="s">
        <v>74</v>
      </c>
      <c r="T613" t="s">
        <v>10833</v>
      </c>
      <c r="U613" t="s">
        <v>10834</v>
      </c>
      <c r="V613" t="s">
        <v>10835</v>
      </c>
      <c r="W613" t="s">
        <v>10836</v>
      </c>
      <c r="X613" t="s">
        <v>10837</v>
      </c>
      <c r="Y613" t="s">
        <v>10838</v>
      </c>
      <c r="Z613" t="s">
        <v>10839</v>
      </c>
      <c r="AA613" t="s">
        <v>10840</v>
      </c>
      <c r="AB613" t="s">
        <v>10841</v>
      </c>
      <c r="AC613" t="s">
        <v>10842</v>
      </c>
      <c r="AD613" t="s">
        <v>10843</v>
      </c>
      <c r="AE613" t="s">
        <v>10844</v>
      </c>
      <c r="AF613" t="s">
        <v>74</v>
      </c>
      <c r="AG613">
        <v>47</v>
      </c>
      <c r="AH613">
        <v>31</v>
      </c>
      <c r="AI613">
        <v>31</v>
      </c>
      <c r="AJ613">
        <v>1</v>
      </c>
      <c r="AK613">
        <v>23</v>
      </c>
      <c r="AL613" t="s">
        <v>3232</v>
      </c>
      <c r="AM613" t="s">
        <v>3233</v>
      </c>
      <c r="AN613" t="s">
        <v>3234</v>
      </c>
      <c r="AO613" t="s">
        <v>3235</v>
      </c>
      <c r="AP613" t="s">
        <v>3236</v>
      </c>
      <c r="AQ613" t="s">
        <v>74</v>
      </c>
      <c r="AR613" t="s">
        <v>3237</v>
      </c>
      <c r="AS613" t="s">
        <v>3238</v>
      </c>
      <c r="AT613" t="s">
        <v>74</v>
      </c>
      <c r="AU613">
        <v>2011</v>
      </c>
      <c r="AV613">
        <v>431</v>
      </c>
      <c r="AW613" t="s">
        <v>74</v>
      </c>
      <c r="AX613" t="s">
        <v>74</v>
      </c>
      <c r="AY613" t="s">
        <v>74</v>
      </c>
      <c r="AZ613" t="s">
        <v>74</v>
      </c>
      <c r="BA613" t="s">
        <v>74</v>
      </c>
      <c r="BB613">
        <v>45</v>
      </c>
      <c r="BC613" t="s">
        <v>1316</v>
      </c>
      <c r="BD613" t="s">
        <v>74</v>
      </c>
      <c r="BE613" t="s">
        <v>10845</v>
      </c>
      <c r="BF613" t="str">
        <f>HYPERLINK("http://dx.doi.org/10.3354/meps09127","http://dx.doi.org/10.3354/meps09127")</f>
        <v>http://dx.doi.org/10.3354/meps09127</v>
      </c>
      <c r="BG613" t="s">
        <v>74</v>
      </c>
      <c r="BH613" t="s">
        <v>74</v>
      </c>
      <c r="BI613">
        <v>16</v>
      </c>
      <c r="BJ613" t="s">
        <v>3240</v>
      </c>
      <c r="BK613" t="s">
        <v>100</v>
      </c>
      <c r="BL613" t="s">
        <v>3241</v>
      </c>
      <c r="BM613" t="s">
        <v>10846</v>
      </c>
      <c r="BN613" t="s">
        <v>74</v>
      </c>
      <c r="BO613" t="s">
        <v>3320</v>
      </c>
      <c r="BP613" t="s">
        <v>74</v>
      </c>
      <c r="BQ613" t="s">
        <v>74</v>
      </c>
      <c r="BR613" t="s">
        <v>103</v>
      </c>
      <c r="BS613" t="s">
        <v>10847</v>
      </c>
      <c r="BT613" t="str">
        <f>HYPERLINK("https%3A%2F%2Fwww.webofscience.com%2Fwos%2Fwoscc%2Ffull-record%2FWOS:000291953100004","View Full Record in Web of Science")</f>
        <v>View Full Record in Web of Science</v>
      </c>
    </row>
    <row r="614" spans="1:72" x14ac:dyDescent="0.15">
      <c r="A614" t="s">
        <v>72</v>
      </c>
      <c r="B614" t="s">
        <v>10848</v>
      </c>
      <c r="C614" t="s">
        <v>74</v>
      </c>
      <c r="D614" t="s">
        <v>74</v>
      </c>
      <c r="E614" t="s">
        <v>74</v>
      </c>
      <c r="F614" t="s">
        <v>10849</v>
      </c>
      <c r="G614" t="s">
        <v>74</v>
      </c>
      <c r="H614" t="s">
        <v>74</v>
      </c>
      <c r="I614" t="s">
        <v>10850</v>
      </c>
      <c r="J614" t="s">
        <v>3221</v>
      </c>
      <c r="K614" t="s">
        <v>74</v>
      </c>
      <c r="L614" t="s">
        <v>74</v>
      </c>
      <c r="M614" t="s">
        <v>78</v>
      </c>
      <c r="N614" t="s">
        <v>79</v>
      </c>
      <c r="O614" t="s">
        <v>74</v>
      </c>
      <c r="P614" t="s">
        <v>74</v>
      </c>
      <c r="Q614" t="s">
        <v>74</v>
      </c>
      <c r="R614" t="s">
        <v>74</v>
      </c>
      <c r="S614" t="s">
        <v>74</v>
      </c>
      <c r="T614" t="s">
        <v>10851</v>
      </c>
      <c r="U614" t="s">
        <v>10852</v>
      </c>
      <c r="V614" t="s">
        <v>10853</v>
      </c>
      <c r="W614" t="s">
        <v>10854</v>
      </c>
      <c r="X614" t="s">
        <v>10855</v>
      </c>
      <c r="Y614" t="s">
        <v>10856</v>
      </c>
      <c r="Z614" t="s">
        <v>10857</v>
      </c>
      <c r="AA614" t="s">
        <v>10858</v>
      </c>
      <c r="AB614" t="s">
        <v>74</v>
      </c>
      <c r="AC614" t="s">
        <v>10859</v>
      </c>
      <c r="AD614" t="s">
        <v>10860</v>
      </c>
      <c r="AE614" t="s">
        <v>10861</v>
      </c>
      <c r="AF614" t="s">
        <v>74</v>
      </c>
      <c r="AG614">
        <v>48</v>
      </c>
      <c r="AH614">
        <v>21</v>
      </c>
      <c r="AI614">
        <v>21</v>
      </c>
      <c r="AJ614">
        <v>0</v>
      </c>
      <c r="AK614">
        <v>16</v>
      </c>
      <c r="AL614" t="s">
        <v>3232</v>
      </c>
      <c r="AM614" t="s">
        <v>3233</v>
      </c>
      <c r="AN614" t="s">
        <v>3234</v>
      </c>
      <c r="AO614" t="s">
        <v>3235</v>
      </c>
      <c r="AP614" t="s">
        <v>74</v>
      </c>
      <c r="AQ614" t="s">
        <v>74</v>
      </c>
      <c r="AR614" t="s">
        <v>3237</v>
      </c>
      <c r="AS614" t="s">
        <v>3238</v>
      </c>
      <c r="AT614" t="s">
        <v>74</v>
      </c>
      <c r="AU614">
        <v>2011</v>
      </c>
      <c r="AV614">
        <v>429</v>
      </c>
      <c r="AW614" t="s">
        <v>74</v>
      </c>
      <c r="AX614" t="s">
        <v>74</v>
      </c>
      <c r="AY614" t="s">
        <v>74</v>
      </c>
      <c r="AZ614" t="s">
        <v>74</v>
      </c>
      <c r="BA614" t="s">
        <v>74</v>
      </c>
      <c r="BB614">
        <v>103</v>
      </c>
      <c r="BC614">
        <v>109</v>
      </c>
      <c r="BD614" t="s">
        <v>74</v>
      </c>
      <c r="BE614" t="s">
        <v>10862</v>
      </c>
      <c r="BF614" t="str">
        <f>HYPERLINK("http://dx.doi.org/10.3354/meps09091","http://dx.doi.org/10.3354/meps09091")</f>
        <v>http://dx.doi.org/10.3354/meps09091</v>
      </c>
      <c r="BG614" t="s">
        <v>74</v>
      </c>
      <c r="BH614" t="s">
        <v>74</v>
      </c>
      <c r="BI614">
        <v>7</v>
      </c>
      <c r="BJ614" t="s">
        <v>3240</v>
      </c>
      <c r="BK614" t="s">
        <v>100</v>
      </c>
      <c r="BL614" t="s">
        <v>3241</v>
      </c>
      <c r="BM614" t="s">
        <v>10863</v>
      </c>
      <c r="BN614" t="s">
        <v>74</v>
      </c>
      <c r="BO614" t="s">
        <v>252</v>
      </c>
      <c r="BP614" t="s">
        <v>74</v>
      </c>
      <c r="BQ614" t="s">
        <v>74</v>
      </c>
      <c r="BR614" t="s">
        <v>103</v>
      </c>
      <c r="BS614" t="s">
        <v>10864</v>
      </c>
      <c r="BT614" t="str">
        <f>HYPERLINK("https%3A%2F%2Fwww.webofscience.com%2Fwos%2Fwoscc%2Ffull-record%2FWOS:000290682100010","View Full Record in Web of Science")</f>
        <v>View Full Record in Web of Science</v>
      </c>
    </row>
    <row r="615" spans="1:72" x14ac:dyDescent="0.15">
      <c r="A615" t="s">
        <v>72</v>
      </c>
      <c r="B615" t="s">
        <v>10865</v>
      </c>
      <c r="C615" t="s">
        <v>74</v>
      </c>
      <c r="D615" t="s">
        <v>74</v>
      </c>
      <c r="E615" t="s">
        <v>74</v>
      </c>
      <c r="F615" t="s">
        <v>10866</v>
      </c>
      <c r="G615" t="s">
        <v>74</v>
      </c>
      <c r="H615" t="s">
        <v>74</v>
      </c>
      <c r="I615" t="s">
        <v>10867</v>
      </c>
      <c r="J615" t="s">
        <v>3221</v>
      </c>
      <c r="K615" t="s">
        <v>74</v>
      </c>
      <c r="L615" t="s">
        <v>74</v>
      </c>
      <c r="M615" t="s">
        <v>78</v>
      </c>
      <c r="N615" t="s">
        <v>79</v>
      </c>
      <c r="O615" t="s">
        <v>74</v>
      </c>
      <c r="P615" t="s">
        <v>74</v>
      </c>
      <c r="Q615" t="s">
        <v>74</v>
      </c>
      <c r="R615" t="s">
        <v>74</v>
      </c>
      <c r="S615" t="s">
        <v>74</v>
      </c>
      <c r="T615" t="s">
        <v>10868</v>
      </c>
      <c r="U615" t="s">
        <v>10869</v>
      </c>
      <c r="V615" t="s">
        <v>10870</v>
      </c>
      <c r="W615" t="s">
        <v>10871</v>
      </c>
      <c r="X615" t="s">
        <v>10872</v>
      </c>
      <c r="Y615" t="s">
        <v>10873</v>
      </c>
      <c r="Z615" t="s">
        <v>10874</v>
      </c>
      <c r="AA615" t="s">
        <v>74</v>
      </c>
      <c r="AB615" t="s">
        <v>74</v>
      </c>
      <c r="AC615" t="s">
        <v>10875</v>
      </c>
      <c r="AD615" t="s">
        <v>10876</v>
      </c>
      <c r="AE615" t="s">
        <v>10877</v>
      </c>
      <c r="AF615" t="s">
        <v>74</v>
      </c>
      <c r="AG615">
        <v>80</v>
      </c>
      <c r="AH615">
        <v>15</v>
      </c>
      <c r="AI615">
        <v>16</v>
      </c>
      <c r="AJ615">
        <v>1</v>
      </c>
      <c r="AK615">
        <v>12</v>
      </c>
      <c r="AL615" t="s">
        <v>3232</v>
      </c>
      <c r="AM615" t="s">
        <v>3233</v>
      </c>
      <c r="AN615" t="s">
        <v>3234</v>
      </c>
      <c r="AO615" t="s">
        <v>3235</v>
      </c>
      <c r="AP615" t="s">
        <v>3236</v>
      </c>
      <c r="AQ615" t="s">
        <v>74</v>
      </c>
      <c r="AR615" t="s">
        <v>3237</v>
      </c>
      <c r="AS615" t="s">
        <v>3238</v>
      </c>
      <c r="AT615" t="s">
        <v>74</v>
      </c>
      <c r="AU615">
        <v>2011</v>
      </c>
      <c r="AV615">
        <v>428</v>
      </c>
      <c r="AW615" t="s">
        <v>74</v>
      </c>
      <c r="AX615" t="s">
        <v>74</v>
      </c>
      <c r="AY615" t="s">
        <v>74</v>
      </c>
      <c r="AZ615" t="s">
        <v>74</v>
      </c>
      <c r="BA615" t="s">
        <v>74</v>
      </c>
      <c r="BB615">
        <v>119</v>
      </c>
      <c r="BC615">
        <v>134</v>
      </c>
      <c r="BD615" t="s">
        <v>74</v>
      </c>
      <c r="BE615" t="s">
        <v>10878</v>
      </c>
      <c r="BF615" t="str">
        <f>HYPERLINK("http://dx.doi.org/10.3354/meps09012","http://dx.doi.org/10.3354/meps09012")</f>
        <v>http://dx.doi.org/10.3354/meps09012</v>
      </c>
      <c r="BG615" t="s">
        <v>74</v>
      </c>
      <c r="BH615" t="s">
        <v>74</v>
      </c>
      <c r="BI615">
        <v>16</v>
      </c>
      <c r="BJ615" t="s">
        <v>3240</v>
      </c>
      <c r="BK615" t="s">
        <v>100</v>
      </c>
      <c r="BL615" t="s">
        <v>3241</v>
      </c>
      <c r="BM615" t="s">
        <v>4265</v>
      </c>
      <c r="BN615" t="s">
        <v>74</v>
      </c>
      <c r="BO615" t="s">
        <v>252</v>
      </c>
      <c r="BP615" t="s">
        <v>74</v>
      </c>
      <c r="BQ615" t="s">
        <v>74</v>
      </c>
      <c r="BR615" t="s">
        <v>103</v>
      </c>
      <c r="BS615" t="s">
        <v>10879</v>
      </c>
      <c r="BT615" t="str">
        <f>HYPERLINK("https%3A%2F%2Fwww.webofscience.com%2Fwos%2Fwoscc%2Ffull-record%2FWOS:000290248800009","View Full Record in Web of Science")</f>
        <v>View Full Record in Web of Science</v>
      </c>
    </row>
    <row r="616" spans="1:72" x14ac:dyDescent="0.15">
      <c r="A616" t="s">
        <v>72</v>
      </c>
      <c r="B616" t="s">
        <v>10880</v>
      </c>
      <c r="C616" t="s">
        <v>74</v>
      </c>
      <c r="D616" t="s">
        <v>74</v>
      </c>
      <c r="E616" t="s">
        <v>74</v>
      </c>
      <c r="F616" t="s">
        <v>10881</v>
      </c>
      <c r="G616" t="s">
        <v>74</v>
      </c>
      <c r="H616" t="s">
        <v>74</v>
      </c>
      <c r="I616" t="s">
        <v>10882</v>
      </c>
      <c r="J616" t="s">
        <v>3221</v>
      </c>
      <c r="K616" t="s">
        <v>74</v>
      </c>
      <c r="L616" t="s">
        <v>74</v>
      </c>
      <c r="M616" t="s">
        <v>78</v>
      </c>
      <c r="N616" t="s">
        <v>79</v>
      </c>
      <c r="O616" t="s">
        <v>74</v>
      </c>
      <c r="P616" t="s">
        <v>74</v>
      </c>
      <c r="Q616" t="s">
        <v>74</v>
      </c>
      <c r="R616" t="s">
        <v>74</v>
      </c>
      <c r="S616" t="s">
        <v>74</v>
      </c>
      <c r="T616" t="s">
        <v>10883</v>
      </c>
      <c r="U616" t="s">
        <v>10884</v>
      </c>
      <c r="V616" t="s">
        <v>10885</v>
      </c>
      <c r="W616" t="s">
        <v>10886</v>
      </c>
      <c r="X616" t="s">
        <v>10887</v>
      </c>
      <c r="Y616" t="s">
        <v>10888</v>
      </c>
      <c r="Z616" t="s">
        <v>10889</v>
      </c>
      <c r="AA616" t="s">
        <v>10890</v>
      </c>
      <c r="AB616" t="s">
        <v>10891</v>
      </c>
      <c r="AC616" t="s">
        <v>10892</v>
      </c>
      <c r="AD616" t="s">
        <v>10893</v>
      </c>
      <c r="AE616" t="s">
        <v>10894</v>
      </c>
      <c r="AF616" t="s">
        <v>74</v>
      </c>
      <c r="AG616">
        <v>58</v>
      </c>
      <c r="AH616">
        <v>25</v>
      </c>
      <c r="AI616">
        <v>27</v>
      </c>
      <c r="AJ616">
        <v>1</v>
      </c>
      <c r="AK616">
        <v>27</v>
      </c>
      <c r="AL616" t="s">
        <v>3232</v>
      </c>
      <c r="AM616" t="s">
        <v>3233</v>
      </c>
      <c r="AN616" t="s">
        <v>3234</v>
      </c>
      <c r="AO616" t="s">
        <v>3235</v>
      </c>
      <c r="AP616" t="s">
        <v>3236</v>
      </c>
      <c r="AQ616" t="s">
        <v>74</v>
      </c>
      <c r="AR616" t="s">
        <v>3237</v>
      </c>
      <c r="AS616" t="s">
        <v>3238</v>
      </c>
      <c r="AT616" t="s">
        <v>74</v>
      </c>
      <c r="AU616">
        <v>2011</v>
      </c>
      <c r="AV616">
        <v>426</v>
      </c>
      <c r="AW616" t="s">
        <v>74</v>
      </c>
      <c r="AX616" t="s">
        <v>74</v>
      </c>
      <c r="AY616" t="s">
        <v>74</v>
      </c>
      <c r="AZ616" t="s">
        <v>74</v>
      </c>
      <c r="BA616" t="s">
        <v>74</v>
      </c>
      <c r="BB616">
        <v>213</v>
      </c>
      <c r="BC616">
        <v>224</v>
      </c>
      <c r="BD616" t="s">
        <v>74</v>
      </c>
      <c r="BE616" t="s">
        <v>10895</v>
      </c>
      <c r="BF616" t="str">
        <f>HYPERLINK("http://dx.doi.org/10.3354/meps09036","http://dx.doi.org/10.3354/meps09036")</f>
        <v>http://dx.doi.org/10.3354/meps09036</v>
      </c>
      <c r="BG616" t="s">
        <v>74</v>
      </c>
      <c r="BH616" t="s">
        <v>74</v>
      </c>
      <c r="BI616">
        <v>12</v>
      </c>
      <c r="BJ616" t="s">
        <v>3240</v>
      </c>
      <c r="BK616" t="s">
        <v>100</v>
      </c>
      <c r="BL616" t="s">
        <v>3241</v>
      </c>
      <c r="BM616" t="s">
        <v>4364</v>
      </c>
      <c r="BN616" t="s">
        <v>74</v>
      </c>
      <c r="BO616" t="s">
        <v>252</v>
      </c>
      <c r="BP616" t="s">
        <v>74</v>
      </c>
      <c r="BQ616" t="s">
        <v>74</v>
      </c>
      <c r="BR616" t="s">
        <v>103</v>
      </c>
      <c r="BS616" t="s">
        <v>10896</v>
      </c>
      <c r="BT616" t="str">
        <f>HYPERLINK("https%3A%2F%2Fwww.webofscience.com%2Fwos%2Fwoscc%2Ffull-record%2FWOS:000288984400016","View Full Record in Web of Science")</f>
        <v>View Full Record in Web of Science</v>
      </c>
    </row>
    <row r="617" spans="1:72" x14ac:dyDescent="0.15">
      <c r="A617" t="s">
        <v>72</v>
      </c>
      <c r="B617" t="s">
        <v>10897</v>
      </c>
      <c r="C617" t="s">
        <v>74</v>
      </c>
      <c r="D617" t="s">
        <v>74</v>
      </c>
      <c r="E617" t="s">
        <v>74</v>
      </c>
      <c r="F617" t="s">
        <v>10898</v>
      </c>
      <c r="G617" t="s">
        <v>74</v>
      </c>
      <c r="H617" t="s">
        <v>74</v>
      </c>
      <c r="I617" t="s">
        <v>10899</v>
      </c>
      <c r="J617" t="s">
        <v>3221</v>
      </c>
      <c r="K617" t="s">
        <v>74</v>
      </c>
      <c r="L617" t="s">
        <v>74</v>
      </c>
      <c r="M617" t="s">
        <v>78</v>
      </c>
      <c r="N617" t="s">
        <v>79</v>
      </c>
      <c r="O617" t="s">
        <v>74</v>
      </c>
      <c r="P617" t="s">
        <v>74</v>
      </c>
      <c r="Q617" t="s">
        <v>74</v>
      </c>
      <c r="R617" t="s">
        <v>74</v>
      </c>
      <c r="S617" t="s">
        <v>74</v>
      </c>
      <c r="T617" t="s">
        <v>10900</v>
      </c>
      <c r="U617" t="s">
        <v>10901</v>
      </c>
      <c r="V617" t="s">
        <v>10902</v>
      </c>
      <c r="W617" t="s">
        <v>10903</v>
      </c>
      <c r="X617" t="s">
        <v>10904</v>
      </c>
      <c r="Y617" t="s">
        <v>10905</v>
      </c>
      <c r="Z617" t="s">
        <v>10906</v>
      </c>
      <c r="AA617" t="s">
        <v>74</v>
      </c>
      <c r="AB617" t="s">
        <v>74</v>
      </c>
      <c r="AC617" t="s">
        <v>10907</v>
      </c>
      <c r="AD617" t="s">
        <v>10908</v>
      </c>
      <c r="AE617" t="s">
        <v>10909</v>
      </c>
      <c r="AF617" t="s">
        <v>74</v>
      </c>
      <c r="AG617">
        <v>76</v>
      </c>
      <c r="AH617">
        <v>28</v>
      </c>
      <c r="AI617">
        <v>30</v>
      </c>
      <c r="AJ617">
        <v>4</v>
      </c>
      <c r="AK617">
        <v>25</v>
      </c>
      <c r="AL617" t="s">
        <v>3232</v>
      </c>
      <c r="AM617" t="s">
        <v>3233</v>
      </c>
      <c r="AN617" t="s">
        <v>3234</v>
      </c>
      <c r="AO617" t="s">
        <v>3235</v>
      </c>
      <c r="AP617" t="s">
        <v>74</v>
      </c>
      <c r="AQ617" t="s">
        <v>74</v>
      </c>
      <c r="AR617" t="s">
        <v>3237</v>
      </c>
      <c r="AS617" t="s">
        <v>3238</v>
      </c>
      <c r="AT617" t="s">
        <v>74</v>
      </c>
      <c r="AU617">
        <v>2011</v>
      </c>
      <c r="AV617">
        <v>424</v>
      </c>
      <c r="AW617" t="s">
        <v>74</v>
      </c>
      <c r="AX617" t="s">
        <v>74</v>
      </c>
      <c r="AY617" t="s">
        <v>74</v>
      </c>
      <c r="AZ617" t="s">
        <v>74</v>
      </c>
      <c r="BA617" t="s">
        <v>74</v>
      </c>
      <c r="BB617">
        <v>191</v>
      </c>
      <c r="BC617">
        <v>204</v>
      </c>
      <c r="BD617" t="s">
        <v>74</v>
      </c>
      <c r="BE617" t="s">
        <v>10910</v>
      </c>
      <c r="BF617" t="str">
        <f>HYPERLINK("http://dx.doi.org/10.3354/meps08973","http://dx.doi.org/10.3354/meps08973")</f>
        <v>http://dx.doi.org/10.3354/meps08973</v>
      </c>
      <c r="BG617" t="s">
        <v>74</v>
      </c>
      <c r="BH617" t="s">
        <v>74</v>
      </c>
      <c r="BI617">
        <v>14</v>
      </c>
      <c r="BJ617" t="s">
        <v>3240</v>
      </c>
      <c r="BK617" t="s">
        <v>100</v>
      </c>
      <c r="BL617" t="s">
        <v>3241</v>
      </c>
      <c r="BM617" t="s">
        <v>4704</v>
      </c>
      <c r="BN617" t="s">
        <v>74</v>
      </c>
      <c r="BO617" t="s">
        <v>1696</v>
      </c>
      <c r="BP617" t="s">
        <v>74</v>
      </c>
      <c r="BQ617" t="s">
        <v>74</v>
      </c>
      <c r="BR617" t="s">
        <v>103</v>
      </c>
      <c r="BS617" t="s">
        <v>10911</v>
      </c>
      <c r="BT617" t="str">
        <f>HYPERLINK("https%3A%2F%2Fwww.webofscience.com%2Fwos%2Fwoscc%2Ffull-record%2FWOS:000287966400016","View Full Record in Web of Science")</f>
        <v>View Full Record in Web of Science</v>
      </c>
    </row>
    <row r="618" spans="1:72" x14ac:dyDescent="0.15">
      <c r="A618" t="s">
        <v>72</v>
      </c>
      <c r="B618" t="s">
        <v>10912</v>
      </c>
      <c r="C618" t="s">
        <v>74</v>
      </c>
      <c r="D618" t="s">
        <v>74</v>
      </c>
      <c r="E618" t="s">
        <v>74</v>
      </c>
      <c r="F618" t="s">
        <v>10913</v>
      </c>
      <c r="G618" t="s">
        <v>74</v>
      </c>
      <c r="H618" t="s">
        <v>74</v>
      </c>
      <c r="I618" t="s">
        <v>10914</v>
      </c>
      <c r="J618" t="s">
        <v>3221</v>
      </c>
      <c r="K618" t="s">
        <v>74</v>
      </c>
      <c r="L618" t="s">
        <v>74</v>
      </c>
      <c r="M618" t="s">
        <v>78</v>
      </c>
      <c r="N618" t="s">
        <v>79</v>
      </c>
      <c r="O618" t="s">
        <v>74</v>
      </c>
      <c r="P618" t="s">
        <v>74</v>
      </c>
      <c r="Q618" t="s">
        <v>74</v>
      </c>
      <c r="R618" t="s">
        <v>74</v>
      </c>
      <c r="S618" t="s">
        <v>74</v>
      </c>
      <c r="T618" t="s">
        <v>10915</v>
      </c>
      <c r="U618" t="s">
        <v>10916</v>
      </c>
      <c r="V618" t="s">
        <v>10917</v>
      </c>
      <c r="W618" t="s">
        <v>10918</v>
      </c>
      <c r="X618" t="s">
        <v>10919</v>
      </c>
      <c r="Y618" t="s">
        <v>10920</v>
      </c>
      <c r="Z618" t="s">
        <v>10921</v>
      </c>
      <c r="AA618" t="s">
        <v>10922</v>
      </c>
      <c r="AB618" t="s">
        <v>10923</v>
      </c>
      <c r="AC618" t="s">
        <v>10924</v>
      </c>
      <c r="AD618" t="s">
        <v>10925</v>
      </c>
      <c r="AE618" t="s">
        <v>10926</v>
      </c>
      <c r="AF618" t="s">
        <v>74</v>
      </c>
      <c r="AG618">
        <v>60</v>
      </c>
      <c r="AH618">
        <v>35</v>
      </c>
      <c r="AI618">
        <v>41</v>
      </c>
      <c r="AJ618">
        <v>0</v>
      </c>
      <c r="AK618">
        <v>30</v>
      </c>
      <c r="AL618" t="s">
        <v>3232</v>
      </c>
      <c r="AM618" t="s">
        <v>3233</v>
      </c>
      <c r="AN618" t="s">
        <v>3234</v>
      </c>
      <c r="AO618" t="s">
        <v>3235</v>
      </c>
      <c r="AP618" t="s">
        <v>3236</v>
      </c>
      <c r="AQ618" t="s">
        <v>74</v>
      </c>
      <c r="AR618" t="s">
        <v>3237</v>
      </c>
      <c r="AS618" t="s">
        <v>3238</v>
      </c>
      <c r="AT618" t="s">
        <v>74</v>
      </c>
      <c r="AU618">
        <v>2011</v>
      </c>
      <c r="AV618">
        <v>424</v>
      </c>
      <c r="AW618" t="s">
        <v>74</v>
      </c>
      <c r="AX618" t="s">
        <v>74</v>
      </c>
      <c r="AY618" t="s">
        <v>74</v>
      </c>
      <c r="AZ618" t="s">
        <v>74</v>
      </c>
      <c r="BA618" t="s">
        <v>74</v>
      </c>
      <c r="BB618">
        <v>247</v>
      </c>
      <c r="BC618">
        <v>258</v>
      </c>
      <c r="BD618" t="s">
        <v>74</v>
      </c>
      <c r="BE618" t="s">
        <v>10927</v>
      </c>
      <c r="BF618" t="str">
        <f>HYPERLINK("http://dx.doi.org/10.3354/meps08769","http://dx.doi.org/10.3354/meps08769")</f>
        <v>http://dx.doi.org/10.3354/meps08769</v>
      </c>
      <c r="BG618" t="s">
        <v>74</v>
      </c>
      <c r="BH618" t="s">
        <v>74</v>
      </c>
      <c r="BI618">
        <v>12</v>
      </c>
      <c r="BJ618" t="s">
        <v>3240</v>
      </c>
      <c r="BK618" t="s">
        <v>100</v>
      </c>
      <c r="BL618" t="s">
        <v>3241</v>
      </c>
      <c r="BM618" t="s">
        <v>4704</v>
      </c>
      <c r="BN618" t="s">
        <v>74</v>
      </c>
      <c r="BO618" t="s">
        <v>252</v>
      </c>
      <c r="BP618" t="s">
        <v>74</v>
      </c>
      <c r="BQ618" t="s">
        <v>74</v>
      </c>
      <c r="BR618" t="s">
        <v>103</v>
      </c>
      <c r="BS618" t="s">
        <v>10928</v>
      </c>
      <c r="BT618" t="str">
        <f>HYPERLINK("https%3A%2F%2Fwww.webofscience.com%2Fwos%2Fwoscc%2Ffull-record%2FWOS:000287966400021","View Full Record in Web of Science")</f>
        <v>View Full Record in Web of Science</v>
      </c>
    </row>
    <row r="619" spans="1:72" x14ac:dyDescent="0.15">
      <c r="A619" t="s">
        <v>72</v>
      </c>
      <c r="B619" t="s">
        <v>10929</v>
      </c>
      <c r="C619" t="s">
        <v>74</v>
      </c>
      <c r="D619" t="s">
        <v>74</v>
      </c>
      <c r="E619" t="s">
        <v>74</v>
      </c>
      <c r="F619" t="s">
        <v>10930</v>
      </c>
      <c r="G619" t="s">
        <v>74</v>
      </c>
      <c r="H619" t="s">
        <v>74</v>
      </c>
      <c r="I619" t="s">
        <v>10931</v>
      </c>
      <c r="J619" t="s">
        <v>3221</v>
      </c>
      <c r="K619" t="s">
        <v>74</v>
      </c>
      <c r="L619" t="s">
        <v>74</v>
      </c>
      <c r="M619" t="s">
        <v>78</v>
      </c>
      <c r="N619" t="s">
        <v>79</v>
      </c>
      <c r="O619" t="s">
        <v>74</v>
      </c>
      <c r="P619" t="s">
        <v>74</v>
      </c>
      <c r="Q619" t="s">
        <v>74</v>
      </c>
      <c r="R619" t="s">
        <v>74</v>
      </c>
      <c r="S619" t="s">
        <v>74</v>
      </c>
      <c r="T619" t="s">
        <v>10932</v>
      </c>
      <c r="U619" t="s">
        <v>10933</v>
      </c>
      <c r="V619" t="s">
        <v>10934</v>
      </c>
      <c r="W619" t="s">
        <v>10935</v>
      </c>
      <c r="X619" t="s">
        <v>10936</v>
      </c>
      <c r="Y619" t="s">
        <v>10937</v>
      </c>
      <c r="Z619" t="s">
        <v>10938</v>
      </c>
      <c r="AA619" t="s">
        <v>10939</v>
      </c>
      <c r="AB619" t="s">
        <v>10940</v>
      </c>
      <c r="AC619" t="s">
        <v>10941</v>
      </c>
      <c r="AD619" t="s">
        <v>10942</v>
      </c>
      <c r="AE619" t="s">
        <v>10943</v>
      </c>
      <c r="AF619" t="s">
        <v>74</v>
      </c>
      <c r="AG619">
        <v>59</v>
      </c>
      <c r="AH619">
        <v>48</v>
      </c>
      <c r="AI619">
        <v>51</v>
      </c>
      <c r="AJ619">
        <v>1</v>
      </c>
      <c r="AK619">
        <v>45</v>
      </c>
      <c r="AL619" t="s">
        <v>3232</v>
      </c>
      <c r="AM619" t="s">
        <v>3233</v>
      </c>
      <c r="AN619" t="s">
        <v>3234</v>
      </c>
      <c r="AO619" t="s">
        <v>3235</v>
      </c>
      <c r="AP619" t="s">
        <v>3236</v>
      </c>
      <c r="AQ619" t="s">
        <v>74</v>
      </c>
      <c r="AR619" t="s">
        <v>3237</v>
      </c>
      <c r="AS619" t="s">
        <v>3238</v>
      </c>
      <c r="AT619" t="s">
        <v>74</v>
      </c>
      <c r="AU619">
        <v>2011</v>
      </c>
      <c r="AV619">
        <v>423</v>
      </c>
      <c r="AW619" t="s">
        <v>74</v>
      </c>
      <c r="AX619" t="s">
        <v>74</v>
      </c>
      <c r="AY619" t="s">
        <v>74</v>
      </c>
      <c r="AZ619" t="s">
        <v>74</v>
      </c>
      <c r="BA619" t="s">
        <v>74</v>
      </c>
      <c r="BB619">
        <v>291</v>
      </c>
      <c r="BC619">
        <v>302</v>
      </c>
      <c r="BD619" t="s">
        <v>74</v>
      </c>
      <c r="BE619" t="s">
        <v>10944</v>
      </c>
      <c r="BF619" t="str">
        <f>HYPERLINK("http://dx.doi.org/10.3354/meps08971","http://dx.doi.org/10.3354/meps08971")</f>
        <v>http://dx.doi.org/10.3354/meps08971</v>
      </c>
      <c r="BG619" t="s">
        <v>74</v>
      </c>
      <c r="BH619" t="s">
        <v>74</v>
      </c>
      <c r="BI619">
        <v>12</v>
      </c>
      <c r="BJ619" t="s">
        <v>3240</v>
      </c>
      <c r="BK619" t="s">
        <v>100</v>
      </c>
      <c r="BL619" t="s">
        <v>3241</v>
      </c>
      <c r="BM619" t="s">
        <v>10945</v>
      </c>
      <c r="BN619" t="s">
        <v>74</v>
      </c>
      <c r="BO619" t="s">
        <v>375</v>
      </c>
      <c r="BP619" t="s">
        <v>74</v>
      </c>
      <c r="BQ619" t="s">
        <v>74</v>
      </c>
      <c r="BR619" t="s">
        <v>103</v>
      </c>
      <c r="BS619" t="s">
        <v>10946</v>
      </c>
      <c r="BT619" t="str">
        <f>HYPERLINK("https%3A%2F%2Fwww.webofscience.com%2Fwos%2Fwoscc%2Ffull-record%2FWOS:000287965900025","View Full Record in Web of Science")</f>
        <v>View Full Record in Web of Science</v>
      </c>
    </row>
    <row r="620" spans="1:72" x14ac:dyDescent="0.15">
      <c r="A620" t="s">
        <v>72</v>
      </c>
      <c r="B620" t="s">
        <v>10947</v>
      </c>
      <c r="C620" t="s">
        <v>74</v>
      </c>
      <c r="D620" t="s">
        <v>74</v>
      </c>
      <c r="E620" t="s">
        <v>74</v>
      </c>
      <c r="F620" t="s">
        <v>10948</v>
      </c>
      <c r="G620" t="s">
        <v>74</v>
      </c>
      <c r="H620" t="s">
        <v>74</v>
      </c>
      <c r="I620" t="s">
        <v>10949</v>
      </c>
      <c r="J620" t="s">
        <v>3221</v>
      </c>
      <c r="K620" t="s">
        <v>74</v>
      </c>
      <c r="L620" t="s">
        <v>74</v>
      </c>
      <c r="M620" t="s">
        <v>78</v>
      </c>
      <c r="N620" t="s">
        <v>79</v>
      </c>
      <c r="O620" t="s">
        <v>74</v>
      </c>
      <c r="P620" t="s">
        <v>74</v>
      </c>
      <c r="Q620" t="s">
        <v>74</v>
      </c>
      <c r="R620" t="s">
        <v>74</v>
      </c>
      <c r="S620" t="s">
        <v>74</v>
      </c>
      <c r="T620" t="s">
        <v>10950</v>
      </c>
      <c r="U620" t="s">
        <v>10951</v>
      </c>
      <c r="V620" t="s">
        <v>10952</v>
      </c>
      <c r="W620" t="s">
        <v>10953</v>
      </c>
      <c r="X620" t="s">
        <v>10954</v>
      </c>
      <c r="Y620" t="s">
        <v>10955</v>
      </c>
      <c r="Z620" t="s">
        <v>10956</v>
      </c>
      <c r="AA620" t="s">
        <v>10957</v>
      </c>
      <c r="AB620" t="s">
        <v>10958</v>
      </c>
      <c r="AC620" t="s">
        <v>10959</v>
      </c>
      <c r="AD620" t="s">
        <v>10960</v>
      </c>
      <c r="AE620" t="s">
        <v>10961</v>
      </c>
      <c r="AF620" t="s">
        <v>74</v>
      </c>
      <c r="AG620">
        <v>75</v>
      </c>
      <c r="AH620">
        <v>47</v>
      </c>
      <c r="AI620">
        <v>52</v>
      </c>
      <c r="AJ620">
        <v>0</v>
      </c>
      <c r="AK620">
        <v>37</v>
      </c>
      <c r="AL620" t="s">
        <v>3232</v>
      </c>
      <c r="AM620" t="s">
        <v>3233</v>
      </c>
      <c r="AN620" t="s">
        <v>3234</v>
      </c>
      <c r="AO620" t="s">
        <v>3235</v>
      </c>
      <c r="AP620" t="s">
        <v>3236</v>
      </c>
      <c r="AQ620" t="s">
        <v>74</v>
      </c>
      <c r="AR620" t="s">
        <v>3237</v>
      </c>
      <c r="AS620" t="s">
        <v>3238</v>
      </c>
      <c r="AT620" t="s">
        <v>74</v>
      </c>
      <c r="AU620">
        <v>2011</v>
      </c>
      <c r="AV620">
        <v>421</v>
      </c>
      <c r="AW620" t="s">
        <v>74</v>
      </c>
      <c r="AX620" t="s">
        <v>74</v>
      </c>
      <c r="AY620" t="s">
        <v>74</v>
      </c>
      <c r="AZ620" t="s">
        <v>74</v>
      </c>
      <c r="BA620" t="s">
        <v>74</v>
      </c>
      <c r="BB620">
        <v>265</v>
      </c>
      <c r="BC620">
        <v>277</v>
      </c>
      <c r="BD620" t="s">
        <v>74</v>
      </c>
      <c r="BE620" t="s">
        <v>10962</v>
      </c>
      <c r="BF620" t="str">
        <f>HYPERLINK("http://dx.doi.org/10.3354/meps08863","http://dx.doi.org/10.3354/meps08863")</f>
        <v>http://dx.doi.org/10.3354/meps08863</v>
      </c>
      <c r="BG620" t="s">
        <v>74</v>
      </c>
      <c r="BH620" t="s">
        <v>74</v>
      </c>
      <c r="BI620">
        <v>13</v>
      </c>
      <c r="BJ620" t="s">
        <v>3240</v>
      </c>
      <c r="BK620" t="s">
        <v>100</v>
      </c>
      <c r="BL620" t="s">
        <v>3241</v>
      </c>
      <c r="BM620" t="s">
        <v>10963</v>
      </c>
      <c r="BN620" t="s">
        <v>74</v>
      </c>
      <c r="BO620" t="s">
        <v>252</v>
      </c>
      <c r="BP620" t="s">
        <v>74</v>
      </c>
      <c r="BQ620" t="s">
        <v>74</v>
      </c>
      <c r="BR620" t="s">
        <v>103</v>
      </c>
      <c r="BS620" t="s">
        <v>10964</v>
      </c>
      <c r="BT620" t="str">
        <f>HYPERLINK("https%3A%2F%2Fwww.webofscience.com%2Fwos%2Fwoscc%2Ffull-record%2FWOS:000286390800022","View Full Record in Web of Science")</f>
        <v>View Full Record in Web of Science</v>
      </c>
    </row>
    <row r="621" spans="1:72" x14ac:dyDescent="0.15">
      <c r="A621" t="s">
        <v>72</v>
      </c>
      <c r="B621" t="s">
        <v>10965</v>
      </c>
      <c r="C621" t="s">
        <v>74</v>
      </c>
      <c r="D621" t="s">
        <v>74</v>
      </c>
      <c r="E621" t="s">
        <v>74</v>
      </c>
      <c r="F621" t="s">
        <v>10966</v>
      </c>
      <c r="G621" t="s">
        <v>74</v>
      </c>
      <c r="H621" t="s">
        <v>74</v>
      </c>
      <c r="I621" t="s">
        <v>10967</v>
      </c>
      <c r="J621" t="s">
        <v>3221</v>
      </c>
      <c r="K621" t="s">
        <v>74</v>
      </c>
      <c r="L621" t="s">
        <v>74</v>
      </c>
      <c r="M621" t="s">
        <v>78</v>
      </c>
      <c r="N621" t="s">
        <v>79</v>
      </c>
      <c r="O621" t="s">
        <v>74</v>
      </c>
      <c r="P621" t="s">
        <v>74</v>
      </c>
      <c r="Q621" t="s">
        <v>74</v>
      </c>
      <c r="R621" t="s">
        <v>74</v>
      </c>
      <c r="S621" t="s">
        <v>74</v>
      </c>
      <c r="T621" t="s">
        <v>10968</v>
      </c>
      <c r="U621" t="s">
        <v>10969</v>
      </c>
      <c r="V621" t="s">
        <v>10970</v>
      </c>
      <c r="W621" t="s">
        <v>10971</v>
      </c>
      <c r="X621" t="s">
        <v>10972</v>
      </c>
      <c r="Y621" t="s">
        <v>10973</v>
      </c>
      <c r="Z621" t="s">
        <v>10974</v>
      </c>
      <c r="AA621" t="s">
        <v>74</v>
      </c>
      <c r="AB621" t="s">
        <v>74</v>
      </c>
      <c r="AC621" t="s">
        <v>10975</v>
      </c>
      <c r="AD621" t="s">
        <v>10976</v>
      </c>
      <c r="AE621" t="s">
        <v>10977</v>
      </c>
      <c r="AF621" t="s">
        <v>74</v>
      </c>
      <c r="AG621">
        <v>60</v>
      </c>
      <c r="AH621">
        <v>53</v>
      </c>
      <c r="AI621">
        <v>55</v>
      </c>
      <c r="AJ621">
        <v>0</v>
      </c>
      <c r="AK621">
        <v>26</v>
      </c>
      <c r="AL621" t="s">
        <v>3232</v>
      </c>
      <c r="AM621" t="s">
        <v>3233</v>
      </c>
      <c r="AN621" t="s">
        <v>3234</v>
      </c>
      <c r="AO621" t="s">
        <v>3235</v>
      </c>
      <c r="AP621" t="s">
        <v>3236</v>
      </c>
      <c r="AQ621" t="s">
        <v>74</v>
      </c>
      <c r="AR621" t="s">
        <v>3237</v>
      </c>
      <c r="AS621" t="s">
        <v>3238</v>
      </c>
      <c r="AT621" t="s">
        <v>74</v>
      </c>
      <c r="AU621">
        <v>2011</v>
      </c>
      <c r="AV621">
        <v>421</v>
      </c>
      <c r="AW621" t="s">
        <v>74</v>
      </c>
      <c r="AX621" t="s">
        <v>74</v>
      </c>
      <c r="AY621" t="s">
        <v>74</v>
      </c>
      <c r="AZ621" t="s">
        <v>74</v>
      </c>
      <c r="BA621" t="s">
        <v>74</v>
      </c>
      <c r="BB621">
        <v>279</v>
      </c>
      <c r="BC621">
        <v>290</v>
      </c>
      <c r="BD621" t="s">
        <v>74</v>
      </c>
      <c r="BE621" t="s">
        <v>10978</v>
      </c>
      <c r="BF621" t="str">
        <f>HYPERLINK("http://dx.doi.org/10.3354/meps08907","http://dx.doi.org/10.3354/meps08907")</f>
        <v>http://dx.doi.org/10.3354/meps08907</v>
      </c>
      <c r="BG621" t="s">
        <v>74</v>
      </c>
      <c r="BH621" t="s">
        <v>74</v>
      </c>
      <c r="BI621">
        <v>12</v>
      </c>
      <c r="BJ621" t="s">
        <v>3240</v>
      </c>
      <c r="BK621" t="s">
        <v>100</v>
      </c>
      <c r="BL621" t="s">
        <v>3241</v>
      </c>
      <c r="BM621" t="s">
        <v>10963</v>
      </c>
      <c r="BN621" t="s">
        <v>74</v>
      </c>
      <c r="BO621" t="s">
        <v>1696</v>
      </c>
      <c r="BP621" t="s">
        <v>74</v>
      </c>
      <c r="BQ621" t="s">
        <v>74</v>
      </c>
      <c r="BR621" t="s">
        <v>103</v>
      </c>
      <c r="BS621" t="s">
        <v>10979</v>
      </c>
      <c r="BT621" t="str">
        <f>HYPERLINK("https%3A%2F%2Fwww.webofscience.com%2Fwos%2Fwoscc%2Ffull-record%2FWOS:000286390800023","View Full Record in Web of Science")</f>
        <v>View Full Record in Web of Science</v>
      </c>
    </row>
    <row r="622" spans="1:72" x14ac:dyDescent="0.15">
      <c r="A622" t="s">
        <v>72</v>
      </c>
      <c r="B622" t="s">
        <v>10980</v>
      </c>
      <c r="C622" t="s">
        <v>74</v>
      </c>
      <c r="D622" t="s">
        <v>74</v>
      </c>
      <c r="E622" t="s">
        <v>74</v>
      </c>
      <c r="F622" t="s">
        <v>10981</v>
      </c>
      <c r="G622" t="s">
        <v>74</v>
      </c>
      <c r="H622" t="s">
        <v>74</v>
      </c>
      <c r="I622" t="s">
        <v>10982</v>
      </c>
      <c r="J622" t="s">
        <v>10983</v>
      </c>
      <c r="K622" t="s">
        <v>74</v>
      </c>
      <c r="L622" t="s">
        <v>74</v>
      </c>
      <c r="M622" t="s">
        <v>78</v>
      </c>
      <c r="N622" t="s">
        <v>79</v>
      </c>
      <c r="O622" t="s">
        <v>74</v>
      </c>
      <c r="P622" t="s">
        <v>74</v>
      </c>
      <c r="Q622" t="s">
        <v>74</v>
      </c>
      <c r="R622" t="s">
        <v>74</v>
      </c>
      <c r="S622" t="s">
        <v>74</v>
      </c>
      <c r="T622" t="s">
        <v>10984</v>
      </c>
      <c r="U622" t="s">
        <v>10985</v>
      </c>
      <c r="V622" t="s">
        <v>10986</v>
      </c>
      <c r="W622" t="s">
        <v>10987</v>
      </c>
      <c r="X622" t="s">
        <v>10988</v>
      </c>
      <c r="Y622" t="s">
        <v>10989</v>
      </c>
      <c r="Z622" t="s">
        <v>10990</v>
      </c>
      <c r="AA622" t="s">
        <v>10991</v>
      </c>
      <c r="AB622" t="s">
        <v>10992</v>
      </c>
      <c r="AC622" t="s">
        <v>10993</v>
      </c>
      <c r="AD622" t="s">
        <v>10994</v>
      </c>
      <c r="AE622" t="s">
        <v>10995</v>
      </c>
      <c r="AF622" t="s">
        <v>74</v>
      </c>
      <c r="AG622">
        <v>24</v>
      </c>
      <c r="AH622">
        <v>40</v>
      </c>
      <c r="AI622">
        <v>46</v>
      </c>
      <c r="AJ622">
        <v>2</v>
      </c>
      <c r="AK622">
        <v>44</v>
      </c>
      <c r="AL622" t="s">
        <v>718</v>
      </c>
      <c r="AM622" t="s">
        <v>719</v>
      </c>
      <c r="AN622" t="s">
        <v>720</v>
      </c>
      <c r="AO622" t="s">
        <v>10996</v>
      </c>
      <c r="AP622" t="s">
        <v>10997</v>
      </c>
      <c r="AQ622" t="s">
        <v>74</v>
      </c>
      <c r="AR622" t="s">
        <v>10998</v>
      </c>
      <c r="AS622" t="s">
        <v>10999</v>
      </c>
      <c r="AT622" t="s">
        <v>74</v>
      </c>
      <c r="AU622">
        <v>2011</v>
      </c>
      <c r="AV622">
        <v>63</v>
      </c>
      <c r="AW622" t="s">
        <v>11000</v>
      </c>
      <c r="AX622" t="s">
        <v>74</v>
      </c>
      <c r="AY622" t="s">
        <v>74</v>
      </c>
      <c r="AZ622" t="s">
        <v>967</v>
      </c>
      <c r="BA622" t="s">
        <v>74</v>
      </c>
      <c r="BB622">
        <v>523</v>
      </c>
      <c r="BC622">
        <v>527</v>
      </c>
      <c r="BD622" t="s">
        <v>74</v>
      </c>
      <c r="BE622" t="s">
        <v>11001</v>
      </c>
      <c r="BF622" t="str">
        <f>HYPERLINK("http://dx.doi.org/10.1016/j.marpolbul.2011.02.007","http://dx.doi.org/10.1016/j.marpolbul.2011.02.007")</f>
        <v>http://dx.doi.org/10.1016/j.marpolbul.2011.02.007</v>
      </c>
      <c r="BG622" t="s">
        <v>74</v>
      </c>
      <c r="BH622" t="s">
        <v>74</v>
      </c>
      <c r="BI622">
        <v>5</v>
      </c>
      <c r="BJ622" t="s">
        <v>11002</v>
      </c>
      <c r="BK622" t="s">
        <v>100</v>
      </c>
      <c r="BL622" t="s">
        <v>347</v>
      </c>
      <c r="BM622" t="s">
        <v>11003</v>
      </c>
      <c r="BN622">
        <v>21377172</v>
      </c>
      <c r="BO622" t="s">
        <v>74</v>
      </c>
      <c r="BP622" t="s">
        <v>74</v>
      </c>
      <c r="BQ622" t="s">
        <v>74</v>
      </c>
      <c r="BR622" t="s">
        <v>103</v>
      </c>
      <c r="BS622" t="s">
        <v>11004</v>
      </c>
      <c r="BT622" t="str">
        <f>HYPERLINK("https%3A%2F%2Fwww.webofscience.com%2Fwos%2Fwoscc%2Ffull-record%2FWOS:000294092700067","View Full Record in Web of Science")</f>
        <v>View Full Record in Web of Science</v>
      </c>
    </row>
    <row r="623" spans="1:72" x14ac:dyDescent="0.15">
      <c r="A623" t="s">
        <v>72</v>
      </c>
      <c r="B623" t="s">
        <v>11005</v>
      </c>
      <c r="C623" t="s">
        <v>74</v>
      </c>
      <c r="D623" t="s">
        <v>74</v>
      </c>
      <c r="E623" t="s">
        <v>74</v>
      </c>
      <c r="F623" t="s">
        <v>11006</v>
      </c>
      <c r="G623" t="s">
        <v>74</v>
      </c>
      <c r="H623" t="s">
        <v>74</v>
      </c>
      <c r="I623" t="s">
        <v>11007</v>
      </c>
      <c r="J623" t="s">
        <v>10983</v>
      </c>
      <c r="K623" t="s">
        <v>74</v>
      </c>
      <c r="L623" t="s">
        <v>74</v>
      </c>
      <c r="M623" t="s">
        <v>78</v>
      </c>
      <c r="N623" t="s">
        <v>79</v>
      </c>
      <c r="O623" t="s">
        <v>74</v>
      </c>
      <c r="P623" t="s">
        <v>74</v>
      </c>
      <c r="Q623" t="s">
        <v>74</v>
      </c>
      <c r="R623" t="s">
        <v>74</v>
      </c>
      <c r="S623" t="s">
        <v>74</v>
      </c>
      <c r="T623" t="s">
        <v>11008</v>
      </c>
      <c r="U623" t="s">
        <v>11009</v>
      </c>
      <c r="V623" t="s">
        <v>11010</v>
      </c>
      <c r="W623" t="s">
        <v>11011</v>
      </c>
      <c r="X623" t="s">
        <v>11012</v>
      </c>
      <c r="Y623" t="s">
        <v>11013</v>
      </c>
      <c r="Z623" t="s">
        <v>11014</v>
      </c>
      <c r="AA623" t="s">
        <v>11015</v>
      </c>
      <c r="AB623" t="s">
        <v>11016</v>
      </c>
      <c r="AC623" t="s">
        <v>11017</v>
      </c>
      <c r="AD623" t="s">
        <v>11017</v>
      </c>
      <c r="AE623" t="s">
        <v>11018</v>
      </c>
      <c r="AF623" t="s">
        <v>74</v>
      </c>
      <c r="AG623">
        <v>36</v>
      </c>
      <c r="AH623">
        <v>36</v>
      </c>
      <c r="AI623">
        <v>40</v>
      </c>
      <c r="AJ623">
        <v>3</v>
      </c>
      <c r="AK623">
        <v>65</v>
      </c>
      <c r="AL623" t="s">
        <v>718</v>
      </c>
      <c r="AM623" t="s">
        <v>719</v>
      </c>
      <c r="AN623" t="s">
        <v>720</v>
      </c>
      <c r="AO623" t="s">
        <v>10996</v>
      </c>
      <c r="AP623" t="s">
        <v>10997</v>
      </c>
      <c r="AQ623" t="s">
        <v>74</v>
      </c>
      <c r="AR623" t="s">
        <v>10998</v>
      </c>
      <c r="AS623" t="s">
        <v>10999</v>
      </c>
      <c r="AT623" t="s">
        <v>3935</v>
      </c>
      <c r="AU623">
        <v>2011</v>
      </c>
      <c r="AV623">
        <v>62</v>
      </c>
      <c r="AW623">
        <v>1</v>
      </c>
      <c r="AX623" t="s">
        <v>74</v>
      </c>
      <c r="AY623" t="s">
        <v>74</v>
      </c>
      <c r="AZ623" t="s">
        <v>74</v>
      </c>
      <c r="BA623" t="s">
        <v>74</v>
      </c>
      <c r="BB623">
        <v>128</v>
      </c>
      <c r="BC623">
        <v>132</v>
      </c>
      <c r="BD623" t="s">
        <v>74</v>
      </c>
      <c r="BE623" t="s">
        <v>11019</v>
      </c>
      <c r="BF623" t="str">
        <f>HYPERLINK("http://dx.doi.org/10.1016/j.marpolbul.2010.09.002","http://dx.doi.org/10.1016/j.marpolbul.2010.09.002")</f>
        <v>http://dx.doi.org/10.1016/j.marpolbul.2010.09.002</v>
      </c>
      <c r="BG623" t="s">
        <v>74</v>
      </c>
      <c r="BH623" t="s">
        <v>74</v>
      </c>
      <c r="BI623">
        <v>5</v>
      </c>
      <c r="BJ623" t="s">
        <v>11002</v>
      </c>
      <c r="BK623" t="s">
        <v>100</v>
      </c>
      <c r="BL623" t="s">
        <v>347</v>
      </c>
      <c r="BM623" t="s">
        <v>11020</v>
      </c>
      <c r="BN623">
        <v>20880557</v>
      </c>
      <c r="BO623" t="s">
        <v>74</v>
      </c>
      <c r="BP623" t="s">
        <v>74</v>
      </c>
      <c r="BQ623" t="s">
        <v>74</v>
      </c>
      <c r="BR623" t="s">
        <v>103</v>
      </c>
      <c r="BS623" t="s">
        <v>11021</v>
      </c>
      <c r="BT623" t="str">
        <f>HYPERLINK("https%3A%2F%2Fwww.webofscience.com%2Fwos%2Fwoscc%2Ffull-record%2FWOS:000287548000026","View Full Record in Web of Science")</f>
        <v>View Full Record in Web of Science</v>
      </c>
    </row>
    <row r="624" spans="1:72" x14ac:dyDescent="0.15">
      <c r="A624" t="s">
        <v>72</v>
      </c>
      <c r="B624" t="s">
        <v>11022</v>
      </c>
      <c r="C624" t="s">
        <v>74</v>
      </c>
      <c r="D624" t="s">
        <v>74</v>
      </c>
      <c r="E624" t="s">
        <v>74</v>
      </c>
      <c r="F624" t="s">
        <v>11023</v>
      </c>
      <c r="G624" t="s">
        <v>74</v>
      </c>
      <c r="H624" t="s">
        <v>74</v>
      </c>
      <c r="I624" t="s">
        <v>11024</v>
      </c>
      <c r="J624" t="s">
        <v>10983</v>
      </c>
      <c r="K624" t="s">
        <v>74</v>
      </c>
      <c r="L624" t="s">
        <v>74</v>
      </c>
      <c r="M624" t="s">
        <v>78</v>
      </c>
      <c r="N624" t="s">
        <v>79</v>
      </c>
      <c r="O624" t="s">
        <v>74</v>
      </c>
      <c r="P624" t="s">
        <v>74</v>
      </c>
      <c r="Q624" t="s">
        <v>74</v>
      </c>
      <c r="R624" t="s">
        <v>74</v>
      </c>
      <c r="S624" t="s">
        <v>74</v>
      </c>
      <c r="T624" t="s">
        <v>11025</v>
      </c>
      <c r="U624" t="s">
        <v>11026</v>
      </c>
      <c r="V624" t="s">
        <v>11027</v>
      </c>
      <c r="W624" t="s">
        <v>11028</v>
      </c>
      <c r="X624" t="s">
        <v>11029</v>
      </c>
      <c r="Y624" t="s">
        <v>11030</v>
      </c>
      <c r="Z624" t="s">
        <v>11031</v>
      </c>
      <c r="AA624" t="s">
        <v>11032</v>
      </c>
      <c r="AB624" t="s">
        <v>11033</v>
      </c>
      <c r="AC624" t="s">
        <v>11034</v>
      </c>
      <c r="AD624" t="s">
        <v>11035</v>
      </c>
      <c r="AE624" t="s">
        <v>11036</v>
      </c>
      <c r="AF624" t="s">
        <v>74</v>
      </c>
      <c r="AG624">
        <v>31</v>
      </c>
      <c r="AH624">
        <v>58</v>
      </c>
      <c r="AI624">
        <v>60</v>
      </c>
      <c r="AJ624">
        <v>1</v>
      </c>
      <c r="AK624">
        <v>27</v>
      </c>
      <c r="AL624" t="s">
        <v>718</v>
      </c>
      <c r="AM624" t="s">
        <v>719</v>
      </c>
      <c r="AN624" t="s">
        <v>720</v>
      </c>
      <c r="AO624" t="s">
        <v>10996</v>
      </c>
      <c r="AP624" t="s">
        <v>10997</v>
      </c>
      <c r="AQ624" t="s">
        <v>74</v>
      </c>
      <c r="AR624" t="s">
        <v>10998</v>
      </c>
      <c r="AS624" t="s">
        <v>10999</v>
      </c>
      <c r="AT624" t="s">
        <v>3935</v>
      </c>
      <c r="AU624">
        <v>2011</v>
      </c>
      <c r="AV624">
        <v>62</v>
      </c>
      <c r="AW624">
        <v>1</v>
      </c>
      <c r="AX624" t="s">
        <v>74</v>
      </c>
      <c r="AY624" t="s">
        <v>74</v>
      </c>
      <c r="AZ624" t="s">
        <v>74</v>
      </c>
      <c r="BA624" t="s">
        <v>74</v>
      </c>
      <c r="BB624">
        <v>192</v>
      </c>
      <c r="BC624">
        <v>196</v>
      </c>
      <c r="BD624" t="s">
        <v>74</v>
      </c>
      <c r="BE624" t="s">
        <v>11037</v>
      </c>
      <c r="BF624" t="str">
        <f>HYPERLINK("http://dx.doi.org/10.1016/j.marpolbul.2010.10.014","http://dx.doi.org/10.1016/j.marpolbul.2010.10.014")</f>
        <v>http://dx.doi.org/10.1016/j.marpolbul.2010.10.014</v>
      </c>
      <c r="BG624" t="s">
        <v>74</v>
      </c>
      <c r="BH624" t="s">
        <v>74</v>
      </c>
      <c r="BI624">
        <v>5</v>
      </c>
      <c r="BJ624" t="s">
        <v>11002</v>
      </c>
      <c r="BK624" t="s">
        <v>100</v>
      </c>
      <c r="BL624" t="s">
        <v>347</v>
      </c>
      <c r="BM624" t="s">
        <v>11020</v>
      </c>
      <c r="BN624">
        <v>21092998</v>
      </c>
      <c r="BO624" t="s">
        <v>1391</v>
      </c>
      <c r="BP624" t="s">
        <v>74</v>
      </c>
      <c r="BQ624" t="s">
        <v>74</v>
      </c>
      <c r="BR624" t="s">
        <v>103</v>
      </c>
      <c r="BS624" t="s">
        <v>11038</v>
      </c>
      <c r="BT624" t="str">
        <f>HYPERLINK("https%3A%2F%2Fwww.webofscience.com%2Fwos%2Fwoscc%2Ffull-record%2FWOS:000287548000034","View Full Record in Web of Science")</f>
        <v>View Full Record in Web of Science</v>
      </c>
    </row>
    <row r="625" spans="1:72" x14ac:dyDescent="0.15">
      <c r="A625" t="s">
        <v>72</v>
      </c>
      <c r="B625" t="s">
        <v>11039</v>
      </c>
      <c r="C625" t="s">
        <v>74</v>
      </c>
      <c r="D625" t="s">
        <v>74</v>
      </c>
      <c r="E625" t="s">
        <v>74</v>
      </c>
      <c r="F625" t="s">
        <v>11040</v>
      </c>
      <c r="G625" t="s">
        <v>74</v>
      </c>
      <c r="H625" t="s">
        <v>74</v>
      </c>
      <c r="I625" t="s">
        <v>11041</v>
      </c>
      <c r="J625" t="s">
        <v>4919</v>
      </c>
      <c r="K625" t="s">
        <v>74</v>
      </c>
      <c r="L625" t="s">
        <v>74</v>
      </c>
      <c r="M625" t="s">
        <v>78</v>
      </c>
      <c r="N625" t="s">
        <v>79</v>
      </c>
      <c r="O625" t="s">
        <v>74</v>
      </c>
      <c r="P625" t="s">
        <v>74</v>
      </c>
      <c r="Q625" t="s">
        <v>74</v>
      </c>
      <c r="R625" t="s">
        <v>74</v>
      </c>
      <c r="S625" t="s">
        <v>74</v>
      </c>
      <c r="T625" t="s">
        <v>74</v>
      </c>
      <c r="U625" t="s">
        <v>11042</v>
      </c>
      <c r="V625" t="s">
        <v>11043</v>
      </c>
      <c r="W625" t="s">
        <v>11044</v>
      </c>
      <c r="X625" t="s">
        <v>11045</v>
      </c>
      <c r="Y625" t="s">
        <v>11046</v>
      </c>
      <c r="Z625" t="s">
        <v>11047</v>
      </c>
      <c r="AA625" t="s">
        <v>11048</v>
      </c>
      <c r="AB625" t="s">
        <v>11049</v>
      </c>
      <c r="AC625" t="s">
        <v>11050</v>
      </c>
      <c r="AD625" t="s">
        <v>11051</v>
      </c>
      <c r="AE625" t="s">
        <v>11052</v>
      </c>
      <c r="AF625" t="s">
        <v>74</v>
      </c>
      <c r="AG625">
        <v>71</v>
      </c>
      <c r="AH625">
        <v>45</v>
      </c>
      <c r="AI625">
        <v>51</v>
      </c>
      <c r="AJ625">
        <v>0</v>
      </c>
      <c r="AK625">
        <v>15</v>
      </c>
      <c r="AL625" t="s">
        <v>214</v>
      </c>
      <c r="AM625" t="s">
        <v>215</v>
      </c>
      <c r="AN625" t="s">
        <v>216</v>
      </c>
      <c r="AO625" t="s">
        <v>4929</v>
      </c>
      <c r="AP625" t="s">
        <v>11053</v>
      </c>
      <c r="AQ625" t="s">
        <v>74</v>
      </c>
      <c r="AR625" t="s">
        <v>4930</v>
      </c>
      <c r="AS625" t="s">
        <v>4931</v>
      </c>
      <c r="AT625" t="s">
        <v>3935</v>
      </c>
      <c r="AU625">
        <v>2011</v>
      </c>
      <c r="AV625">
        <v>46</v>
      </c>
      <c r="AW625">
        <v>1</v>
      </c>
      <c r="AX625" t="s">
        <v>74</v>
      </c>
      <c r="AY625" t="s">
        <v>74</v>
      </c>
      <c r="AZ625" t="s">
        <v>74</v>
      </c>
      <c r="BA625" t="s">
        <v>74</v>
      </c>
      <c r="BB625">
        <v>1</v>
      </c>
      <c r="BC625">
        <v>20</v>
      </c>
      <c r="BD625" t="s">
        <v>74</v>
      </c>
      <c r="BE625" t="s">
        <v>11054</v>
      </c>
      <c r="BF625" t="str">
        <f>HYPERLINK("http://dx.doi.org/10.1111/j.1945-5100.2010.01127.x","http://dx.doi.org/10.1111/j.1945-5100.2010.01127.x")</f>
        <v>http://dx.doi.org/10.1111/j.1945-5100.2010.01127.x</v>
      </c>
      <c r="BG625" t="s">
        <v>74</v>
      </c>
      <c r="BH625" t="s">
        <v>74</v>
      </c>
      <c r="BI625">
        <v>20</v>
      </c>
      <c r="BJ625" t="s">
        <v>774</v>
      </c>
      <c r="BK625" t="s">
        <v>100</v>
      </c>
      <c r="BL625" t="s">
        <v>774</v>
      </c>
      <c r="BM625" t="s">
        <v>4933</v>
      </c>
      <c r="BN625" t="s">
        <v>74</v>
      </c>
      <c r="BO625" t="s">
        <v>138</v>
      </c>
      <c r="BP625" t="s">
        <v>74</v>
      </c>
      <c r="BQ625" t="s">
        <v>74</v>
      </c>
      <c r="BR625" t="s">
        <v>103</v>
      </c>
      <c r="BS625" t="s">
        <v>11055</v>
      </c>
      <c r="BT625" t="str">
        <f>HYPERLINK("https%3A%2F%2Fwww.webofscience.com%2Fwos%2Fwoscc%2Ffull-record%2FWOS:000287247900001","View Full Record in Web of Science")</f>
        <v>View Full Record in Web of Science</v>
      </c>
    </row>
    <row r="626" spans="1:72" x14ac:dyDescent="0.15">
      <c r="A626" t="s">
        <v>2363</v>
      </c>
      <c r="B626" t="s">
        <v>11056</v>
      </c>
      <c r="C626" t="s">
        <v>74</v>
      </c>
      <c r="D626" t="s">
        <v>11057</v>
      </c>
      <c r="E626" t="s">
        <v>74</v>
      </c>
      <c r="F626" t="s">
        <v>11058</v>
      </c>
      <c r="G626" t="s">
        <v>74</v>
      </c>
      <c r="H626" t="s">
        <v>74</v>
      </c>
      <c r="I626" t="s">
        <v>11059</v>
      </c>
      <c r="J626" t="s">
        <v>11060</v>
      </c>
      <c r="K626" t="s">
        <v>74</v>
      </c>
      <c r="L626" t="s">
        <v>74</v>
      </c>
      <c r="M626" t="s">
        <v>78</v>
      </c>
      <c r="N626" t="s">
        <v>2370</v>
      </c>
      <c r="O626" t="s">
        <v>74</v>
      </c>
      <c r="P626" t="s">
        <v>74</v>
      </c>
      <c r="Q626" t="s">
        <v>74</v>
      </c>
      <c r="R626" t="s">
        <v>74</v>
      </c>
      <c r="S626" t="s">
        <v>74</v>
      </c>
      <c r="T626" t="s">
        <v>74</v>
      </c>
      <c r="U626" t="s">
        <v>74</v>
      </c>
      <c r="V626" t="s">
        <v>11061</v>
      </c>
      <c r="W626" t="s">
        <v>11062</v>
      </c>
      <c r="X626" t="s">
        <v>3681</v>
      </c>
      <c r="Y626" t="s">
        <v>11063</v>
      </c>
      <c r="Z626" t="s">
        <v>74</v>
      </c>
      <c r="AA626" t="s">
        <v>11064</v>
      </c>
      <c r="AB626" t="s">
        <v>11065</v>
      </c>
      <c r="AC626" t="s">
        <v>74</v>
      </c>
      <c r="AD626" t="s">
        <v>74</v>
      </c>
      <c r="AE626" t="s">
        <v>74</v>
      </c>
      <c r="AF626" t="s">
        <v>74</v>
      </c>
      <c r="AG626">
        <v>5</v>
      </c>
      <c r="AH626">
        <v>0</v>
      </c>
      <c r="AI626">
        <v>0</v>
      </c>
      <c r="AJ626">
        <v>0</v>
      </c>
      <c r="AK626">
        <v>4</v>
      </c>
      <c r="AL626" t="s">
        <v>7140</v>
      </c>
      <c r="AM626" t="s">
        <v>7141</v>
      </c>
      <c r="AN626" t="s">
        <v>7142</v>
      </c>
      <c r="AO626" t="s">
        <v>74</v>
      </c>
      <c r="AP626" t="s">
        <v>74</v>
      </c>
      <c r="AQ626" t="s">
        <v>11066</v>
      </c>
      <c r="AR626" t="s">
        <v>74</v>
      </c>
      <c r="AS626" t="s">
        <v>74</v>
      </c>
      <c r="AT626" t="s">
        <v>74</v>
      </c>
      <c r="AU626">
        <v>2011</v>
      </c>
      <c r="AV626" t="s">
        <v>74</v>
      </c>
      <c r="AW626" t="s">
        <v>74</v>
      </c>
      <c r="AX626" t="s">
        <v>74</v>
      </c>
      <c r="AY626" t="s">
        <v>74</v>
      </c>
      <c r="AZ626" t="s">
        <v>74</v>
      </c>
      <c r="BA626" t="s">
        <v>74</v>
      </c>
      <c r="BB626">
        <v>75</v>
      </c>
      <c r="BC626">
        <v>80</v>
      </c>
      <c r="BD626" t="s">
        <v>74</v>
      </c>
      <c r="BE626" t="s">
        <v>74</v>
      </c>
      <c r="BF626" t="s">
        <v>74</v>
      </c>
      <c r="BG626" t="s">
        <v>11067</v>
      </c>
      <c r="BH626" t="s">
        <v>74</v>
      </c>
      <c r="BI626">
        <v>6</v>
      </c>
      <c r="BJ626" t="s">
        <v>11068</v>
      </c>
      <c r="BK626" t="s">
        <v>2384</v>
      </c>
      <c r="BL626" t="s">
        <v>11069</v>
      </c>
      <c r="BM626" t="s">
        <v>11070</v>
      </c>
      <c r="BN626" t="s">
        <v>74</v>
      </c>
      <c r="BO626" t="s">
        <v>74</v>
      </c>
      <c r="BP626" t="s">
        <v>74</v>
      </c>
      <c r="BQ626" t="s">
        <v>74</v>
      </c>
      <c r="BR626" t="s">
        <v>103</v>
      </c>
      <c r="BS626" t="s">
        <v>11071</v>
      </c>
      <c r="BT626" t="str">
        <f>HYPERLINK("https%3A%2F%2Fwww.webofscience.com%2Fwos%2Fwoscc%2Ffull-record%2FWOS:000351100300010","View Full Record in Web of Science")</f>
        <v>View Full Record in Web of Science</v>
      </c>
    </row>
    <row r="627" spans="1:72" x14ac:dyDescent="0.15">
      <c r="A627" t="s">
        <v>2268</v>
      </c>
      <c r="B627" t="s">
        <v>11072</v>
      </c>
      <c r="C627" t="s">
        <v>74</v>
      </c>
      <c r="D627" t="s">
        <v>11073</v>
      </c>
      <c r="E627" t="s">
        <v>74</v>
      </c>
      <c r="F627" t="s">
        <v>11074</v>
      </c>
      <c r="G627" t="s">
        <v>74</v>
      </c>
      <c r="H627" t="s">
        <v>74</v>
      </c>
      <c r="I627" t="s">
        <v>11075</v>
      </c>
      <c r="J627" t="s">
        <v>11076</v>
      </c>
      <c r="K627" t="s">
        <v>74</v>
      </c>
      <c r="L627" t="s">
        <v>74</v>
      </c>
      <c r="M627" t="s">
        <v>78</v>
      </c>
      <c r="N627" t="s">
        <v>2275</v>
      </c>
      <c r="O627" t="s">
        <v>11077</v>
      </c>
      <c r="P627" t="s">
        <v>11078</v>
      </c>
      <c r="Q627" t="s">
        <v>11079</v>
      </c>
      <c r="R627" t="s">
        <v>74</v>
      </c>
      <c r="S627" t="s">
        <v>11080</v>
      </c>
      <c r="T627" t="s">
        <v>74</v>
      </c>
      <c r="U627" t="s">
        <v>11081</v>
      </c>
      <c r="V627" t="s">
        <v>11082</v>
      </c>
      <c r="W627" t="s">
        <v>11083</v>
      </c>
      <c r="X627" t="s">
        <v>11084</v>
      </c>
      <c r="Y627" t="s">
        <v>11085</v>
      </c>
      <c r="Z627" t="s">
        <v>11086</v>
      </c>
      <c r="AA627" t="s">
        <v>74</v>
      </c>
      <c r="AB627" t="s">
        <v>74</v>
      </c>
      <c r="AC627" t="s">
        <v>74</v>
      </c>
      <c r="AD627" t="s">
        <v>74</v>
      </c>
      <c r="AE627" t="s">
        <v>74</v>
      </c>
      <c r="AF627" t="s">
        <v>74</v>
      </c>
      <c r="AG627">
        <v>18</v>
      </c>
      <c r="AH627">
        <v>0</v>
      </c>
      <c r="AI627">
        <v>0</v>
      </c>
      <c r="AJ627">
        <v>0</v>
      </c>
      <c r="AK627">
        <v>1</v>
      </c>
      <c r="AL627" t="s">
        <v>7165</v>
      </c>
      <c r="AM627" t="s">
        <v>7166</v>
      </c>
      <c r="AN627" t="s">
        <v>7167</v>
      </c>
      <c r="AO627" t="s">
        <v>74</v>
      </c>
      <c r="AP627" t="s">
        <v>74</v>
      </c>
      <c r="AQ627" t="s">
        <v>11087</v>
      </c>
      <c r="AR627" t="s">
        <v>74</v>
      </c>
      <c r="AS627" t="s">
        <v>74</v>
      </c>
      <c r="AT627" t="s">
        <v>74</v>
      </c>
      <c r="AU627">
        <v>2011</v>
      </c>
      <c r="AV627" t="s">
        <v>74</v>
      </c>
      <c r="AW627" t="s">
        <v>74</v>
      </c>
      <c r="AX627" t="s">
        <v>74</v>
      </c>
      <c r="AY627" t="s">
        <v>74</v>
      </c>
      <c r="AZ627" t="s">
        <v>74</v>
      </c>
      <c r="BA627" t="s">
        <v>74</v>
      </c>
      <c r="BB627">
        <v>342</v>
      </c>
      <c r="BC627">
        <v>351</v>
      </c>
      <c r="BD627" t="s">
        <v>74</v>
      </c>
      <c r="BE627" t="s">
        <v>74</v>
      </c>
      <c r="BF627" t="s">
        <v>74</v>
      </c>
      <c r="BG627" t="s">
        <v>74</v>
      </c>
      <c r="BH627" t="s">
        <v>74</v>
      </c>
      <c r="BI627">
        <v>10</v>
      </c>
      <c r="BJ627" t="s">
        <v>4586</v>
      </c>
      <c r="BK627" t="s">
        <v>2292</v>
      </c>
      <c r="BL627" t="s">
        <v>2454</v>
      </c>
      <c r="BM627" t="s">
        <v>11088</v>
      </c>
      <c r="BN627" t="s">
        <v>74</v>
      </c>
      <c r="BO627" t="s">
        <v>74</v>
      </c>
      <c r="BP627" t="s">
        <v>74</v>
      </c>
      <c r="BQ627" t="s">
        <v>74</v>
      </c>
      <c r="BR627" t="s">
        <v>103</v>
      </c>
      <c r="BS627" t="s">
        <v>11089</v>
      </c>
      <c r="BT627" t="str">
        <f>HYPERLINK("https%3A%2F%2Fwww.webofscience.com%2Fwos%2Fwoscc%2Ffull-record%2FWOS:000394195900038","View Full Record in Web of Science")</f>
        <v>View Full Record in Web of Science</v>
      </c>
    </row>
    <row r="628" spans="1:72" x14ac:dyDescent="0.15">
      <c r="A628" t="s">
        <v>2363</v>
      </c>
      <c r="B628" t="s">
        <v>11090</v>
      </c>
      <c r="C628" t="s">
        <v>74</v>
      </c>
      <c r="D628" t="s">
        <v>3599</v>
      </c>
      <c r="E628" t="s">
        <v>74</v>
      </c>
      <c r="F628" t="s">
        <v>11091</v>
      </c>
      <c r="G628" t="s">
        <v>74</v>
      </c>
      <c r="H628" t="s">
        <v>74</v>
      </c>
      <c r="I628" t="s">
        <v>11092</v>
      </c>
      <c r="J628" t="s">
        <v>3602</v>
      </c>
      <c r="K628" t="s">
        <v>74</v>
      </c>
      <c r="L628" t="s">
        <v>74</v>
      </c>
      <c r="M628" t="s">
        <v>78</v>
      </c>
      <c r="N628" t="s">
        <v>2370</v>
      </c>
      <c r="O628" t="s">
        <v>74</v>
      </c>
      <c r="P628" t="s">
        <v>74</v>
      </c>
      <c r="Q628" t="s">
        <v>74</v>
      </c>
      <c r="R628" t="s">
        <v>74</v>
      </c>
      <c r="S628" t="s">
        <v>74</v>
      </c>
      <c r="T628" t="s">
        <v>74</v>
      </c>
      <c r="U628" t="s">
        <v>11093</v>
      </c>
      <c r="V628" t="s">
        <v>74</v>
      </c>
      <c r="W628" t="s">
        <v>11094</v>
      </c>
      <c r="X628" t="s">
        <v>11095</v>
      </c>
      <c r="Y628" t="s">
        <v>11096</v>
      </c>
      <c r="Z628" t="s">
        <v>11097</v>
      </c>
      <c r="AA628" t="s">
        <v>11098</v>
      </c>
      <c r="AB628" t="s">
        <v>11099</v>
      </c>
      <c r="AC628" t="s">
        <v>74</v>
      </c>
      <c r="AD628" t="s">
        <v>74</v>
      </c>
      <c r="AE628" t="s">
        <v>74</v>
      </c>
      <c r="AF628" t="s">
        <v>74</v>
      </c>
      <c r="AG628">
        <v>106</v>
      </c>
      <c r="AH628">
        <v>13</v>
      </c>
      <c r="AI628">
        <v>14</v>
      </c>
      <c r="AJ628">
        <v>0</v>
      </c>
      <c r="AK628">
        <v>5</v>
      </c>
      <c r="AL628" t="s">
        <v>3375</v>
      </c>
      <c r="AM628" t="s">
        <v>3376</v>
      </c>
      <c r="AN628" t="s">
        <v>3377</v>
      </c>
      <c r="AO628" t="s">
        <v>74</v>
      </c>
      <c r="AP628" t="s">
        <v>74</v>
      </c>
      <c r="AQ628" t="s">
        <v>3609</v>
      </c>
      <c r="AR628" t="s">
        <v>74</v>
      </c>
      <c r="AS628" t="s">
        <v>74</v>
      </c>
      <c r="AT628" t="s">
        <v>74</v>
      </c>
      <c r="AU628">
        <v>2011</v>
      </c>
      <c r="AV628" t="s">
        <v>74</v>
      </c>
      <c r="AW628" t="s">
        <v>74</v>
      </c>
      <c r="AX628" t="s">
        <v>74</v>
      </c>
      <c r="AY628" t="s">
        <v>74</v>
      </c>
      <c r="AZ628" t="s">
        <v>74</v>
      </c>
      <c r="BA628" t="s">
        <v>74</v>
      </c>
      <c r="BB628">
        <v>205</v>
      </c>
      <c r="BC628">
        <v>232</v>
      </c>
      <c r="BD628" t="s">
        <v>74</v>
      </c>
      <c r="BE628" t="s">
        <v>74</v>
      </c>
      <c r="BF628" t="s">
        <v>74</v>
      </c>
      <c r="BG628" t="s">
        <v>3610</v>
      </c>
      <c r="BH628" t="s">
        <v>74</v>
      </c>
      <c r="BI628">
        <v>28</v>
      </c>
      <c r="BJ628" t="s">
        <v>3611</v>
      </c>
      <c r="BK628" t="s">
        <v>2384</v>
      </c>
      <c r="BL628" t="s">
        <v>3611</v>
      </c>
      <c r="BM628" t="s">
        <v>3612</v>
      </c>
      <c r="BN628" t="s">
        <v>74</v>
      </c>
      <c r="BO628" t="s">
        <v>74</v>
      </c>
      <c r="BP628" t="s">
        <v>74</v>
      </c>
      <c r="BQ628" t="s">
        <v>74</v>
      </c>
      <c r="BR628" t="s">
        <v>103</v>
      </c>
      <c r="BS628" t="s">
        <v>11100</v>
      </c>
      <c r="BT628" t="str">
        <f>HYPERLINK("https%3A%2F%2Fwww.webofscience.com%2Fwos%2Fwoscc%2Ffull-record%2FWOS:000293173700010","View Full Record in Web of Science")</f>
        <v>View Full Record in Web of Science</v>
      </c>
    </row>
    <row r="629" spans="1:72" x14ac:dyDescent="0.15">
      <c r="A629" t="s">
        <v>72</v>
      </c>
      <c r="B629" t="s">
        <v>11101</v>
      </c>
      <c r="C629" t="s">
        <v>74</v>
      </c>
      <c r="D629" t="s">
        <v>74</v>
      </c>
      <c r="E629" t="s">
        <v>74</v>
      </c>
      <c r="F629" t="s">
        <v>11102</v>
      </c>
      <c r="G629" t="s">
        <v>74</v>
      </c>
      <c r="H629" t="s">
        <v>74</v>
      </c>
      <c r="I629" t="s">
        <v>11103</v>
      </c>
      <c r="J629" t="s">
        <v>11104</v>
      </c>
      <c r="K629" t="s">
        <v>74</v>
      </c>
      <c r="L629" t="s">
        <v>74</v>
      </c>
      <c r="M629" t="s">
        <v>78</v>
      </c>
      <c r="N629" t="s">
        <v>79</v>
      </c>
      <c r="O629" t="s">
        <v>74</v>
      </c>
      <c r="P629" t="s">
        <v>74</v>
      </c>
      <c r="Q629" t="s">
        <v>74</v>
      </c>
      <c r="R629" t="s">
        <v>74</v>
      </c>
      <c r="S629" t="s">
        <v>74</v>
      </c>
      <c r="T629" t="s">
        <v>11105</v>
      </c>
      <c r="U629" t="s">
        <v>11106</v>
      </c>
      <c r="V629" t="s">
        <v>11107</v>
      </c>
      <c r="W629" t="s">
        <v>11108</v>
      </c>
      <c r="X629" t="s">
        <v>11109</v>
      </c>
      <c r="Y629" t="s">
        <v>11110</v>
      </c>
      <c r="Z629" t="s">
        <v>11111</v>
      </c>
      <c r="AA629" t="s">
        <v>11112</v>
      </c>
      <c r="AB629" t="s">
        <v>11113</v>
      </c>
      <c r="AC629" t="s">
        <v>11114</v>
      </c>
      <c r="AD629" t="s">
        <v>11115</v>
      </c>
      <c r="AE629" t="s">
        <v>11116</v>
      </c>
      <c r="AF629" t="s">
        <v>74</v>
      </c>
      <c r="AG629">
        <v>15</v>
      </c>
      <c r="AH629">
        <v>22</v>
      </c>
      <c r="AI629">
        <v>24</v>
      </c>
      <c r="AJ629">
        <v>0</v>
      </c>
      <c r="AK629">
        <v>11</v>
      </c>
      <c r="AL629" t="s">
        <v>474</v>
      </c>
      <c r="AM629" t="s">
        <v>475</v>
      </c>
      <c r="AN629" t="s">
        <v>476</v>
      </c>
      <c r="AO629" t="s">
        <v>11117</v>
      </c>
      <c r="AP629" t="s">
        <v>11118</v>
      </c>
      <c r="AQ629" t="s">
        <v>74</v>
      </c>
      <c r="AR629" t="s">
        <v>11119</v>
      </c>
      <c r="AS629" t="s">
        <v>11120</v>
      </c>
      <c r="AT629" t="s">
        <v>74</v>
      </c>
      <c r="AU629">
        <v>2011</v>
      </c>
      <c r="AV629">
        <v>25</v>
      </c>
      <c r="AW629">
        <v>14</v>
      </c>
      <c r="AX629" t="s">
        <v>74</v>
      </c>
      <c r="AY629" t="s">
        <v>74</v>
      </c>
      <c r="AZ629" t="s">
        <v>74</v>
      </c>
      <c r="BA629" t="s">
        <v>74</v>
      </c>
      <c r="BB629">
        <v>1324</v>
      </c>
      <c r="BC629">
        <v>1333</v>
      </c>
      <c r="BD629" t="s">
        <v>74</v>
      </c>
      <c r="BE629" t="s">
        <v>11121</v>
      </c>
      <c r="BF629" t="str">
        <f>HYPERLINK("http://dx.doi.org/10.1080/14786419.2010.531017","http://dx.doi.org/10.1080/14786419.2010.531017")</f>
        <v>http://dx.doi.org/10.1080/14786419.2010.531017</v>
      </c>
      <c r="BG629" t="s">
        <v>74</v>
      </c>
      <c r="BH629" t="s">
        <v>74</v>
      </c>
      <c r="BI629">
        <v>10</v>
      </c>
      <c r="BJ629" t="s">
        <v>11122</v>
      </c>
      <c r="BK629" t="s">
        <v>100</v>
      </c>
      <c r="BL629" t="s">
        <v>11123</v>
      </c>
      <c r="BM629" t="s">
        <v>11124</v>
      </c>
      <c r="BN629">
        <v>21756184</v>
      </c>
      <c r="BO629" t="s">
        <v>74</v>
      </c>
      <c r="BP629" t="s">
        <v>74</v>
      </c>
      <c r="BQ629" t="s">
        <v>74</v>
      </c>
      <c r="BR629" t="s">
        <v>103</v>
      </c>
      <c r="BS629" t="s">
        <v>11125</v>
      </c>
      <c r="BT629" t="str">
        <f>HYPERLINK("https%3A%2F%2Fwww.webofscience.com%2Fwos%2Fwoscc%2Ffull-record%2FWOS:000299689700005","View Full Record in Web of Science")</f>
        <v>View Full Record in Web of Science</v>
      </c>
    </row>
    <row r="630" spans="1:72" x14ac:dyDescent="0.15">
      <c r="A630" t="s">
        <v>72</v>
      </c>
      <c r="B630" t="s">
        <v>11126</v>
      </c>
      <c r="C630" t="s">
        <v>74</v>
      </c>
      <c r="D630" t="s">
        <v>74</v>
      </c>
      <c r="E630" t="s">
        <v>74</v>
      </c>
      <c r="F630" t="s">
        <v>11127</v>
      </c>
      <c r="G630" t="s">
        <v>74</v>
      </c>
      <c r="H630" t="s">
        <v>74</v>
      </c>
      <c r="I630" t="s">
        <v>11128</v>
      </c>
      <c r="J630" t="s">
        <v>380</v>
      </c>
      <c r="K630" t="s">
        <v>74</v>
      </c>
      <c r="L630" t="s">
        <v>74</v>
      </c>
      <c r="M630" t="s">
        <v>78</v>
      </c>
      <c r="N630" t="s">
        <v>79</v>
      </c>
      <c r="O630" t="s">
        <v>74</v>
      </c>
      <c r="P630" t="s">
        <v>74</v>
      </c>
      <c r="Q630" t="s">
        <v>74</v>
      </c>
      <c r="R630" t="s">
        <v>74</v>
      </c>
      <c r="S630" t="s">
        <v>74</v>
      </c>
      <c r="T630" t="s">
        <v>74</v>
      </c>
      <c r="U630" t="s">
        <v>11129</v>
      </c>
      <c r="V630" t="s">
        <v>11130</v>
      </c>
      <c r="W630" t="s">
        <v>11131</v>
      </c>
      <c r="X630" t="s">
        <v>11132</v>
      </c>
      <c r="Y630" t="s">
        <v>11133</v>
      </c>
      <c r="Z630" t="s">
        <v>11134</v>
      </c>
      <c r="AA630" t="s">
        <v>11135</v>
      </c>
      <c r="AB630" t="s">
        <v>11136</v>
      </c>
      <c r="AC630" t="s">
        <v>11137</v>
      </c>
      <c r="AD630" t="s">
        <v>1215</v>
      </c>
      <c r="AE630" t="s">
        <v>74</v>
      </c>
      <c r="AF630" t="s">
        <v>74</v>
      </c>
      <c r="AG630">
        <v>30</v>
      </c>
      <c r="AH630">
        <v>183</v>
      </c>
      <c r="AI630">
        <v>203</v>
      </c>
      <c r="AJ630">
        <v>1</v>
      </c>
      <c r="AK630">
        <v>117</v>
      </c>
      <c r="AL630" t="s">
        <v>912</v>
      </c>
      <c r="AM630" t="s">
        <v>91</v>
      </c>
      <c r="AN630" t="s">
        <v>11138</v>
      </c>
      <c r="AO630" t="s">
        <v>391</v>
      </c>
      <c r="AP630" t="s">
        <v>74</v>
      </c>
      <c r="AQ630" t="s">
        <v>74</v>
      </c>
      <c r="AR630" t="s">
        <v>393</v>
      </c>
      <c r="AS630" t="s">
        <v>394</v>
      </c>
      <c r="AT630" t="s">
        <v>3935</v>
      </c>
      <c r="AU630">
        <v>2011</v>
      </c>
      <c r="AV630">
        <v>4</v>
      </c>
      <c r="AW630">
        <v>1</v>
      </c>
      <c r="AX630" t="s">
        <v>74</v>
      </c>
      <c r="AY630" t="s">
        <v>74</v>
      </c>
      <c r="AZ630" t="s">
        <v>74</v>
      </c>
      <c r="BA630" t="s">
        <v>74</v>
      </c>
      <c r="BB630">
        <v>46</v>
      </c>
      <c r="BC630">
        <v>49</v>
      </c>
      <c r="BD630" t="s">
        <v>74</v>
      </c>
      <c r="BE630" t="s">
        <v>11139</v>
      </c>
      <c r="BF630" t="str">
        <f>HYPERLINK("http://dx.doi.org/10.1038/NGEO1026","http://dx.doi.org/10.1038/NGEO1026")</f>
        <v>http://dx.doi.org/10.1038/NGEO1026</v>
      </c>
      <c r="BG630" t="s">
        <v>74</v>
      </c>
      <c r="BH630" t="s">
        <v>74</v>
      </c>
      <c r="BI630">
        <v>4</v>
      </c>
      <c r="BJ630" t="s">
        <v>396</v>
      </c>
      <c r="BK630" t="s">
        <v>100</v>
      </c>
      <c r="BL630" t="s">
        <v>397</v>
      </c>
      <c r="BM630" t="s">
        <v>11140</v>
      </c>
      <c r="BN630" t="s">
        <v>74</v>
      </c>
      <c r="BO630" t="s">
        <v>138</v>
      </c>
      <c r="BP630" t="s">
        <v>74</v>
      </c>
      <c r="BQ630" t="s">
        <v>74</v>
      </c>
      <c r="BR630" t="s">
        <v>103</v>
      </c>
      <c r="BS630" t="s">
        <v>11141</v>
      </c>
      <c r="BT630" t="str">
        <f>HYPERLINK("https%3A%2F%2Fwww.webofscience.com%2Fwos%2Fwoscc%2Ffull-record%2FWOS:000285498600017","View Full Record in Web of Science")</f>
        <v>View Full Record in Web of Science</v>
      </c>
    </row>
    <row r="631" spans="1:72" x14ac:dyDescent="0.15">
      <c r="A631" t="s">
        <v>72</v>
      </c>
      <c r="B631" t="s">
        <v>11142</v>
      </c>
      <c r="C631" t="s">
        <v>74</v>
      </c>
      <c r="D631" t="s">
        <v>74</v>
      </c>
      <c r="E631" t="s">
        <v>74</v>
      </c>
      <c r="F631" t="s">
        <v>11143</v>
      </c>
      <c r="G631" t="s">
        <v>74</v>
      </c>
      <c r="H631" t="s">
        <v>74</v>
      </c>
      <c r="I631" t="s">
        <v>11144</v>
      </c>
      <c r="J631" t="s">
        <v>4741</v>
      </c>
      <c r="K631" t="s">
        <v>74</v>
      </c>
      <c r="L631" t="s">
        <v>74</v>
      </c>
      <c r="M631" t="s">
        <v>78</v>
      </c>
      <c r="N631" t="s">
        <v>79</v>
      </c>
      <c r="O631" t="s">
        <v>74</v>
      </c>
      <c r="P631" t="s">
        <v>74</v>
      </c>
      <c r="Q631" t="s">
        <v>74</v>
      </c>
      <c r="R631" t="s">
        <v>74</v>
      </c>
      <c r="S631" t="s">
        <v>74</v>
      </c>
      <c r="T631" t="s">
        <v>11145</v>
      </c>
      <c r="U631" t="s">
        <v>11146</v>
      </c>
      <c r="V631" t="s">
        <v>11147</v>
      </c>
      <c r="W631" t="s">
        <v>11148</v>
      </c>
      <c r="X631" t="s">
        <v>11149</v>
      </c>
      <c r="Y631" t="s">
        <v>11150</v>
      </c>
      <c r="Z631" t="s">
        <v>11151</v>
      </c>
      <c r="AA631" t="s">
        <v>11152</v>
      </c>
      <c r="AB631" t="s">
        <v>11153</v>
      </c>
      <c r="AC631" t="s">
        <v>11154</v>
      </c>
      <c r="AD631" t="s">
        <v>11155</v>
      </c>
      <c r="AE631" t="s">
        <v>11156</v>
      </c>
      <c r="AF631" t="s">
        <v>74</v>
      </c>
      <c r="AG631">
        <v>36</v>
      </c>
      <c r="AH631">
        <v>6</v>
      </c>
      <c r="AI631">
        <v>8</v>
      </c>
      <c r="AJ631">
        <v>2</v>
      </c>
      <c r="AK631">
        <v>29</v>
      </c>
      <c r="AL631" t="s">
        <v>4751</v>
      </c>
      <c r="AM631" t="s">
        <v>4752</v>
      </c>
      <c r="AN631" t="s">
        <v>4753</v>
      </c>
      <c r="AO631" t="s">
        <v>4754</v>
      </c>
      <c r="AP631" t="s">
        <v>74</v>
      </c>
      <c r="AQ631" t="s">
        <v>74</v>
      </c>
      <c r="AR631" t="s">
        <v>4741</v>
      </c>
      <c r="AS631" t="s">
        <v>4755</v>
      </c>
      <c r="AT631" t="s">
        <v>74</v>
      </c>
      <c r="AU631">
        <v>2011</v>
      </c>
      <c r="AV631">
        <v>13</v>
      </c>
      <c r="AW631" t="s">
        <v>74</v>
      </c>
      <c r="AX631">
        <v>8</v>
      </c>
      <c r="AY631" t="s">
        <v>74</v>
      </c>
      <c r="AZ631" t="s">
        <v>74</v>
      </c>
      <c r="BA631" t="s">
        <v>74</v>
      </c>
      <c r="BB631">
        <v>977</v>
      </c>
      <c r="BC631">
        <v>983</v>
      </c>
      <c r="BD631" t="s">
        <v>74</v>
      </c>
      <c r="BE631" t="s">
        <v>11157</v>
      </c>
      <c r="BF631" t="str">
        <f>HYPERLINK("http://dx.doi.org/10.1163/138855411X571812","http://dx.doi.org/10.1163/138855411X571812")</f>
        <v>http://dx.doi.org/10.1163/138855411X571812</v>
      </c>
      <c r="BG631" t="s">
        <v>74</v>
      </c>
      <c r="BH631" t="s">
        <v>74</v>
      </c>
      <c r="BI631">
        <v>7</v>
      </c>
      <c r="BJ631" t="s">
        <v>674</v>
      </c>
      <c r="BK631" t="s">
        <v>100</v>
      </c>
      <c r="BL631" t="s">
        <v>674</v>
      </c>
      <c r="BM631" t="s">
        <v>11158</v>
      </c>
      <c r="BN631" t="s">
        <v>74</v>
      </c>
      <c r="BO631" t="s">
        <v>74</v>
      </c>
      <c r="BP631" t="s">
        <v>74</v>
      </c>
      <c r="BQ631" t="s">
        <v>74</v>
      </c>
      <c r="BR631" t="s">
        <v>103</v>
      </c>
      <c r="BS631" t="s">
        <v>11159</v>
      </c>
      <c r="BT631" t="str">
        <f>HYPERLINK("https%3A%2F%2Fwww.webofscience.com%2Fwos%2Fwoscc%2Ffull-record%2FWOS:000298162200009","View Full Record in Web of Science")</f>
        <v>View Full Record in Web of Science</v>
      </c>
    </row>
    <row r="632" spans="1:72" x14ac:dyDescent="0.15">
      <c r="A632" t="s">
        <v>72</v>
      </c>
      <c r="B632" t="s">
        <v>11160</v>
      </c>
      <c r="C632" t="s">
        <v>74</v>
      </c>
      <c r="D632" t="s">
        <v>74</v>
      </c>
      <c r="E632" t="s">
        <v>74</v>
      </c>
      <c r="F632" t="s">
        <v>11161</v>
      </c>
      <c r="G632" t="s">
        <v>74</v>
      </c>
      <c r="H632" t="s">
        <v>74</v>
      </c>
      <c r="I632" t="s">
        <v>11162</v>
      </c>
      <c r="J632" t="s">
        <v>11163</v>
      </c>
      <c r="K632" t="s">
        <v>74</v>
      </c>
      <c r="L632" t="s">
        <v>74</v>
      </c>
      <c r="M632" t="s">
        <v>78</v>
      </c>
      <c r="N632" t="s">
        <v>79</v>
      </c>
      <c r="O632" t="s">
        <v>74</v>
      </c>
      <c r="P632" t="s">
        <v>74</v>
      </c>
      <c r="Q632" t="s">
        <v>74</v>
      </c>
      <c r="R632" t="s">
        <v>74</v>
      </c>
      <c r="S632" t="s">
        <v>74</v>
      </c>
      <c r="T632" t="s">
        <v>11164</v>
      </c>
      <c r="U632" t="s">
        <v>11165</v>
      </c>
      <c r="V632" t="s">
        <v>11166</v>
      </c>
      <c r="W632" t="s">
        <v>11167</v>
      </c>
      <c r="X632" t="s">
        <v>1386</v>
      </c>
      <c r="Y632" t="s">
        <v>11168</v>
      </c>
      <c r="Z632" t="s">
        <v>11169</v>
      </c>
      <c r="AA632" t="s">
        <v>74</v>
      </c>
      <c r="AB632" t="s">
        <v>74</v>
      </c>
      <c r="AC632" t="s">
        <v>11170</v>
      </c>
      <c r="AD632" t="s">
        <v>6849</v>
      </c>
      <c r="AE632" t="s">
        <v>11171</v>
      </c>
      <c r="AF632" t="s">
        <v>74</v>
      </c>
      <c r="AG632">
        <v>47</v>
      </c>
      <c r="AH632">
        <v>442</v>
      </c>
      <c r="AI632">
        <v>507</v>
      </c>
      <c r="AJ632">
        <v>15</v>
      </c>
      <c r="AK632">
        <v>221</v>
      </c>
      <c r="AL632" t="s">
        <v>214</v>
      </c>
      <c r="AM632" t="s">
        <v>215</v>
      </c>
      <c r="AN632" t="s">
        <v>216</v>
      </c>
      <c r="AO632" t="s">
        <v>11172</v>
      </c>
      <c r="AP632" t="s">
        <v>11173</v>
      </c>
      <c r="AQ632" t="s">
        <v>74</v>
      </c>
      <c r="AR632" t="s">
        <v>11174</v>
      </c>
      <c r="AS632" t="s">
        <v>11175</v>
      </c>
      <c r="AT632" t="s">
        <v>74</v>
      </c>
      <c r="AU632">
        <v>2011</v>
      </c>
      <c r="AV632">
        <v>190</v>
      </c>
      <c r="AW632">
        <v>3</v>
      </c>
      <c r="AX632" t="s">
        <v>74</v>
      </c>
      <c r="AY632" t="s">
        <v>74</v>
      </c>
      <c r="AZ632" t="s">
        <v>74</v>
      </c>
      <c r="BA632" t="s">
        <v>74</v>
      </c>
      <c r="BB632">
        <v>783</v>
      </c>
      <c r="BC632">
        <v>793</v>
      </c>
      <c r="BD632" t="s">
        <v>74</v>
      </c>
      <c r="BE632" t="s">
        <v>11176</v>
      </c>
      <c r="BF632" t="str">
        <f>HYPERLINK("http://dx.doi.org/10.1111/j.1469-8137.2010.03611.x","http://dx.doi.org/10.1111/j.1469-8137.2010.03611.x")</f>
        <v>http://dx.doi.org/10.1111/j.1469-8137.2010.03611.x</v>
      </c>
      <c r="BG632" t="s">
        <v>74</v>
      </c>
      <c r="BH632" t="s">
        <v>74</v>
      </c>
      <c r="BI632">
        <v>11</v>
      </c>
      <c r="BJ632" t="s">
        <v>3611</v>
      </c>
      <c r="BK632" t="s">
        <v>100</v>
      </c>
      <c r="BL632" t="s">
        <v>3611</v>
      </c>
      <c r="BM632" t="s">
        <v>11177</v>
      </c>
      <c r="BN632">
        <v>21244432</v>
      </c>
      <c r="BO632" t="s">
        <v>252</v>
      </c>
      <c r="BP632" t="s">
        <v>74</v>
      </c>
      <c r="BQ632" t="s">
        <v>74</v>
      </c>
      <c r="BR632" t="s">
        <v>103</v>
      </c>
      <c r="BS632" t="s">
        <v>11178</v>
      </c>
      <c r="BT632" t="str">
        <f>HYPERLINK("https%3A%2F%2Fwww.webofscience.com%2Fwos%2Fwoscc%2Ffull-record%2FWOS:000289641600027","View Full Record in Web of Science")</f>
        <v>View Full Record in Web of Science</v>
      </c>
    </row>
    <row r="633" spans="1:72" x14ac:dyDescent="0.15">
      <c r="A633" t="s">
        <v>72</v>
      </c>
      <c r="B633" t="s">
        <v>11179</v>
      </c>
      <c r="C633" t="s">
        <v>74</v>
      </c>
      <c r="D633" t="s">
        <v>74</v>
      </c>
      <c r="E633" t="s">
        <v>74</v>
      </c>
      <c r="F633" t="s">
        <v>11180</v>
      </c>
      <c r="G633" t="s">
        <v>74</v>
      </c>
      <c r="H633" t="s">
        <v>74</v>
      </c>
      <c r="I633" t="s">
        <v>11181</v>
      </c>
      <c r="J633" t="s">
        <v>11182</v>
      </c>
      <c r="K633" t="s">
        <v>74</v>
      </c>
      <c r="L633" t="s">
        <v>74</v>
      </c>
      <c r="M633" t="s">
        <v>78</v>
      </c>
      <c r="N633" t="s">
        <v>79</v>
      </c>
      <c r="O633" t="s">
        <v>74</v>
      </c>
      <c r="P633" t="s">
        <v>74</v>
      </c>
      <c r="Q633" t="s">
        <v>74</v>
      </c>
      <c r="R633" t="s">
        <v>74</v>
      </c>
      <c r="S633" t="s">
        <v>74</v>
      </c>
      <c r="T633" t="s">
        <v>11183</v>
      </c>
      <c r="U633" t="s">
        <v>11184</v>
      </c>
      <c r="V633" t="s">
        <v>11185</v>
      </c>
      <c r="W633" t="s">
        <v>11186</v>
      </c>
      <c r="X633" t="s">
        <v>7182</v>
      </c>
      <c r="Y633" t="s">
        <v>11187</v>
      </c>
      <c r="Z633" t="s">
        <v>11188</v>
      </c>
      <c r="AA633" t="s">
        <v>11189</v>
      </c>
      <c r="AB633" t="s">
        <v>11190</v>
      </c>
      <c r="AC633" t="s">
        <v>11191</v>
      </c>
      <c r="AD633" t="s">
        <v>11192</v>
      </c>
      <c r="AE633" t="s">
        <v>11193</v>
      </c>
      <c r="AF633" t="s">
        <v>74</v>
      </c>
      <c r="AG633">
        <v>42</v>
      </c>
      <c r="AH633">
        <v>43</v>
      </c>
      <c r="AI633">
        <v>45</v>
      </c>
      <c r="AJ633">
        <v>0</v>
      </c>
      <c r="AK633">
        <v>12</v>
      </c>
      <c r="AL633" t="s">
        <v>474</v>
      </c>
      <c r="AM633" t="s">
        <v>475</v>
      </c>
      <c r="AN633" t="s">
        <v>3861</v>
      </c>
      <c r="AO633" t="s">
        <v>11194</v>
      </c>
      <c r="AP633" t="s">
        <v>74</v>
      </c>
      <c r="AQ633" t="s">
        <v>74</v>
      </c>
      <c r="AR633" t="s">
        <v>11195</v>
      </c>
      <c r="AS633" t="s">
        <v>11196</v>
      </c>
      <c r="AT633" t="s">
        <v>74</v>
      </c>
      <c r="AU633">
        <v>2011</v>
      </c>
      <c r="AV633">
        <v>49</v>
      </c>
      <c r="AW633">
        <v>2</v>
      </c>
      <c r="AX633" t="s">
        <v>74</v>
      </c>
      <c r="AY633" t="s">
        <v>74</v>
      </c>
      <c r="AZ633" t="s">
        <v>74</v>
      </c>
      <c r="BA633" t="s">
        <v>74</v>
      </c>
      <c r="BB633">
        <v>201</v>
      </c>
      <c r="BC633">
        <v>229</v>
      </c>
      <c r="BD633" t="s">
        <v>74</v>
      </c>
      <c r="BE633" t="s">
        <v>11197</v>
      </c>
      <c r="BF633" t="str">
        <f>HYPERLINK("http://dx.doi.org/10.1080/0028825X.2010.526617","http://dx.doi.org/10.1080/0028825X.2010.526617")</f>
        <v>http://dx.doi.org/10.1080/0028825X.2010.526617</v>
      </c>
      <c r="BG633" t="s">
        <v>74</v>
      </c>
      <c r="BH633" t="s">
        <v>74</v>
      </c>
      <c r="BI633">
        <v>29</v>
      </c>
      <c r="BJ633" t="s">
        <v>3611</v>
      </c>
      <c r="BK633" t="s">
        <v>100</v>
      </c>
      <c r="BL633" t="s">
        <v>3611</v>
      </c>
      <c r="BM633" t="s">
        <v>11198</v>
      </c>
      <c r="BN633" t="s">
        <v>74</v>
      </c>
      <c r="BO633" t="s">
        <v>252</v>
      </c>
      <c r="BP633" t="s">
        <v>74</v>
      </c>
      <c r="BQ633" t="s">
        <v>74</v>
      </c>
      <c r="BR633" t="s">
        <v>103</v>
      </c>
      <c r="BS633" t="s">
        <v>11199</v>
      </c>
      <c r="BT633" t="str">
        <f>HYPERLINK("https%3A%2F%2Fwww.webofscience.com%2Fwos%2Fwoscc%2Ffull-record%2FWOS:000299418800002","View Full Record in Web of Science")</f>
        <v>View Full Record in Web of Science</v>
      </c>
    </row>
    <row r="634" spans="1:72" x14ac:dyDescent="0.15">
      <c r="A634" t="s">
        <v>72</v>
      </c>
      <c r="B634" t="s">
        <v>11200</v>
      </c>
      <c r="C634" t="s">
        <v>74</v>
      </c>
      <c r="D634" t="s">
        <v>74</v>
      </c>
      <c r="E634" t="s">
        <v>74</v>
      </c>
      <c r="F634" t="s">
        <v>11201</v>
      </c>
      <c r="G634" t="s">
        <v>74</v>
      </c>
      <c r="H634" t="s">
        <v>74</v>
      </c>
      <c r="I634" t="s">
        <v>11202</v>
      </c>
      <c r="J634" t="s">
        <v>11203</v>
      </c>
      <c r="K634" t="s">
        <v>74</v>
      </c>
      <c r="L634" t="s">
        <v>74</v>
      </c>
      <c r="M634" t="s">
        <v>78</v>
      </c>
      <c r="N634" t="s">
        <v>79</v>
      </c>
      <c r="O634" t="s">
        <v>74</v>
      </c>
      <c r="P634" t="s">
        <v>74</v>
      </c>
      <c r="Q634" t="s">
        <v>74</v>
      </c>
      <c r="R634" t="s">
        <v>74</v>
      </c>
      <c r="S634" t="s">
        <v>74</v>
      </c>
      <c r="T634" t="s">
        <v>74</v>
      </c>
      <c r="U634" t="s">
        <v>11204</v>
      </c>
      <c r="V634" t="s">
        <v>11205</v>
      </c>
      <c r="W634" t="s">
        <v>11206</v>
      </c>
      <c r="X634" t="s">
        <v>11207</v>
      </c>
      <c r="Y634" t="s">
        <v>11208</v>
      </c>
      <c r="Z634" t="s">
        <v>11209</v>
      </c>
      <c r="AA634" t="s">
        <v>11210</v>
      </c>
      <c r="AB634" t="s">
        <v>74</v>
      </c>
      <c r="AC634" t="s">
        <v>74</v>
      </c>
      <c r="AD634" t="s">
        <v>74</v>
      </c>
      <c r="AE634" t="s">
        <v>74</v>
      </c>
      <c r="AF634" t="s">
        <v>74</v>
      </c>
      <c r="AG634">
        <v>11</v>
      </c>
      <c r="AH634">
        <v>1</v>
      </c>
      <c r="AI634">
        <v>1</v>
      </c>
      <c r="AJ634">
        <v>0</v>
      </c>
      <c r="AK634">
        <v>3</v>
      </c>
      <c r="AL634" t="s">
        <v>2955</v>
      </c>
      <c r="AM634" t="s">
        <v>2956</v>
      </c>
      <c r="AN634" t="s">
        <v>2957</v>
      </c>
      <c r="AO634" t="s">
        <v>11211</v>
      </c>
      <c r="AP634" t="s">
        <v>11212</v>
      </c>
      <c r="AQ634" t="s">
        <v>74</v>
      </c>
      <c r="AR634" t="s">
        <v>11213</v>
      </c>
      <c r="AS634" t="s">
        <v>11214</v>
      </c>
      <c r="AT634" t="s">
        <v>74</v>
      </c>
      <c r="AU634">
        <v>2011</v>
      </c>
      <c r="AV634">
        <v>18</v>
      </c>
      <c r="AW634">
        <v>3</v>
      </c>
      <c r="AX634" t="s">
        <v>74</v>
      </c>
      <c r="AY634" t="s">
        <v>74</v>
      </c>
      <c r="AZ634" t="s">
        <v>74</v>
      </c>
      <c r="BA634" t="s">
        <v>74</v>
      </c>
      <c r="BB634">
        <v>361</v>
      </c>
      <c r="BC634">
        <v>365</v>
      </c>
      <c r="BD634" t="s">
        <v>74</v>
      </c>
      <c r="BE634" t="s">
        <v>11215</v>
      </c>
      <c r="BF634" t="str">
        <f>HYPERLINK("http://dx.doi.org/10.5194/npg-18-361-2011","http://dx.doi.org/10.5194/npg-18-361-2011")</f>
        <v>http://dx.doi.org/10.5194/npg-18-361-2011</v>
      </c>
      <c r="BG634" t="s">
        <v>74</v>
      </c>
      <c r="BH634" t="s">
        <v>74</v>
      </c>
      <c r="BI634">
        <v>5</v>
      </c>
      <c r="BJ634" t="s">
        <v>11216</v>
      </c>
      <c r="BK634" t="s">
        <v>100</v>
      </c>
      <c r="BL634" t="s">
        <v>11217</v>
      </c>
      <c r="BM634" t="s">
        <v>11218</v>
      </c>
      <c r="BN634" t="s">
        <v>74</v>
      </c>
      <c r="BO634" t="s">
        <v>2456</v>
      </c>
      <c r="BP634" t="s">
        <v>74</v>
      </c>
      <c r="BQ634" t="s">
        <v>74</v>
      </c>
      <c r="BR634" t="s">
        <v>103</v>
      </c>
      <c r="BS634" t="s">
        <v>11219</v>
      </c>
      <c r="BT634" t="str">
        <f>HYPERLINK("https%3A%2F%2Fwww.webofscience.com%2Fwos%2Fwoscc%2Ffull-record%2FWOS:000291944500007","View Full Record in Web of Science")</f>
        <v>View Full Record in Web of Science</v>
      </c>
    </row>
    <row r="635" spans="1:72" x14ac:dyDescent="0.15">
      <c r="A635" t="s">
        <v>72</v>
      </c>
      <c r="B635" t="s">
        <v>11220</v>
      </c>
      <c r="C635" t="s">
        <v>74</v>
      </c>
      <c r="D635" t="s">
        <v>74</v>
      </c>
      <c r="E635" t="s">
        <v>74</v>
      </c>
      <c r="F635" t="s">
        <v>11221</v>
      </c>
      <c r="G635" t="s">
        <v>74</v>
      </c>
      <c r="H635" t="s">
        <v>74</v>
      </c>
      <c r="I635" t="s">
        <v>11222</v>
      </c>
      <c r="J635" t="s">
        <v>5204</v>
      </c>
      <c r="K635" t="s">
        <v>74</v>
      </c>
      <c r="L635" t="s">
        <v>74</v>
      </c>
      <c r="M635" t="s">
        <v>78</v>
      </c>
      <c r="N635" t="s">
        <v>79</v>
      </c>
      <c r="O635" t="s">
        <v>74</v>
      </c>
      <c r="P635" t="s">
        <v>74</v>
      </c>
      <c r="Q635" t="s">
        <v>74</v>
      </c>
      <c r="R635" t="s">
        <v>74</v>
      </c>
      <c r="S635" t="s">
        <v>74</v>
      </c>
      <c r="T635" t="s">
        <v>11223</v>
      </c>
      <c r="U635" t="s">
        <v>11224</v>
      </c>
      <c r="V635" t="s">
        <v>11225</v>
      </c>
      <c r="W635" t="s">
        <v>11226</v>
      </c>
      <c r="X635" t="s">
        <v>11227</v>
      </c>
      <c r="Y635" t="s">
        <v>11228</v>
      </c>
      <c r="Z635" t="s">
        <v>11229</v>
      </c>
      <c r="AA635" t="s">
        <v>11230</v>
      </c>
      <c r="AB635" t="s">
        <v>11231</v>
      </c>
      <c r="AC635" t="s">
        <v>74</v>
      </c>
      <c r="AD635" t="s">
        <v>74</v>
      </c>
      <c r="AE635" t="s">
        <v>74</v>
      </c>
      <c r="AF635" t="s">
        <v>74</v>
      </c>
      <c r="AG635">
        <v>51</v>
      </c>
      <c r="AH635">
        <v>62</v>
      </c>
      <c r="AI635">
        <v>66</v>
      </c>
      <c r="AJ635">
        <v>2</v>
      </c>
      <c r="AK635">
        <v>47</v>
      </c>
      <c r="AL635" t="s">
        <v>1195</v>
      </c>
      <c r="AM635" t="s">
        <v>1196</v>
      </c>
      <c r="AN635" t="s">
        <v>1197</v>
      </c>
      <c r="AO635" t="s">
        <v>5216</v>
      </c>
      <c r="AP635" t="s">
        <v>74</v>
      </c>
      <c r="AQ635" t="s">
        <v>74</v>
      </c>
      <c r="AR635" t="s">
        <v>5218</v>
      </c>
      <c r="AS635" t="s">
        <v>5219</v>
      </c>
      <c r="AT635" t="s">
        <v>3935</v>
      </c>
      <c r="AU635">
        <v>2011</v>
      </c>
      <c r="AV635">
        <v>61</v>
      </c>
      <c r="AW635">
        <v>1</v>
      </c>
      <c r="AX635" t="s">
        <v>74</v>
      </c>
      <c r="AY635" t="s">
        <v>74</v>
      </c>
      <c r="AZ635" t="s">
        <v>74</v>
      </c>
      <c r="BA635" t="s">
        <v>74</v>
      </c>
      <c r="BB635">
        <v>103</v>
      </c>
      <c r="BC635">
        <v>126</v>
      </c>
      <c r="BD635" t="s">
        <v>74</v>
      </c>
      <c r="BE635" t="s">
        <v>11232</v>
      </c>
      <c r="BF635" t="str">
        <f>HYPERLINK("http://dx.doi.org/10.1007/s10236-010-0352-9","http://dx.doi.org/10.1007/s10236-010-0352-9")</f>
        <v>http://dx.doi.org/10.1007/s10236-010-0352-9</v>
      </c>
      <c r="BG635" t="s">
        <v>74</v>
      </c>
      <c r="BH635" t="s">
        <v>74</v>
      </c>
      <c r="BI635">
        <v>24</v>
      </c>
      <c r="BJ635" t="s">
        <v>250</v>
      </c>
      <c r="BK635" t="s">
        <v>100</v>
      </c>
      <c r="BL635" t="s">
        <v>250</v>
      </c>
      <c r="BM635" t="s">
        <v>5221</v>
      </c>
      <c r="BN635" t="s">
        <v>74</v>
      </c>
      <c r="BO635" t="s">
        <v>74</v>
      </c>
      <c r="BP635" t="s">
        <v>74</v>
      </c>
      <c r="BQ635" t="s">
        <v>74</v>
      </c>
      <c r="BR635" t="s">
        <v>103</v>
      </c>
      <c r="BS635" t="s">
        <v>11233</v>
      </c>
      <c r="BT635" t="str">
        <f>HYPERLINK("https%3A%2F%2Fwww.webofscience.com%2Fwos%2Fwoscc%2Ffull-record%2FWOS:000286353200007","View Full Record in Web of Science")</f>
        <v>View Full Record in Web of Science</v>
      </c>
    </row>
    <row r="636" spans="1:72" x14ac:dyDescent="0.15">
      <c r="A636" t="s">
        <v>72</v>
      </c>
      <c r="B636" t="s">
        <v>11234</v>
      </c>
      <c r="C636" t="s">
        <v>74</v>
      </c>
      <c r="D636" t="s">
        <v>74</v>
      </c>
      <c r="E636" t="s">
        <v>74</v>
      </c>
      <c r="F636" t="s">
        <v>11235</v>
      </c>
      <c r="G636" t="s">
        <v>74</v>
      </c>
      <c r="H636" t="s">
        <v>74</v>
      </c>
      <c r="I636" t="s">
        <v>11236</v>
      </c>
      <c r="J636" t="s">
        <v>3830</v>
      </c>
      <c r="K636" t="s">
        <v>74</v>
      </c>
      <c r="L636" t="s">
        <v>74</v>
      </c>
      <c r="M636" t="s">
        <v>78</v>
      </c>
      <c r="N636" t="s">
        <v>79</v>
      </c>
      <c r="O636" t="s">
        <v>74</v>
      </c>
      <c r="P636" t="s">
        <v>74</v>
      </c>
      <c r="Q636" t="s">
        <v>74</v>
      </c>
      <c r="R636" t="s">
        <v>74</v>
      </c>
      <c r="S636" t="s">
        <v>74</v>
      </c>
      <c r="T636" t="s">
        <v>11237</v>
      </c>
      <c r="U636" t="s">
        <v>11238</v>
      </c>
      <c r="V636" t="s">
        <v>11239</v>
      </c>
      <c r="W636" t="s">
        <v>11240</v>
      </c>
      <c r="X636" t="s">
        <v>11241</v>
      </c>
      <c r="Y636" t="s">
        <v>11242</v>
      </c>
      <c r="Z636" t="s">
        <v>11243</v>
      </c>
      <c r="AA636" t="s">
        <v>11244</v>
      </c>
      <c r="AB636" t="s">
        <v>11245</v>
      </c>
      <c r="AC636" t="s">
        <v>11246</v>
      </c>
      <c r="AD636" t="s">
        <v>11247</v>
      </c>
      <c r="AE636" t="s">
        <v>11248</v>
      </c>
      <c r="AF636" t="s">
        <v>74</v>
      </c>
      <c r="AG636">
        <v>28</v>
      </c>
      <c r="AH636">
        <v>8</v>
      </c>
      <c r="AI636">
        <v>8</v>
      </c>
      <c r="AJ636">
        <v>0</v>
      </c>
      <c r="AK636">
        <v>8</v>
      </c>
      <c r="AL636" t="s">
        <v>1457</v>
      </c>
      <c r="AM636" t="s">
        <v>719</v>
      </c>
      <c r="AN636" t="s">
        <v>1458</v>
      </c>
      <c r="AO636" t="s">
        <v>3843</v>
      </c>
      <c r="AP636" t="s">
        <v>74</v>
      </c>
      <c r="AQ636" t="s">
        <v>74</v>
      </c>
      <c r="AR636" t="s">
        <v>3845</v>
      </c>
      <c r="AS636" t="s">
        <v>3846</v>
      </c>
      <c r="AT636" t="s">
        <v>74</v>
      </c>
      <c r="AU636">
        <v>2011</v>
      </c>
      <c r="AV636">
        <v>40</v>
      </c>
      <c r="AW636">
        <v>1</v>
      </c>
      <c r="AX636" t="s">
        <v>74</v>
      </c>
      <c r="AY636" t="s">
        <v>74</v>
      </c>
      <c r="AZ636" t="s">
        <v>74</v>
      </c>
      <c r="BA636" t="s">
        <v>74</v>
      </c>
      <c r="BB636">
        <v>87</v>
      </c>
      <c r="BC636">
        <v>104</v>
      </c>
      <c r="BD636" t="s">
        <v>74</v>
      </c>
      <c r="BE636" t="s">
        <v>11249</v>
      </c>
      <c r="BF636" t="str">
        <f>HYPERLINK("http://dx.doi.org/10.1016/j.ocemod.2011.07.003","http://dx.doi.org/10.1016/j.ocemod.2011.07.003")</f>
        <v>http://dx.doi.org/10.1016/j.ocemod.2011.07.003</v>
      </c>
      <c r="BG636" t="s">
        <v>74</v>
      </c>
      <c r="BH636" t="s">
        <v>74</v>
      </c>
      <c r="BI636">
        <v>18</v>
      </c>
      <c r="BJ636" t="s">
        <v>3724</v>
      </c>
      <c r="BK636" t="s">
        <v>100</v>
      </c>
      <c r="BL636" t="s">
        <v>3724</v>
      </c>
      <c r="BM636" t="s">
        <v>11250</v>
      </c>
      <c r="BN636" t="s">
        <v>74</v>
      </c>
      <c r="BO636" t="s">
        <v>74</v>
      </c>
      <c r="BP636" t="s">
        <v>74</v>
      </c>
      <c r="BQ636" t="s">
        <v>74</v>
      </c>
      <c r="BR636" t="s">
        <v>103</v>
      </c>
      <c r="BS636" t="s">
        <v>11251</v>
      </c>
      <c r="BT636" t="str">
        <f>HYPERLINK("https%3A%2F%2Fwww.webofscience.com%2Fwos%2Fwoscc%2Ffull-record%2FWOS:000296128900007","View Full Record in Web of Science")</f>
        <v>View Full Record in Web of Science</v>
      </c>
    </row>
    <row r="637" spans="1:72" x14ac:dyDescent="0.15">
      <c r="A637" t="s">
        <v>72</v>
      </c>
      <c r="B637" t="s">
        <v>11252</v>
      </c>
      <c r="C637" t="s">
        <v>74</v>
      </c>
      <c r="D637" t="s">
        <v>74</v>
      </c>
      <c r="E637" t="s">
        <v>74</v>
      </c>
      <c r="F637" t="s">
        <v>11253</v>
      </c>
      <c r="G637" t="s">
        <v>74</v>
      </c>
      <c r="H637" t="s">
        <v>74</v>
      </c>
      <c r="I637" t="s">
        <v>11254</v>
      </c>
      <c r="J637" t="s">
        <v>3830</v>
      </c>
      <c r="K637" t="s">
        <v>74</v>
      </c>
      <c r="L637" t="s">
        <v>74</v>
      </c>
      <c r="M637" t="s">
        <v>78</v>
      </c>
      <c r="N637" t="s">
        <v>79</v>
      </c>
      <c r="O637" t="s">
        <v>74</v>
      </c>
      <c r="P637" t="s">
        <v>74</v>
      </c>
      <c r="Q637" t="s">
        <v>74</v>
      </c>
      <c r="R637" t="s">
        <v>74</v>
      </c>
      <c r="S637" t="s">
        <v>74</v>
      </c>
      <c r="T637" t="s">
        <v>11255</v>
      </c>
      <c r="U637" t="s">
        <v>11256</v>
      </c>
      <c r="V637" t="s">
        <v>11257</v>
      </c>
      <c r="W637" t="s">
        <v>11258</v>
      </c>
      <c r="X637" t="s">
        <v>8836</v>
      </c>
      <c r="Y637" t="s">
        <v>11259</v>
      </c>
      <c r="Z637" t="s">
        <v>11260</v>
      </c>
      <c r="AA637" t="s">
        <v>11261</v>
      </c>
      <c r="AB637" t="s">
        <v>11262</v>
      </c>
      <c r="AC637" t="s">
        <v>11263</v>
      </c>
      <c r="AD637" t="s">
        <v>11264</v>
      </c>
      <c r="AE637" t="s">
        <v>11265</v>
      </c>
      <c r="AF637" t="s">
        <v>74</v>
      </c>
      <c r="AG637">
        <v>35</v>
      </c>
      <c r="AH637">
        <v>31</v>
      </c>
      <c r="AI637">
        <v>35</v>
      </c>
      <c r="AJ637">
        <v>0</v>
      </c>
      <c r="AK637">
        <v>4</v>
      </c>
      <c r="AL637" t="s">
        <v>1457</v>
      </c>
      <c r="AM637" t="s">
        <v>719</v>
      </c>
      <c r="AN637" t="s">
        <v>1458</v>
      </c>
      <c r="AO637" t="s">
        <v>3843</v>
      </c>
      <c r="AP637" t="s">
        <v>3844</v>
      </c>
      <c r="AQ637" t="s">
        <v>74</v>
      </c>
      <c r="AR637" t="s">
        <v>3845</v>
      </c>
      <c r="AS637" t="s">
        <v>3846</v>
      </c>
      <c r="AT637" t="s">
        <v>74</v>
      </c>
      <c r="AU637">
        <v>2011</v>
      </c>
      <c r="AV637">
        <v>40</v>
      </c>
      <c r="AW637">
        <v>2</v>
      </c>
      <c r="AX637" t="s">
        <v>74</v>
      </c>
      <c r="AY637" t="s">
        <v>74</v>
      </c>
      <c r="AZ637" t="s">
        <v>74</v>
      </c>
      <c r="BA637" t="s">
        <v>74</v>
      </c>
      <c r="BB637">
        <v>133</v>
      </c>
      <c r="BC637">
        <v>146</v>
      </c>
      <c r="BD637" t="s">
        <v>74</v>
      </c>
      <c r="BE637" t="s">
        <v>11266</v>
      </c>
      <c r="BF637" t="str">
        <f>HYPERLINK("http://dx.doi.org/10.1016/j.ocemod.2011.08.004","http://dx.doi.org/10.1016/j.ocemod.2011.08.004")</f>
        <v>http://dx.doi.org/10.1016/j.ocemod.2011.08.004</v>
      </c>
      <c r="BG637" t="s">
        <v>74</v>
      </c>
      <c r="BH637" t="s">
        <v>74</v>
      </c>
      <c r="BI637">
        <v>14</v>
      </c>
      <c r="BJ637" t="s">
        <v>3724</v>
      </c>
      <c r="BK637" t="s">
        <v>100</v>
      </c>
      <c r="BL637" t="s">
        <v>3724</v>
      </c>
      <c r="BM637" t="s">
        <v>11267</v>
      </c>
      <c r="BN637" t="s">
        <v>74</v>
      </c>
      <c r="BO637" t="s">
        <v>74</v>
      </c>
      <c r="BP637" t="s">
        <v>74</v>
      </c>
      <c r="BQ637" t="s">
        <v>74</v>
      </c>
      <c r="BR637" t="s">
        <v>103</v>
      </c>
      <c r="BS637" t="s">
        <v>11268</v>
      </c>
      <c r="BT637" t="str">
        <f>HYPERLINK("https%3A%2F%2Fwww.webofscience.com%2Fwos%2Fwoscc%2Ffull-record%2FWOS:000296955000003","View Full Record in Web of Science")</f>
        <v>View Full Record in Web of Science</v>
      </c>
    </row>
    <row r="638" spans="1:72" x14ac:dyDescent="0.15">
      <c r="A638" t="s">
        <v>72</v>
      </c>
      <c r="B638" t="s">
        <v>11269</v>
      </c>
      <c r="C638" t="s">
        <v>74</v>
      </c>
      <c r="D638" t="s">
        <v>74</v>
      </c>
      <c r="E638" t="s">
        <v>74</v>
      </c>
      <c r="F638" t="s">
        <v>11270</v>
      </c>
      <c r="G638" t="s">
        <v>74</v>
      </c>
      <c r="H638" t="s">
        <v>74</v>
      </c>
      <c r="I638" t="s">
        <v>11271</v>
      </c>
      <c r="J638" t="s">
        <v>3830</v>
      </c>
      <c r="K638" t="s">
        <v>74</v>
      </c>
      <c r="L638" t="s">
        <v>74</v>
      </c>
      <c r="M638" t="s">
        <v>78</v>
      </c>
      <c r="N638" t="s">
        <v>79</v>
      </c>
      <c r="O638" t="s">
        <v>74</v>
      </c>
      <c r="P638" t="s">
        <v>74</v>
      </c>
      <c r="Q638" t="s">
        <v>74</v>
      </c>
      <c r="R638" t="s">
        <v>74</v>
      </c>
      <c r="S638" t="s">
        <v>74</v>
      </c>
      <c r="T638" t="s">
        <v>11272</v>
      </c>
      <c r="U638" t="s">
        <v>11273</v>
      </c>
      <c r="V638" t="s">
        <v>11274</v>
      </c>
      <c r="W638" t="s">
        <v>11275</v>
      </c>
      <c r="X638" t="s">
        <v>11276</v>
      </c>
      <c r="Y638" t="s">
        <v>11277</v>
      </c>
      <c r="Z638" t="s">
        <v>11278</v>
      </c>
      <c r="AA638" t="s">
        <v>11279</v>
      </c>
      <c r="AB638" t="s">
        <v>11280</v>
      </c>
      <c r="AC638" t="s">
        <v>11281</v>
      </c>
      <c r="AD638" t="s">
        <v>11282</v>
      </c>
      <c r="AE638" t="s">
        <v>11283</v>
      </c>
      <c r="AF638" t="s">
        <v>74</v>
      </c>
      <c r="AG638">
        <v>62</v>
      </c>
      <c r="AH638">
        <v>18</v>
      </c>
      <c r="AI638">
        <v>21</v>
      </c>
      <c r="AJ638">
        <v>1</v>
      </c>
      <c r="AK638">
        <v>17</v>
      </c>
      <c r="AL638" t="s">
        <v>1457</v>
      </c>
      <c r="AM638" t="s">
        <v>719</v>
      </c>
      <c r="AN638" t="s">
        <v>1458</v>
      </c>
      <c r="AO638" t="s">
        <v>3843</v>
      </c>
      <c r="AP638" t="s">
        <v>3844</v>
      </c>
      <c r="AQ638" t="s">
        <v>74</v>
      </c>
      <c r="AR638" t="s">
        <v>3845</v>
      </c>
      <c r="AS638" t="s">
        <v>3846</v>
      </c>
      <c r="AT638" t="s">
        <v>74</v>
      </c>
      <c r="AU638">
        <v>2011</v>
      </c>
      <c r="AV638">
        <v>39</v>
      </c>
      <c r="AW638" t="s">
        <v>2089</v>
      </c>
      <c r="AX638" t="s">
        <v>74</v>
      </c>
      <c r="AY638" t="s">
        <v>74</v>
      </c>
      <c r="AZ638" t="s">
        <v>967</v>
      </c>
      <c r="BA638" t="s">
        <v>74</v>
      </c>
      <c r="BB638">
        <v>79</v>
      </c>
      <c r="BC638">
        <v>96</v>
      </c>
      <c r="BD638" t="s">
        <v>74</v>
      </c>
      <c r="BE638" t="s">
        <v>11284</v>
      </c>
      <c r="BF638" t="str">
        <f>HYPERLINK("http://dx.doi.org/10.1016/j.ocemod.2011.04.010","http://dx.doi.org/10.1016/j.ocemod.2011.04.010")</f>
        <v>http://dx.doi.org/10.1016/j.ocemod.2011.04.010</v>
      </c>
      <c r="BG638" t="s">
        <v>74</v>
      </c>
      <c r="BH638" t="s">
        <v>74</v>
      </c>
      <c r="BI638">
        <v>18</v>
      </c>
      <c r="BJ638" t="s">
        <v>3724</v>
      </c>
      <c r="BK638" t="s">
        <v>100</v>
      </c>
      <c r="BL638" t="s">
        <v>3724</v>
      </c>
      <c r="BM638" t="s">
        <v>3848</v>
      </c>
      <c r="BN638" t="s">
        <v>74</v>
      </c>
      <c r="BO638" t="s">
        <v>74</v>
      </c>
      <c r="BP638" t="s">
        <v>74</v>
      </c>
      <c r="BQ638" t="s">
        <v>74</v>
      </c>
      <c r="BR638" t="s">
        <v>103</v>
      </c>
      <c r="BS638" t="s">
        <v>11285</v>
      </c>
      <c r="BT638" t="str">
        <f>HYPERLINK("https%3A%2F%2Fwww.webofscience.com%2Fwos%2Fwoscc%2Ffull-record%2FWOS:000293323100007","View Full Record in Web of Science")</f>
        <v>View Full Record in Web of Science</v>
      </c>
    </row>
    <row r="639" spans="1:72" x14ac:dyDescent="0.15">
      <c r="A639" t="s">
        <v>72</v>
      </c>
      <c r="B639" t="s">
        <v>11286</v>
      </c>
      <c r="C639" t="s">
        <v>74</v>
      </c>
      <c r="D639" t="s">
        <v>74</v>
      </c>
      <c r="E639" t="s">
        <v>74</v>
      </c>
      <c r="F639" t="s">
        <v>11287</v>
      </c>
      <c r="G639" t="s">
        <v>74</v>
      </c>
      <c r="H639" t="s">
        <v>74</v>
      </c>
      <c r="I639" t="s">
        <v>11288</v>
      </c>
      <c r="J639" t="s">
        <v>3830</v>
      </c>
      <c r="K639" t="s">
        <v>74</v>
      </c>
      <c r="L639" t="s">
        <v>74</v>
      </c>
      <c r="M639" t="s">
        <v>78</v>
      </c>
      <c r="N639" t="s">
        <v>79</v>
      </c>
      <c r="O639" t="s">
        <v>74</v>
      </c>
      <c r="P639" t="s">
        <v>74</v>
      </c>
      <c r="Q639" t="s">
        <v>74</v>
      </c>
      <c r="R639" t="s">
        <v>74</v>
      </c>
      <c r="S639" t="s">
        <v>74</v>
      </c>
      <c r="T639" t="s">
        <v>11289</v>
      </c>
      <c r="U639" t="s">
        <v>11290</v>
      </c>
      <c r="V639" t="s">
        <v>11291</v>
      </c>
      <c r="W639" t="s">
        <v>11292</v>
      </c>
      <c r="X639" t="s">
        <v>11293</v>
      </c>
      <c r="Y639" t="s">
        <v>11294</v>
      </c>
      <c r="Z639" t="s">
        <v>11295</v>
      </c>
      <c r="AA639" t="s">
        <v>11296</v>
      </c>
      <c r="AB639" t="s">
        <v>11297</v>
      </c>
      <c r="AC639" t="s">
        <v>11298</v>
      </c>
      <c r="AD639" t="s">
        <v>11299</v>
      </c>
      <c r="AE639" t="s">
        <v>11300</v>
      </c>
      <c r="AF639" t="s">
        <v>74</v>
      </c>
      <c r="AG639">
        <v>41</v>
      </c>
      <c r="AH639">
        <v>56</v>
      </c>
      <c r="AI639">
        <v>58</v>
      </c>
      <c r="AJ639">
        <v>1</v>
      </c>
      <c r="AK639">
        <v>11</v>
      </c>
      <c r="AL639" t="s">
        <v>1457</v>
      </c>
      <c r="AM639" t="s">
        <v>719</v>
      </c>
      <c r="AN639" t="s">
        <v>1458</v>
      </c>
      <c r="AO639" t="s">
        <v>3843</v>
      </c>
      <c r="AP639" t="s">
        <v>74</v>
      </c>
      <c r="AQ639" t="s">
        <v>74</v>
      </c>
      <c r="AR639" t="s">
        <v>3845</v>
      </c>
      <c r="AS639" t="s">
        <v>3846</v>
      </c>
      <c r="AT639" t="s">
        <v>74</v>
      </c>
      <c r="AU639">
        <v>2011</v>
      </c>
      <c r="AV639">
        <v>39</v>
      </c>
      <c r="AW639" t="s">
        <v>2089</v>
      </c>
      <c r="AX639" t="s">
        <v>74</v>
      </c>
      <c r="AY639" t="s">
        <v>74</v>
      </c>
      <c r="AZ639" t="s">
        <v>967</v>
      </c>
      <c r="BA639" t="s">
        <v>74</v>
      </c>
      <c r="BB639">
        <v>135</v>
      </c>
      <c r="BC639">
        <v>145</v>
      </c>
      <c r="BD639" t="s">
        <v>74</v>
      </c>
      <c r="BE639" t="s">
        <v>11301</v>
      </c>
      <c r="BF639" t="str">
        <f>HYPERLINK("http://dx.doi.org/10.1016/j.ocemod.2011.02.005","http://dx.doi.org/10.1016/j.ocemod.2011.02.005")</f>
        <v>http://dx.doi.org/10.1016/j.ocemod.2011.02.005</v>
      </c>
      <c r="BG639" t="s">
        <v>74</v>
      </c>
      <c r="BH639" t="s">
        <v>74</v>
      </c>
      <c r="BI639">
        <v>11</v>
      </c>
      <c r="BJ639" t="s">
        <v>3724</v>
      </c>
      <c r="BK639" t="s">
        <v>100</v>
      </c>
      <c r="BL639" t="s">
        <v>3724</v>
      </c>
      <c r="BM639" t="s">
        <v>3848</v>
      </c>
      <c r="BN639" t="s">
        <v>74</v>
      </c>
      <c r="BO639" t="s">
        <v>74</v>
      </c>
      <c r="BP639" t="s">
        <v>74</v>
      </c>
      <c r="BQ639" t="s">
        <v>74</v>
      </c>
      <c r="BR639" t="s">
        <v>103</v>
      </c>
      <c r="BS639" t="s">
        <v>11302</v>
      </c>
      <c r="BT639" t="str">
        <f>HYPERLINK("https%3A%2F%2Fwww.webofscience.com%2Fwos%2Fwoscc%2Ffull-record%2FWOS:000293323100011","View Full Record in Web of Science")</f>
        <v>View Full Record in Web of Science</v>
      </c>
    </row>
    <row r="640" spans="1:72" x14ac:dyDescent="0.15">
      <c r="A640" t="s">
        <v>72</v>
      </c>
      <c r="B640" t="s">
        <v>11303</v>
      </c>
      <c r="C640" t="s">
        <v>74</v>
      </c>
      <c r="D640" t="s">
        <v>74</v>
      </c>
      <c r="E640" t="s">
        <v>74</v>
      </c>
      <c r="F640" t="s">
        <v>11304</v>
      </c>
      <c r="G640" t="s">
        <v>74</v>
      </c>
      <c r="H640" t="s">
        <v>74</v>
      </c>
      <c r="I640" t="s">
        <v>11305</v>
      </c>
      <c r="J640" t="s">
        <v>3830</v>
      </c>
      <c r="K640" t="s">
        <v>74</v>
      </c>
      <c r="L640" t="s">
        <v>74</v>
      </c>
      <c r="M640" t="s">
        <v>78</v>
      </c>
      <c r="N640" t="s">
        <v>79</v>
      </c>
      <c r="O640" t="s">
        <v>74</v>
      </c>
      <c r="P640" t="s">
        <v>74</v>
      </c>
      <c r="Q640" t="s">
        <v>74</v>
      </c>
      <c r="R640" t="s">
        <v>74</v>
      </c>
      <c r="S640" t="s">
        <v>74</v>
      </c>
      <c r="T640" t="s">
        <v>11306</v>
      </c>
      <c r="U640" t="s">
        <v>11307</v>
      </c>
      <c r="V640" t="s">
        <v>11308</v>
      </c>
      <c r="W640" t="s">
        <v>11309</v>
      </c>
      <c r="X640" t="s">
        <v>11310</v>
      </c>
      <c r="Y640" t="s">
        <v>11311</v>
      </c>
      <c r="Z640" t="s">
        <v>11312</v>
      </c>
      <c r="AA640" t="s">
        <v>11313</v>
      </c>
      <c r="AB640" t="s">
        <v>11314</v>
      </c>
      <c r="AC640" t="s">
        <v>11315</v>
      </c>
      <c r="AD640" t="s">
        <v>11316</v>
      </c>
      <c r="AE640" t="s">
        <v>11317</v>
      </c>
      <c r="AF640" t="s">
        <v>74</v>
      </c>
      <c r="AG640">
        <v>35</v>
      </c>
      <c r="AH640">
        <v>18</v>
      </c>
      <c r="AI640">
        <v>19</v>
      </c>
      <c r="AJ640">
        <v>0</v>
      </c>
      <c r="AK640">
        <v>11</v>
      </c>
      <c r="AL640" t="s">
        <v>1457</v>
      </c>
      <c r="AM640" t="s">
        <v>719</v>
      </c>
      <c r="AN640" t="s">
        <v>1458</v>
      </c>
      <c r="AO640" t="s">
        <v>3843</v>
      </c>
      <c r="AP640" t="s">
        <v>74</v>
      </c>
      <c r="AQ640" t="s">
        <v>74</v>
      </c>
      <c r="AR640" t="s">
        <v>3845</v>
      </c>
      <c r="AS640" t="s">
        <v>3846</v>
      </c>
      <c r="AT640" t="s">
        <v>74</v>
      </c>
      <c r="AU640">
        <v>2011</v>
      </c>
      <c r="AV640">
        <v>39</v>
      </c>
      <c r="AW640" t="s">
        <v>2089</v>
      </c>
      <c r="AX640" t="s">
        <v>74</v>
      </c>
      <c r="AY640" t="s">
        <v>74</v>
      </c>
      <c r="AZ640" t="s">
        <v>967</v>
      </c>
      <c r="BA640" t="s">
        <v>74</v>
      </c>
      <c r="BB640">
        <v>146</v>
      </c>
      <c r="BC640">
        <v>153</v>
      </c>
      <c r="BD640" t="s">
        <v>74</v>
      </c>
      <c r="BE640" t="s">
        <v>11318</v>
      </c>
      <c r="BF640" t="str">
        <f>HYPERLINK("http://dx.doi.org/10.1016/j.ocemod.2011.04.001","http://dx.doi.org/10.1016/j.ocemod.2011.04.001")</f>
        <v>http://dx.doi.org/10.1016/j.ocemod.2011.04.001</v>
      </c>
      <c r="BG640" t="s">
        <v>74</v>
      </c>
      <c r="BH640" t="s">
        <v>74</v>
      </c>
      <c r="BI640">
        <v>8</v>
      </c>
      <c r="BJ640" t="s">
        <v>3724</v>
      </c>
      <c r="BK640" t="s">
        <v>100</v>
      </c>
      <c r="BL640" t="s">
        <v>3724</v>
      </c>
      <c r="BM640" t="s">
        <v>3848</v>
      </c>
      <c r="BN640" t="s">
        <v>74</v>
      </c>
      <c r="BO640" t="s">
        <v>74</v>
      </c>
      <c r="BP640" t="s">
        <v>74</v>
      </c>
      <c r="BQ640" t="s">
        <v>74</v>
      </c>
      <c r="BR640" t="s">
        <v>103</v>
      </c>
      <c r="BS640" t="s">
        <v>11319</v>
      </c>
      <c r="BT640" t="str">
        <f>HYPERLINK("https%3A%2F%2Fwww.webofscience.com%2Fwos%2Fwoscc%2Ffull-record%2FWOS:000293323100012","View Full Record in Web of Science")</f>
        <v>View Full Record in Web of Science</v>
      </c>
    </row>
    <row r="641" spans="1:72" x14ac:dyDescent="0.15">
      <c r="A641" t="s">
        <v>72</v>
      </c>
      <c r="B641" t="s">
        <v>11320</v>
      </c>
      <c r="C641" t="s">
        <v>74</v>
      </c>
      <c r="D641" t="s">
        <v>74</v>
      </c>
      <c r="E641" t="s">
        <v>74</v>
      </c>
      <c r="F641" t="s">
        <v>11321</v>
      </c>
      <c r="G641" t="s">
        <v>74</v>
      </c>
      <c r="H641" t="s">
        <v>74</v>
      </c>
      <c r="I641" t="s">
        <v>11322</v>
      </c>
      <c r="J641" t="s">
        <v>3830</v>
      </c>
      <c r="K641" t="s">
        <v>74</v>
      </c>
      <c r="L641" t="s">
        <v>74</v>
      </c>
      <c r="M641" t="s">
        <v>78</v>
      </c>
      <c r="N641" t="s">
        <v>79</v>
      </c>
      <c r="O641" t="s">
        <v>74</v>
      </c>
      <c r="P641" t="s">
        <v>74</v>
      </c>
      <c r="Q641" t="s">
        <v>74</v>
      </c>
      <c r="R641" t="s">
        <v>74</v>
      </c>
      <c r="S641" t="s">
        <v>74</v>
      </c>
      <c r="T641" t="s">
        <v>11323</v>
      </c>
      <c r="U641" t="s">
        <v>11324</v>
      </c>
      <c r="V641" t="s">
        <v>11325</v>
      </c>
      <c r="W641" t="s">
        <v>11326</v>
      </c>
      <c r="X641" t="s">
        <v>11327</v>
      </c>
      <c r="Y641" t="s">
        <v>11328</v>
      </c>
      <c r="Z641" t="s">
        <v>11329</v>
      </c>
      <c r="AA641" t="s">
        <v>11330</v>
      </c>
      <c r="AB641" t="s">
        <v>11331</v>
      </c>
      <c r="AC641" t="s">
        <v>74</v>
      </c>
      <c r="AD641" t="s">
        <v>74</v>
      </c>
      <c r="AE641" t="s">
        <v>74</v>
      </c>
      <c r="AF641" t="s">
        <v>74</v>
      </c>
      <c r="AG641">
        <v>58</v>
      </c>
      <c r="AH641">
        <v>89</v>
      </c>
      <c r="AI641">
        <v>96</v>
      </c>
      <c r="AJ641">
        <v>4</v>
      </c>
      <c r="AK641">
        <v>41</v>
      </c>
      <c r="AL641" t="s">
        <v>1457</v>
      </c>
      <c r="AM641" t="s">
        <v>719</v>
      </c>
      <c r="AN641" t="s">
        <v>1458</v>
      </c>
      <c r="AO641" t="s">
        <v>3843</v>
      </c>
      <c r="AP641" t="s">
        <v>3844</v>
      </c>
      <c r="AQ641" t="s">
        <v>74</v>
      </c>
      <c r="AR641" t="s">
        <v>3845</v>
      </c>
      <c r="AS641" t="s">
        <v>3846</v>
      </c>
      <c r="AT641" t="s">
        <v>74</v>
      </c>
      <c r="AU641">
        <v>2011</v>
      </c>
      <c r="AV641">
        <v>38</v>
      </c>
      <c r="AW641" t="s">
        <v>601</v>
      </c>
      <c r="AX641" t="s">
        <v>74</v>
      </c>
      <c r="AY641" t="s">
        <v>74</v>
      </c>
      <c r="AZ641" t="s">
        <v>74</v>
      </c>
      <c r="BA641" t="s">
        <v>74</v>
      </c>
      <c r="BB641">
        <v>171</v>
      </c>
      <c r="BC641">
        <v>186</v>
      </c>
      <c r="BD641" t="s">
        <v>74</v>
      </c>
      <c r="BE641" t="s">
        <v>11332</v>
      </c>
      <c r="BF641" t="str">
        <f>HYPERLINK("http://dx.doi.org/10.1016/j.ocemod.2011.02.013","http://dx.doi.org/10.1016/j.ocemod.2011.02.013")</f>
        <v>http://dx.doi.org/10.1016/j.ocemod.2011.02.013</v>
      </c>
      <c r="BG641" t="s">
        <v>74</v>
      </c>
      <c r="BH641" t="s">
        <v>74</v>
      </c>
      <c r="BI641">
        <v>16</v>
      </c>
      <c r="BJ641" t="s">
        <v>3724</v>
      </c>
      <c r="BK641" t="s">
        <v>100</v>
      </c>
      <c r="BL641" t="s">
        <v>3724</v>
      </c>
      <c r="BM641" t="s">
        <v>11333</v>
      </c>
      <c r="BN641" t="s">
        <v>74</v>
      </c>
      <c r="BO641" t="s">
        <v>138</v>
      </c>
      <c r="BP641" t="s">
        <v>74</v>
      </c>
      <c r="BQ641" t="s">
        <v>74</v>
      </c>
      <c r="BR641" t="s">
        <v>103</v>
      </c>
      <c r="BS641" t="s">
        <v>11334</v>
      </c>
      <c r="BT641" t="str">
        <f>HYPERLINK("https%3A%2F%2Fwww.webofscience.com%2Fwos%2Fwoscc%2Ffull-record%2FWOS:000292126900001","View Full Record in Web of Science")</f>
        <v>View Full Record in Web of Science</v>
      </c>
    </row>
    <row r="642" spans="1:72" x14ac:dyDescent="0.15">
      <c r="A642" t="s">
        <v>72</v>
      </c>
      <c r="B642" t="s">
        <v>11234</v>
      </c>
      <c r="C642" t="s">
        <v>74</v>
      </c>
      <c r="D642" t="s">
        <v>74</v>
      </c>
      <c r="E642" t="s">
        <v>74</v>
      </c>
      <c r="F642" t="s">
        <v>11235</v>
      </c>
      <c r="G642" t="s">
        <v>74</v>
      </c>
      <c r="H642" t="s">
        <v>74</v>
      </c>
      <c r="I642" t="s">
        <v>11335</v>
      </c>
      <c r="J642" t="s">
        <v>3830</v>
      </c>
      <c r="K642" t="s">
        <v>74</v>
      </c>
      <c r="L642" t="s">
        <v>74</v>
      </c>
      <c r="M642" t="s">
        <v>78</v>
      </c>
      <c r="N642" t="s">
        <v>79</v>
      </c>
      <c r="O642" t="s">
        <v>74</v>
      </c>
      <c r="P642" t="s">
        <v>74</v>
      </c>
      <c r="Q642" t="s">
        <v>74</v>
      </c>
      <c r="R642" t="s">
        <v>74</v>
      </c>
      <c r="S642" t="s">
        <v>74</v>
      </c>
      <c r="T642" t="s">
        <v>11336</v>
      </c>
      <c r="U642" t="s">
        <v>11337</v>
      </c>
      <c r="V642" t="s">
        <v>11338</v>
      </c>
      <c r="W642" t="s">
        <v>11339</v>
      </c>
      <c r="X642" t="s">
        <v>11241</v>
      </c>
      <c r="Y642" t="s">
        <v>11340</v>
      </c>
      <c r="Z642" t="s">
        <v>11243</v>
      </c>
      <c r="AA642" t="s">
        <v>11244</v>
      </c>
      <c r="AB642" t="s">
        <v>11245</v>
      </c>
      <c r="AC642" t="s">
        <v>11341</v>
      </c>
      <c r="AD642" t="s">
        <v>11342</v>
      </c>
      <c r="AE642" t="s">
        <v>11343</v>
      </c>
      <c r="AF642" t="s">
        <v>74</v>
      </c>
      <c r="AG642">
        <v>48</v>
      </c>
      <c r="AH642">
        <v>9</v>
      </c>
      <c r="AI642">
        <v>15</v>
      </c>
      <c r="AJ642">
        <v>6</v>
      </c>
      <c r="AK642">
        <v>26</v>
      </c>
      <c r="AL642" t="s">
        <v>1457</v>
      </c>
      <c r="AM642" t="s">
        <v>719</v>
      </c>
      <c r="AN642" t="s">
        <v>1458</v>
      </c>
      <c r="AO642" t="s">
        <v>3843</v>
      </c>
      <c r="AP642" t="s">
        <v>3844</v>
      </c>
      <c r="AQ642" t="s">
        <v>74</v>
      </c>
      <c r="AR642" t="s">
        <v>3845</v>
      </c>
      <c r="AS642" t="s">
        <v>3846</v>
      </c>
      <c r="AT642" t="s">
        <v>74</v>
      </c>
      <c r="AU642">
        <v>2011</v>
      </c>
      <c r="AV642">
        <v>38</v>
      </c>
      <c r="AW642" t="s">
        <v>601</v>
      </c>
      <c r="AX642" t="s">
        <v>74</v>
      </c>
      <c r="AY642" t="s">
        <v>74</v>
      </c>
      <c r="AZ642" t="s">
        <v>74</v>
      </c>
      <c r="BA642" t="s">
        <v>74</v>
      </c>
      <c r="BB642">
        <v>187</v>
      </c>
      <c r="BC642">
        <v>202</v>
      </c>
      <c r="BD642" t="s">
        <v>74</v>
      </c>
      <c r="BE642" t="s">
        <v>11344</v>
      </c>
      <c r="BF642" t="str">
        <f>HYPERLINK("http://dx.doi.org/10.1016/j.ocemod.2011.03.001","http://dx.doi.org/10.1016/j.ocemod.2011.03.001")</f>
        <v>http://dx.doi.org/10.1016/j.ocemod.2011.03.001</v>
      </c>
      <c r="BG642" t="s">
        <v>74</v>
      </c>
      <c r="BH642" t="s">
        <v>74</v>
      </c>
      <c r="BI642">
        <v>16</v>
      </c>
      <c r="BJ642" t="s">
        <v>3724</v>
      </c>
      <c r="BK642" t="s">
        <v>100</v>
      </c>
      <c r="BL642" t="s">
        <v>3724</v>
      </c>
      <c r="BM642" t="s">
        <v>11333</v>
      </c>
      <c r="BN642" t="s">
        <v>74</v>
      </c>
      <c r="BO642" t="s">
        <v>74</v>
      </c>
      <c r="BP642" t="s">
        <v>74</v>
      </c>
      <c r="BQ642" t="s">
        <v>74</v>
      </c>
      <c r="BR642" t="s">
        <v>103</v>
      </c>
      <c r="BS642" t="s">
        <v>11345</v>
      </c>
      <c r="BT642" t="str">
        <f>HYPERLINK("https%3A%2F%2Fwww.webofscience.com%2Fwos%2Fwoscc%2Ffull-record%2FWOS:000292126900002","View Full Record in Web of Science")</f>
        <v>View Full Record in Web of Science</v>
      </c>
    </row>
    <row r="643" spans="1:72" x14ac:dyDescent="0.15">
      <c r="A643" t="s">
        <v>72</v>
      </c>
      <c r="B643" t="s">
        <v>11346</v>
      </c>
      <c r="C643" t="s">
        <v>74</v>
      </c>
      <c r="D643" t="s">
        <v>74</v>
      </c>
      <c r="E643" t="s">
        <v>74</v>
      </c>
      <c r="F643" t="s">
        <v>11347</v>
      </c>
      <c r="G643" t="s">
        <v>74</v>
      </c>
      <c r="H643" t="s">
        <v>74</v>
      </c>
      <c r="I643" t="s">
        <v>11348</v>
      </c>
      <c r="J643" t="s">
        <v>3708</v>
      </c>
      <c r="K643" t="s">
        <v>74</v>
      </c>
      <c r="L643" t="s">
        <v>74</v>
      </c>
      <c r="M643" t="s">
        <v>78</v>
      </c>
      <c r="N643" t="s">
        <v>79</v>
      </c>
      <c r="O643" t="s">
        <v>74</v>
      </c>
      <c r="P643" t="s">
        <v>74</v>
      </c>
      <c r="Q643" t="s">
        <v>74</v>
      </c>
      <c r="R643" t="s">
        <v>74</v>
      </c>
      <c r="S643" t="s">
        <v>74</v>
      </c>
      <c r="T643" t="s">
        <v>74</v>
      </c>
      <c r="U643" t="s">
        <v>11349</v>
      </c>
      <c r="V643" t="s">
        <v>11350</v>
      </c>
      <c r="W643" t="s">
        <v>11351</v>
      </c>
      <c r="X643" t="s">
        <v>11352</v>
      </c>
      <c r="Y643" t="s">
        <v>11353</v>
      </c>
      <c r="Z643" t="s">
        <v>7064</v>
      </c>
      <c r="AA643" t="s">
        <v>11354</v>
      </c>
      <c r="AB643" t="s">
        <v>11355</v>
      </c>
      <c r="AC643" t="s">
        <v>11356</v>
      </c>
      <c r="AD643" t="s">
        <v>1215</v>
      </c>
      <c r="AE643" t="s">
        <v>74</v>
      </c>
      <c r="AF643" t="s">
        <v>74</v>
      </c>
      <c r="AG643">
        <v>93</v>
      </c>
      <c r="AH643">
        <v>22</v>
      </c>
      <c r="AI643">
        <v>22</v>
      </c>
      <c r="AJ643">
        <v>1</v>
      </c>
      <c r="AK643">
        <v>31</v>
      </c>
      <c r="AL643" t="s">
        <v>2955</v>
      </c>
      <c r="AM643" t="s">
        <v>2956</v>
      </c>
      <c r="AN643" t="s">
        <v>2957</v>
      </c>
      <c r="AO643" t="s">
        <v>3720</v>
      </c>
      <c r="AP643" t="s">
        <v>74</v>
      </c>
      <c r="AQ643" t="s">
        <v>74</v>
      </c>
      <c r="AR643" t="s">
        <v>3721</v>
      </c>
      <c r="AS643" t="s">
        <v>3722</v>
      </c>
      <c r="AT643" t="s">
        <v>74</v>
      </c>
      <c r="AU643">
        <v>2011</v>
      </c>
      <c r="AV643">
        <v>7</v>
      </c>
      <c r="AW643">
        <v>1</v>
      </c>
      <c r="AX643" t="s">
        <v>74</v>
      </c>
      <c r="AY643" t="s">
        <v>74</v>
      </c>
      <c r="AZ643" t="s">
        <v>74</v>
      </c>
      <c r="BA643" t="s">
        <v>74</v>
      </c>
      <c r="BB643">
        <v>113</v>
      </c>
      <c r="BC643">
        <v>127</v>
      </c>
      <c r="BD643" t="s">
        <v>74</v>
      </c>
      <c r="BE643" t="s">
        <v>11357</v>
      </c>
      <c r="BF643" t="str">
        <f>HYPERLINK("http://dx.doi.org/10.5194/os-7-113-2011","http://dx.doi.org/10.5194/os-7-113-2011")</f>
        <v>http://dx.doi.org/10.5194/os-7-113-2011</v>
      </c>
      <c r="BG643" t="s">
        <v>74</v>
      </c>
      <c r="BH643" t="s">
        <v>74</v>
      </c>
      <c r="BI643">
        <v>15</v>
      </c>
      <c r="BJ643" t="s">
        <v>3724</v>
      </c>
      <c r="BK643" t="s">
        <v>100</v>
      </c>
      <c r="BL643" t="s">
        <v>3724</v>
      </c>
      <c r="BM643" t="s">
        <v>11358</v>
      </c>
      <c r="BN643" t="s">
        <v>74</v>
      </c>
      <c r="BO643" t="s">
        <v>2456</v>
      </c>
      <c r="BP643" t="s">
        <v>74</v>
      </c>
      <c r="BQ643" t="s">
        <v>74</v>
      </c>
      <c r="BR643" t="s">
        <v>103</v>
      </c>
      <c r="BS643" t="s">
        <v>11359</v>
      </c>
      <c r="BT643" t="str">
        <f>HYPERLINK("https%3A%2F%2Fwww.webofscience.com%2Fwos%2Fwoscc%2Ffull-record%2FWOS:000287801000009","View Full Record in Web of Science")</f>
        <v>View Full Record in Web of Science</v>
      </c>
    </row>
    <row r="644" spans="1:72" x14ac:dyDescent="0.15">
      <c r="A644" t="s">
        <v>72</v>
      </c>
      <c r="B644" t="s">
        <v>11360</v>
      </c>
      <c r="C644" t="s">
        <v>74</v>
      </c>
      <c r="D644" t="s">
        <v>74</v>
      </c>
      <c r="E644" t="s">
        <v>74</v>
      </c>
      <c r="F644" t="s">
        <v>11361</v>
      </c>
      <c r="G644" t="s">
        <v>74</v>
      </c>
      <c r="H644" t="s">
        <v>74</v>
      </c>
      <c r="I644" t="s">
        <v>11362</v>
      </c>
      <c r="J644" t="s">
        <v>3708</v>
      </c>
      <c r="K644" t="s">
        <v>74</v>
      </c>
      <c r="L644" t="s">
        <v>74</v>
      </c>
      <c r="M644" t="s">
        <v>78</v>
      </c>
      <c r="N644" t="s">
        <v>79</v>
      </c>
      <c r="O644" t="s">
        <v>74</v>
      </c>
      <c r="P644" t="s">
        <v>74</v>
      </c>
      <c r="Q644" t="s">
        <v>74</v>
      </c>
      <c r="R644" t="s">
        <v>74</v>
      </c>
      <c r="S644" t="s">
        <v>74</v>
      </c>
      <c r="T644" t="s">
        <v>74</v>
      </c>
      <c r="U644" t="s">
        <v>11363</v>
      </c>
      <c r="V644" t="s">
        <v>11364</v>
      </c>
      <c r="W644" t="s">
        <v>11365</v>
      </c>
      <c r="X644" t="s">
        <v>11366</v>
      </c>
      <c r="Y644" t="s">
        <v>11367</v>
      </c>
      <c r="Z644" t="s">
        <v>11368</v>
      </c>
      <c r="AA644" t="s">
        <v>11369</v>
      </c>
      <c r="AB644" t="s">
        <v>11370</v>
      </c>
      <c r="AC644" t="s">
        <v>11371</v>
      </c>
      <c r="AD644" t="s">
        <v>11372</v>
      </c>
      <c r="AE644" t="s">
        <v>11373</v>
      </c>
      <c r="AF644" t="s">
        <v>74</v>
      </c>
      <c r="AG644">
        <v>42</v>
      </c>
      <c r="AH644">
        <v>24</v>
      </c>
      <c r="AI644">
        <v>29</v>
      </c>
      <c r="AJ644">
        <v>0</v>
      </c>
      <c r="AK644">
        <v>25</v>
      </c>
      <c r="AL644" t="s">
        <v>2955</v>
      </c>
      <c r="AM644" t="s">
        <v>2956</v>
      </c>
      <c r="AN644" t="s">
        <v>2957</v>
      </c>
      <c r="AO644" t="s">
        <v>3720</v>
      </c>
      <c r="AP644" t="s">
        <v>74</v>
      </c>
      <c r="AQ644" t="s">
        <v>74</v>
      </c>
      <c r="AR644" t="s">
        <v>3721</v>
      </c>
      <c r="AS644" t="s">
        <v>3722</v>
      </c>
      <c r="AT644" t="s">
        <v>74</v>
      </c>
      <c r="AU644">
        <v>2011</v>
      </c>
      <c r="AV644">
        <v>7</v>
      </c>
      <c r="AW644">
        <v>2</v>
      </c>
      <c r="AX644" t="s">
        <v>74</v>
      </c>
      <c r="AY644" t="s">
        <v>74</v>
      </c>
      <c r="AZ644" t="s">
        <v>74</v>
      </c>
      <c r="BA644" t="s">
        <v>74</v>
      </c>
      <c r="BB644">
        <v>185</v>
      </c>
      <c r="BC644">
        <v>202</v>
      </c>
      <c r="BD644" t="s">
        <v>74</v>
      </c>
      <c r="BE644" t="s">
        <v>11374</v>
      </c>
      <c r="BF644" t="str">
        <f>HYPERLINK("http://dx.doi.org/10.5194/os-7-185-2011","http://dx.doi.org/10.5194/os-7-185-2011")</f>
        <v>http://dx.doi.org/10.5194/os-7-185-2011</v>
      </c>
      <c r="BG644" t="s">
        <v>74</v>
      </c>
      <c r="BH644" t="s">
        <v>74</v>
      </c>
      <c r="BI644">
        <v>18</v>
      </c>
      <c r="BJ644" t="s">
        <v>3724</v>
      </c>
      <c r="BK644" t="s">
        <v>100</v>
      </c>
      <c r="BL644" t="s">
        <v>3724</v>
      </c>
      <c r="BM644" t="s">
        <v>11375</v>
      </c>
      <c r="BN644" t="s">
        <v>74</v>
      </c>
      <c r="BO644" t="s">
        <v>4532</v>
      </c>
      <c r="BP644" t="s">
        <v>74</v>
      </c>
      <c r="BQ644" t="s">
        <v>74</v>
      </c>
      <c r="BR644" t="s">
        <v>103</v>
      </c>
      <c r="BS644" t="s">
        <v>11376</v>
      </c>
      <c r="BT644" t="str">
        <f>HYPERLINK("https%3A%2F%2Fwww.webofscience.com%2Fwos%2Fwoscc%2Ffull-record%2FWOS:000290018300002","View Full Record in Web of Science")</f>
        <v>View Full Record in Web of Science</v>
      </c>
    </row>
    <row r="645" spans="1:72" x14ac:dyDescent="0.15">
      <c r="A645" t="s">
        <v>72</v>
      </c>
      <c r="B645" t="s">
        <v>11377</v>
      </c>
      <c r="C645" t="s">
        <v>74</v>
      </c>
      <c r="D645" t="s">
        <v>74</v>
      </c>
      <c r="E645" t="s">
        <v>74</v>
      </c>
      <c r="F645" t="s">
        <v>11378</v>
      </c>
      <c r="G645" t="s">
        <v>74</v>
      </c>
      <c r="H645" t="s">
        <v>74</v>
      </c>
      <c r="I645" t="s">
        <v>11379</v>
      </c>
      <c r="J645" t="s">
        <v>3708</v>
      </c>
      <c r="K645" t="s">
        <v>74</v>
      </c>
      <c r="L645" t="s">
        <v>74</v>
      </c>
      <c r="M645" t="s">
        <v>78</v>
      </c>
      <c r="N645" t="s">
        <v>79</v>
      </c>
      <c r="O645" t="s">
        <v>74</v>
      </c>
      <c r="P645" t="s">
        <v>74</v>
      </c>
      <c r="Q645" t="s">
        <v>74</v>
      </c>
      <c r="R645" t="s">
        <v>74</v>
      </c>
      <c r="S645" t="s">
        <v>74</v>
      </c>
      <c r="T645" t="s">
        <v>74</v>
      </c>
      <c r="U645" t="s">
        <v>11380</v>
      </c>
      <c r="V645" t="s">
        <v>11381</v>
      </c>
      <c r="W645" t="s">
        <v>11382</v>
      </c>
      <c r="X645" t="s">
        <v>11383</v>
      </c>
      <c r="Y645" t="s">
        <v>11384</v>
      </c>
      <c r="Z645" t="s">
        <v>11385</v>
      </c>
      <c r="AA645" t="s">
        <v>74</v>
      </c>
      <c r="AB645" t="s">
        <v>11386</v>
      </c>
      <c r="AC645" t="s">
        <v>11387</v>
      </c>
      <c r="AD645" t="s">
        <v>11388</v>
      </c>
      <c r="AE645" t="s">
        <v>11389</v>
      </c>
      <c r="AF645" t="s">
        <v>74</v>
      </c>
      <c r="AG645">
        <v>47</v>
      </c>
      <c r="AH645">
        <v>54</v>
      </c>
      <c r="AI645">
        <v>58</v>
      </c>
      <c r="AJ645">
        <v>0</v>
      </c>
      <c r="AK645">
        <v>12</v>
      </c>
      <c r="AL645" t="s">
        <v>2955</v>
      </c>
      <c r="AM645" t="s">
        <v>2956</v>
      </c>
      <c r="AN645" t="s">
        <v>2957</v>
      </c>
      <c r="AO645" t="s">
        <v>3720</v>
      </c>
      <c r="AP645" t="s">
        <v>74</v>
      </c>
      <c r="AQ645" t="s">
        <v>74</v>
      </c>
      <c r="AR645" t="s">
        <v>3721</v>
      </c>
      <c r="AS645" t="s">
        <v>3722</v>
      </c>
      <c r="AT645" t="s">
        <v>74</v>
      </c>
      <c r="AU645">
        <v>2011</v>
      </c>
      <c r="AV645">
        <v>7</v>
      </c>
      <c r="AW645">
        <v>3</v>
      </c>
      <c r="AX645" t="s">
        <v>74</v>
      </c>
      <c r="AY645" t="s">
        <v>74</v>
      </c>
      <c r="AZ645" t="s">
        <v>74</v>
      </c>
      <c r="BA645" t="s">
        <v>74</v>
      </c>
      <c r="BB645">
        <v>305</v>
      </c>
      <c r="BC645">
        <v>316</v>
      </c>
      <c r="BD645" t="s">
        <v>74</v>
      </c>
      <c r="BE645" t="s">
        <v>11390</v>
      </c>
      <c r="BF645" t="str">
        <f>HYPERLINK("http://dx.doi.org/10.5194/os-7-305-2011","http://dx.doi.org/10.5194/os-7-305-2011")</f>
        <v>http://dx.doi.org/10.5194/os-7-305-2011</v>
      </c>
      <c r="BG645" t="s">
        <v>74</v>
      </c>
      <c r="BH645" t="s">
        <v>74</v>
      </c>
      <c r="BI645">
        <v>12</v>
      </c>
      <c r="BJ645" t="s">
        <v>3724</v>
      </c>
      <c r="BK645" t="s">
        <v>100</v>
      </c>
      <c r="BL645" t="s">
        <v>3724</v>
      </c>
      <c r="BM645" t="s">
        <v>11391</v>
      </c>
      <c r="BN645" t="s">
        <v>74</v>
      </c>
      <c r="BO645" t="s">
        <v>2456</v>
      </c>
      <c r="BP645" t="s">
        <v>74</v>
      </c>
      <c r="BQ645" t="s">
        <v>74</v>
      </c>
      <c r="BR645" t="s">
        <v>103</v>
      </c>
      <c r="BS645" t="s">
        <v>11392</v>
      </c>
      <c r="BT645" t="str">
        <f>HYPERLINK("https%3A%2F%2Fwww.webofscience.com%2Fwos%2Fwoscc%2Ffull-record%2FWOS:000291928000003","View Full Record in Web of Science")</f>
        <v>View Full Record in Web of Science</v>
      </c>
    </row>
    <row r="646" spans="1:72" x14ac:dyDescent="0.15">
      <c r="A646" t="s">
        <v>72</v>
      </c>
      <c r="B646" t="s">
        <v>11393</v>
      </c>
      <c r="C646" t="s">
        <v>74</v>
      </c>
      <c r="D646" t="s">
        <v>74</v>
      </c>
      <c r="E646" t="s">
        <v>74</v>
      </c>
      <c r="F646" t="s">
        <v>11394</v>
      </c>
      <c r="G646" t="s">
        <v>74</v>
      </c>
      <c r="H646" t="s">
        <v>74</v>
      </c>
      <c r="I646" t="s">
        <v>11395</v>
      </c>
      <c r="J646" t="s">
        <v>3708</v>
      </c>
      <c r="K646" t="s">
        <v>74</v>
      </c>
      <c r="L646" t="s">
        <v>74</v>
      </c>
      <c r="M646" t="s">
        <v>78</v>
      </c>
      <c r="N646" t="s">
        <v>79</v>
      </c>
      <c r="O646" t="s">
        <v>74</v>
      </c>
      <c r="P646" t="s">
        <v>74</v>
      </c>
      <c r="Q646" t="s">
        <v>74</v>
      </c>
      <c r="R646" t="s">
        <v>74</v>
      </c>
      <c r="S646" t="s">
        <v>74</v>
      </c>
      <c r="T646" t="s">
        <v>74</v>
      </c>
      <c r="U646" t="s">
        <v>11396</v>
      </c>
      <c r="V646" t="s">
        <v>11397</v>
      </c>
      <c r="W646" t="s">
        <v>11398</v>
      </c>
      <c r="X646" t="s">
        <v>11399</v>
      </c>
      <c r="Y646" t="s">
        <v>11400</v>
      </c>
      <c r="Z646" t="s">
        <v>11401</v>
      </c>
      <c r="AA646" t="s">
        <v>11402</v>
      </c>
      <c r="AB646" t="s">
        <v>11403</v>
      </c>
      <c r="AC646" t="s">
        <v>11404</v>
      </c>
      <c r="AD646" t="s">
        <v>11404</v>
      </c>
      <c r="AE646" t="s">
        <v>11405</v>
      </c>
      <c r="AF646" t="s">
        <v>74</v>
      </c>
      <c r="AG646">
        <v>63</v>
      </c>
      <c r="AH646">
        <v>100</v>
      </c>
      <c r="AI646">
        <v>112</v>
      </c>
      <c r="AJ646">
        <v>0</v>
      </c>
      <c r="AK646">
        <v>38</v>
      </c>
      <c r="AL646" t="s">
        <v>2955</v>
      </c>
      <c r="AM646" t="s">
        <v>2956</v>
      </c>
      <c r="AN646" t="s">
        <v>2957</v>
      </c>
      <c r="AO646" t="s">
        <v>3720</v>
      </c>
      <c r="AP646" t="s">
        <v>74</v>
      </c>
      <c r="AQ646" t="s">
        <v>74</v>
      </c>
      <c r="AR646" t="s">
        <v>3721</v>
      </c>
      <c r="AS646" t="s">
        <v>3722</v>
      </c>
      <c r="AT646" t="s">
        <v>74</v>
      </c>
      <c r="AU646">
        <v>2011</v>
      </c>
      <c r="AV646">
        <v>7</v>
      </c>
      <c r="AW646">
        <v>3</v>
      </c>
      <c r="AX646" t="s">
        <v>74</v>
      </c>
      <c r="AY646" t="s">
        <v>74</v>
      </c>
      <c r="AZ646" t="s">
        <v>74</v>
      </c>
      <c r="BA646" t="s">
        <v>74</v>
      </c>
      <c r="BB646">
        <v>317</v>
      </c>
      <c r="BC646">
        <v>334</v>
      </c>
      <c r="BD646" t="s">
        <v>74</v>
      </c>
      <c r="BE646" t="s">
        <v>11406</v>
      </c>
      <c r="BF646" t="str">
        <f>HYPERLINK("http://dx.doi.org/10.5194/os-7-317-2011","http://dx.doi.org/10.5194/os-7-317-2011")</f>
        <v>http://dx.doi.org/10.5194/os-7-317-2011</v>
      </c>
      <c r="BG646" t="s">
        <v>74</v>
      </c>
      <c r="BH646" t="s">
        <v>74</v>
      </c>
      <c r="BI646">
        <v>18</v>
      </c>
      <c r="BJ646" t="s">
        <v>3724</v>
      </c>
      <c r="BK646" t="s">
        <v>100</v>
      </c>
      <c r="BL646" t="s">
        <v>3724</v>
      </c>
      <c r="BM646" t="s">
        <v>11391</v>
      </c>
      <c r="BN646" t="s">
        <v>74</v>
      </c>
      <c r="BO646" t="s">
        <v>3113</v>
      </c>
      <c r="BP646" t="s">
        <v>74</v>
      </c>
      <c r="BQ646" t="s">
        <v>74</v>
      </c>
      <c r="BR646" t="s">
        <v>103</v>
      </c>
      <c r="BS646" t="s">
        <v>11407</v>
      </c>
      <c r="BT646" t="str">
        <f>HYPERLINK("https%3A%2F%2Fwww.webofscience.com%2Fwos%2Fwoscc%2Ffull-record%2FWOS:000291928000004","View Full Record in Web of Science")</f>
        <v>View Full Record in Web of Science</v>
      </c>
    </row>
    <row r="647" spans="1:72" x14ac:dyDescent="0.15">
      <c r="A647" t="s">
        <v>72</v>
      </c>
      <c r="B647" t="s">
        <v>11408</v>
      </c>
      <c r="C647" t="s">
        <v>74</v>
      </c>
      <c r="D647" t="s">
        <v>74</v>
      </c>
      <c r="E647" t="s">
        <v>74</v>
      </c>
      <c r="F647" t="s">
        <v>11409</v>
      </c>
      <c r="G647" t="s">
        <v>74</v>
      </c>
      <c r="H647" t="s">
        <v>74</v>
      </c>
      <c r="I647" t="s">
        <v>11410</v>
      </c>
      <c r="J647" t="s">
        <v>3708</v>
      </c>
      <c r="K647" t="s">
        <v>74</v>
      </c>
      <c r="L647" t="s">
        <v>74</v>
      </c>
      <c r="M647" t="s">
        <v>78</v>
      </c>
      <c r="N647" t="s">
        <v>79</v>
      </c>
      <c r="O647" t="s">
        <v>74</v>
      </c>
      <c r="P647" t="s">
        <v>74</v>
      </c>
      <c r="Q647" t="s">
        <v>74</v>
      </c>
      <c r="R647" t="s">
        <v>74</v>
      </c>
      <c r="S647" t="s">
        <v>74</v>
      </c>
      <c r="T647" t="s">
        <v>74</v>
      </c>
      <c r="U647" t="s">
        <v>11411</v>
      </c>
      <c r="V647" t="s">
        <v>11412</v>
      </c>
      <c r="W647" t="s">
        <v>11413</v>
      </c>
      <c r="X647" t="s">
        <v>11414</v>
      </c>
      <c r="Y647" t="s">
        <v>11415</v>
      </c>
      <c r="Z647" t="s">
        <v>1815</v>
      </c>
      <c r="AA647" t="s">
        <v>11416</v>
      </c>
      <c r="AB647" t="s">
        <v>11417</v>
      </c>
      <c r="AC647" t="s">
        <v>11418</v>
      </c>
      <c r="AD647" t="s">
        <v>11419</v>
      </c>
      <c r="AE647" t="s">
        <v>11420</v>
      </c>
      <c r="AF647" t="s">
        <v>74</v>
      </c>
      <c r="AG647">
        <v>70</v>
      </c>
      <c r="AH647">
        <v>47</v>
      </c>
      <c r="AI647">
        <v>50</v>
      </c>
      <c r="AJ647">
        <v>0</v>
      </c>
      <c r="AK647">
        <v>24</v>
      </c>
      <c r="AL647" t="s">
        <v>2955</v>
      </c>
      <c r="AM647" t="s">
        <v>2956</v>
      </c>
      <c r="AN647" t="s">
        <v>2957</v>
      </c>
      <c r="AO647" t="s">
        <v>3720</v>
      </c>
      <c r="AP647" t="s">
        <v>74</v>
      </c>
      <c r="AQ647" t="s">
        <v>74</v>
      </c>
      <c r="AR647" t="s">
        <v>3721</v>
      </c>
      <c r="AS647" t="s">
        <v>3722</v>
      </c>
      <c r="AT647" t="s">
        <v>74</v>
      </c>
      <c r="AU647">
        <v>2011</v>
      </c>
      <c r="AV647">
        <v>7</v>
      </c>
      <c r="AW647">
        <v>5</v>
      </c>
      <c r="AX647" t="s">
        <v>74</v>
      </c>
      <c r="AY647" t="s">
        <v>74</v>
      </c>
      <c r="AZ647" t="s">
        <v>74</v>
      </c>
      <c r="BA647" t="s">
        <v>74</v>
      </c>
      <c r="BB647">
        <v>533</v>
      </c>
      <c r="BC647">
        <v>547</v>
      </c>
      <c r="BD647" t="s">
        <v>74</v>
      </c>
      <c r="BE647" t="s">
        <v>11421</v>
      </c>
      <c r="BF647" t="str">
        <f>HYPERLINK("http://dx.doi.org/10.5194/os-7-533-2011","http://dx.doi.org/10.5194/os-7-533-2011")</f>
        <v>http://dx.doi.org/10.5194/os-7-533-2011</v>
      </c>
      <c r="BG647" t="s">
        <v>74</v>
      </c>
      <c r="BH647" t="s">
        <v>74</v>
      </c>
      <c r="BI647">
        <v>15</v>
      </c>
      <c r="BJ647" t="s">
        <v>3724</v>
      </c>
      <c r="BK647" t="s">
        <v>100</v>
      </c>
      <c r="BL647" t="s">
        <v>3724</v>
      </c>
      <c r="BM647" t="s">
        <v>11422</v>
      </c>
      <c r="BN647" t="s">
        <v>74</v>
      </c>
      <c r="BO647" t="s">
        <v>2456</v>
      </c>
      <c r="BP647" t="s">
        <v>74</v>
      </c>
      <c r="BQ647" t="s">
        <v>74</v>
      </c>
      <c r="BR647" t="s">
        <v>103</v>
      </c>
      <c r="BS647" t="s">
        <v>11423</v>
      </c>
      <c r="BT647" t="str">
        <f>HYPERLINK("https%3A%2F%2Fwww.webofscience.com%2Fwos%2Fwoscc%2Ffull-record%2FWOS:000296742800001","View Full Record in Web of Science")</f>
        <v>View Full Record in Web of Science</v>
      </c>
    </row>
    <row r="648" spans="1:72" x14ac:dyDescent="0.15">
      <c r="A648" t="s">
        <v>72</v>
      </c>
      <c r="B648" t="s">
        <v>11424</v>
      </c>
      <c r="C648" t="s">
        <v>74</v>
      </c>
      <c r="D648" t="s">
        <v>74</v>
      </c>
      <c r="E648" t="s">
        <v>74</v>
      </c>
      <c r="F648" t="s">
        <v>11425</v>
      </c>
      <c r="G648" t="s">
        <v>74</v>
      </c>
      <c r="H648" t="s">
        <v>74</v>
      </c>
      <c r="I648" t="s">
        <v>11426</v>
      </c>
      <c r="J648" t="s">
        <v>3708</v>
      </c>
      <c r="K648" t="s">
        <v>74</v>
      </c>
      <c r="L648" t="s">
        <v>74</v>
      </c>
      <c r="M648" t="s">
        <v>78</v>
      </c>
      <c r="N648" t="s">
        <v>79</v>
      </c>
      <c r="O648" t="s">
        <v>74</v>
      </c>
      <c r="P648" t="s">
        <v>74</v>
      </c>
      <c r="Q648" t="s">
        <v>74</v>
      </c>
      <c r="R648" t="s">
        <v>74</v>
      </c>
      <c r="S648" t="s">
        <v>74</v>
      </c>
      <c r="T648" t="s">
        <v>74</v>
      </c>
      <c r="U648" t="s">
        <v>11427</v>
      </c>
      <c r="V648" t="s">
        <v>11428</v>
      </c>
      <c r="W648" t="s">
        <v>11429</v>
      </c>
      <c r="X648" t="s">
        <v>11430</v>
      </c>
      <c r="Y648" t="s">
        <v>11431</v>
      </c>
      <c r="Z648" t="s">
        <v>11432</v>
      </c>
      <c r="AA648" t="s">
        <v>11433</v>
      </c>
      <c r="AB648" t="s">
        <v>11434</v>
      </c>
      <c r="AC648" t="s">
        <v>11435</v>
      </c>
      <c r="AD648" t="s">
        <v>11436</v>
      </c>
      <c r="AE648" t="s">
        <v>11437</v>
      </c>
      <c r="AF648" t="s">
        <v>74</v>
      </c>
      <c r="AG648">
        <v>84</v>
      </c>
      <c r="AH648">
        <v>7</v>
      </c>
      <c r="AI648">
        <v>8</v>
      </c>
      <c r="AJ648">
        <v>0</v>
      </c>
      <c r="AK648">
        <v>6</v>
      </c>
      <c r="AL648" t="s">
        <v>2955</v>
      </c>
      <c r="AM648" t="s">
        <v>2956</v>
      </c>
      <c r="AN648" t="s">
        <v>2957</v>
      </c>
      <c r="AO648" t="s">
        <v>3720</v>
      </c>
      <c r="AP648" t="s">
        <v>74</v>
      </c>
      <c r="AQ648" t="s">
        <v>74</v>
      </c>
      <c r="AR648" t="s">
        <v>3721</v>
      </c>
      <c r="AS648" t="s">
        <v>3722</v>
      </c>
      <c r="AT648" t="s">
        <v>74</v>
      </c>
      <c r="AU648">
        <v>2011</v>
      </c>
      <c r="AV648">
        <v>7</v>
      </c>
      <c r="AW648">
        <v>6</v>
      </c>
      <c r="AX648" t="s">
        <v>74</v>
      </c>
      <c r="AY648" t="s">
        <v>74</v>
      </c>
      <c r="AZ648" t="s">
        <v>74</v>
      </c>
      <c r="BA648" t="s">
        <v>74</v>
      </c>
      <c r="BB648">
        <v>755</v>
      </c>
      <c r="BC648">
        <v>770</v>
      </c>
      <c r="BD648" t="s">
        <v>74</v>
      </c>
      <c r="BE648" t="s">
        <v>11438</v>
      </c>
      <c r="BF648" t="str">
        <f>HYPERLINK("http://dx.doi.org/10.5194/os-7-755-2011","http://dx.doi.org/10.5194/os-7-755-2011")</f>
        <v>http://dx.doi.org/10.5194/os-7-755-2011</v>
      </c>
      <c r="BG648" t="s">
        <v>74</v>
      </c>
      <c r="BH648" t="s">
        <v>74</v>
      </c>
      <c r="BI648">
        <v>16</v>
      </c>
      <c r="BJ648" t="s">
        <v>3724</v>
      </c>
      <c r="BK648" t="s">
        <v>100</v>
      </c>
      <c r="BL648" t="s">
        <v>3724</v>
      </c>
      <c r="BM648" t="s">
        <v>11439</v>
      </c>
      <c r="BN648" t="s">
        <v>74</v>
      </c>
      <c r="BO648" t="s">
        <v>2456</v>
      </c>
      <c r="BP648" t="s">
        <v>74</v>
      </c>
      <c r="BQ648" t="s">
        <v>74</v>
      </c>
      <c r="BR648" t="s">
        <v>103</v>
      </c>
      <c r="BS648" t="s">
        <v>11440</v>
      </c>
      <c r="BT648" t="str">
        <f>HYPERLINK("https%3A%2F%2Fwww.webofscience.com%2Fwos%2Fwoscc%2Ffull-record%2FWOS:000298491300003","View Full Record in Web of Science")</f>
        <v>View Full Record in Web of Science</v>
      </c>
    </row>
    <row r="649" spans="1:72" x14ac:dyDescent="0.15">
      <c r="A649" t="s">
        <v>72</v>
      </c>
      <c r="B649" t="s">
        <v>11441</v>
      </c>
      <c r="C649" t="s">
        <v>74</v>
      </c>
      <c r="D649" t="s">
        <v>74</v>
      </c>
      <c r="E649" t="s">
        <v>74</v>
      </c>
      <c r="F649" t="s">
        <v>11442</v>
      </c>
      <c r="G649" t="s">
        <v>74</v>
      </c>
      <c r="H649" t="s">
        <v>74</v>
      </c>
      <c r="I649" t="s">
        <v>11443</v>
      </c>
      <c r="J649" t="s">
        <v>11444</v>
      </c>
      <c r="K649" t="s">
        <v>74</v>
      </c>
      <c r="L649" t="s">
        <v>74</v>
      </c>
      <c r="M649" t="s">
        <v>78</v>
      </c>
      <c r="N649" t="s">
        <v>79</v>
      </c>
      <c r="O649" t="s">
        <v>74</v>
      </c>
      <c r="P649" t="s">
        <v>74</v>
      </c>
      <c r="Q649" t="s">
        <v>74</v>
      </c>
      <c r="R649" t="s">
        <v>74</v>
      </c>
      <c r="S649" t="s">
        <v>74</v>
      </c>
      <c r="T649" t="s">
        <v>74</v>
      </c>
      <c r="U649" t="s">
        <v>74</v>
      </c>
      <c r="V649" t="s">
        <v>74</v>
      </c>
      <c r="W649" t="s">
        <v>11445</v>
      </c>
      <c r="X649" t="s">
        <v>74</v>
      </c>
      <c r="Y649" t="s">
        <v>11446</v>
      </c>
      <c r="Z649" t="s">
        <v>74</v>
      </c>
      <c r="AA649" t="s">
        <v>74</v>
      </c>
      <c r="AB649" t="s">
        <v>74</v>
      </c>
      <c r="AC649" t="s">
        <v>74</v>
      </c>
      <c r="AD649" t="s">
        <v>74</v>
      </c>
      <c r="AE649" t="s">
        <v>74</v>
      </c>
      <c r="AF649" t="s">
        <v>74</v>
      </c>
      <c r="AG649">
        <v>10</v>
      </c>
      <c r="AH649">
        <v>6</v>
      </c>
      <c r="AI649">
        <v>6</v>
      </c>
      <c r="AJ649">
        <v>0</v>
      </c>
      <c r="AK649">
        <v>0</v>
      </c>
      <c r="AL649" t="s">
        <v>4751</v>
      </c>
      <c r="AM649" t="s">
        <v>4752</v>
      </c>
      <c r="AN649" t="s">
        <v>4753</v>
      </c>
      <c r="AO649" t="s">
        <v>11447</v>
      </c>
      <c r="AP649" t="s">
        <v>11448</v>
      </c>
      <c r="AQ649" t="s">
        <v>74</v>
      </c>
      <c r="AR649" t="s">
        <v>11449</v>
      </c>
      <c r="AS649" t="s">
        <v>11450</v>
      </c>
      <c r="AT649" t="s">
        <v>74</v>
      </c>
      <c r="AU649">
        <v>2011</v>
      </c>
      <c r="AV649">
        <v>25</v>
      </c>
      <c r="AW649">
        <v>1</v>
      </c>
      <c r="AX649" t="s">
        <v>74</v>
      </c>
      <c r="AY649" t="s">
        <v>74</v>
      </c>
      <c r="AZ649" t="s">
        <v>74</v>
      </c>
      <c r="BA649" t="s">
        <v>74</v>
      </c>
      <c r="BB649">
        <v>131</v>
      </c>
      <c r="BC649">
        <v>139</v>
      </c>
      <c r="BD649" t="s">
        <v>74</v>
      </c>
      <c r="BE649" t="s">
        <v>11451</v>
      </c>
      <c r="BF649" t="str">
        <f>HYPERLINK("http://dx.doi.org/10.1163/22116001-92500005","http://dx.doi.org/10.1163/22116001-92500005")</f>
        <v>http://dx.doi.org/10.1163/22116001-92500005</v>
      </c>
      <c r="BG649" t="s">
        <v>74</v>
      </c>
      <c r="BH649" t="s">
        <v>74</v>
      </c>
      <c r="BI649">
        <v>9</v>
      </c>
      <c r="BJ649" t="s">
        <v>11452</v>
      </c>
      <c r="BK649" t="s">
        <v>6441</v>
      </c>
      <c r="BL649" t="s">
        <v>822</v>
      </c>
      <c r="BM649" t="s">
        <v>11453</v>
      </c>
      <c r="BN649" t="s">
        <v>74</v>
      </c>
      <c r="BO649" t="s">
        <v>74</v>
      </c>
      <c r="BP649" t="s">
        <v>74</v>
      </c>
      <c r="BQ649" t="s">
        <v>74</v>
      </c>
      <c r="BR649" t="s">
        <v>103</v>
      </c>
      <c r="BS649" t="s">
        <v>11454</v>
      </c>
      <c r="BT649" t="str">
        <f>HYPERLINK("https%3A%2F%2Fwww.webofscience.com%2Fwos%2Fwoscc%2Ffull-record%2FWOS:000213808500004","View Full Record in Web of Science")</f>
        <v>View Full Record in Web of Science</v>
      </c>
    </row>
    <row r="650" spans="1:72" x14ac:dyDescent="0.15">
      <c r="A650" t="s">
        <v>72</v>
      </c>
      <c r="B650" t="s">
        <v>11455</v>
      </c>
      <c r="C650" t="s">
        <v>74</v>
      </c>
      <c r="D650" t="s">
        <v>74</v>
      </c>
      <c r="E650" t="s">
        <v>74</v>
      </c>
      <c r="F650" t="s">
        <v>11456</v>
      </c>
      <c r="G650" t="s">
        <v>74</v>
      </c>
      <c r="H650" t="s">
        <v>74</v>
      </c>
      <c r="I650" t="s">
        <v>11457</v>
      </c>
      <c r="J650" t="s">
        <v>11444</v>
      </c>
      <c r="K650" t="s">
        <v>74</v>
      </c>
      <c r="L650" t="s">
        <v>74</v>
      </c>
      <c r="M650" t="s">
        <v>78</v>
      </c>
      <c r="N650" t="s">
        <v>79</v>
      </c>
      <c r="O650" t="s">
        <v>74</v>
      </c>
      <c r="P650" t="s">
        <v>74</v>
      </c>
      <c r="Q650" t="s">
        <v>74</v>
      </c>
      <c r="R650" t="s">
        <v>74</v>
      </c>
      <c r="S650" t="s">
        <v>74</v>
      </c>
      <c r="T650" t="s">
        <v>74</v>
      </c>
      <c r="U650" t="s">
        <v>74</v>
      </c>
      <c r="V650" t="s">
        <v>74</v>
      </c>
      <c r="W650" t="s">
        <v>11458</v>
      </c>
      <c r="X650" t="s">
        <v>11459</v>
      </c>
      <c r="Y650" t="s">
        <v>11460</v>
      </c>
      <c r="Z650" t="s">
        <v>74</v>
      </c>
      <c r="AA650" t="s">
        <v>74</v>
      </c>
      <c r="AB650" t="s">
        <v>74</v>
      </c>
      <c r="AC650" t="s">
        <v>74</v>
      </c>
      <c r="AD650" t="s">
        <v>74</v>
      </c>
      <c r="AE650" t="s">
        <v>74</v>
      </c>
      <c r="AF650" t="s">
        <v>74</v>
      </c>
      <c r="AG650">
        <v>69</v>
      </c>
      <c r="AH650">
        <v>3</v>
      </c>
      <c r="AI650">
        <v>4</v>
      </c>
      <c r="AJ650">
        <v>0</v>
      </c>
      <c r="AK650">
        <v>0</v>
      </c>
      <c r="AL650" t="s">
        <v>4751</v>
      </c>
      <c r="AM650" t="s">
        <v>4752</v>
      </c>
      <c r="AN650" t="s">
        <v>4753</v>
      </c>
      <c r="AO650" t="s">
        <v>11447</v>
      </c>
      <c r="AP650" t="s">
        <v>11448</v>
      </c>
      <c r="AQ650" t="s">
        <v>74</v>
      </c>
      <c r="AR650" t="s">
        <v>11449</v>
      </c>
      <c r="AS650" t="s">
        <v>11450</v>
      </c>
      <c r="AT650" t="s">
        <v>74</v>
      </c>
      <c r="AU650">
        <v>2011</v>
      </c>
      <c r="AV650">
        <v>25</v>
      </c>
      <c r="AW650">
        <v>1</v>
      </c>
      <c r="AX650" t="s">
        <v>74</v>
      </c>
      <c r="AY650" t="s">
        <v>74</v>
      </c>
      <c r="AZ650" t="s">
        <v>74</v>
      </c>
      <c r="BA650" t="s">
        <v>74</v>
      </c>
      <c r="BB650">
        <v>141</v>
      </c>
      <c r="BC650">
        <v>170</v>
      </c>
      <c r="BD650" t="s">
        <v>74</v>
      </c>
      <c r="BE650" t="s">
        <v>11461</v>
      </c>
      <c r="BF650" t="str">
        <f>HYPERLINK("http://dx.doi.org/10.1163/22116001-92500006","http://dx.doi.org/10.1163/22116001-92500006")</f>
        <v>http://dx.doi.org/10.1163/22116001-92500006</v>
      </c>
      <c r="BG650" t="s">
        <v>74</v>
      </c>
      <c r="BH650" t="s">
        <v>74</v>
      </c>
      <c r="BI650">
        <v>30</v>
      </c>
      <c r="BJ650" t="s">
        <v>11452</v>
      </c>
      <c r="BK650" t="s">
        <v>6441</v>
      </c>
      <c r="BL650" t="s">
        <v>822</v>
      </c>
      <c r="BM650" t="s">
        <v>11453</v>
      </c>
      <c r="BN650" t="s">
        <v>74</v>
      </c>
      <c r="BO650" t="s">
        <v>74</v>
      </c>
      <c r="BP650" t="s">
        <v>74</v>
      </c>
      <c r="BQ650" t="s">
        <v>74</v>
      </c>
      <c r="BR650" t="s">
        <v>103</v>
      </c>
      <c r="BS650" t="s">
        <v>11462</v>
      </c>
      <c r="BT650" t="str">
        <f>HYPERLINK("https%3A%2F%2Fwww.webofscience.com%2Fwos%2Fwoscc%2Ffull-record%2FWOS:000213808500005","View Full Record in Web of Science")</f>
        <v>View Full Record in Web of Science</v>
      </c>
    </row>
    <row r="651" spans="1:72" x14ac:dyDescent="0.15">
      <c r="A651" t="s">
        <v>72</v>
      </c>
      <c r="B651" t="s">
        <v>11463</v>
      </c>
      <c r="C651" t="s">
        <v>74</v>
      </c>
      <c r="D651" t="s">
        <v>74</v>
      </c>
      <c r="E651" t="s">
        <v>74</v>
      </c>
      <c r="F651" t="s">
        <v>11464</v>
      </c>
      <c r="G651" t="s">
        <v>74</v>
      </c>
      <c r="H651" t="s">
        <v>74</v>
      </c>
      <c r="I651" t="s">
        <v>11465</v>
      </c>
      <c r="J651" t="s">
        <v>11466</v>
      </c>
      <c r="K651" t="s">
        <v>74</v>
      </c>
      <c r="L651" t="s">
        <v>74</v>
      </c>
      <c r="M651" t="s">
        <v>78</v>
      </c>
      <c r="N651" t="s">
        <v>79</v>
      </c>
      <c r="O651" t="s">
        <v>74</v>
      </c>
      <c r="P651" t="s">
        <v>74</v>
      </c>
      <c r="Q651" t="s">
        <v>74</v>
      </c>
      <c r="R651" t="s">
        <v>74</v>
      </c>
      <c r="S651" t="s">
        <v>74</v>
      </c>
      <c r="T651" t="s">
        <v>74</v>
      </c>
      <c r="U651" t="s">
        <v>11467</v>
      </c>
      <c r="V651" t="s">
        <v>11468</v>
      </c>
      <c r="W651" t="s">
        <v>11469</v>
      </c>
      <c r="X651" t="s">
        <v>11470</v>
      </c>
      <c r="Y651" t="s">
        <v>11471</v>
      </c>
      <c r="Z651" t="s">
        <v>11472</v>
      </c>
      <c r="AA651" t="s">
        <v>11473</v>
      </c>
      <c r="AB651" t="s">
        <v>11474</v>
      </c>
      <c r="AC651" t="s">
        <v>11475</v>
      </c>
      <c r="AD651" t="s">
        <v>11476</v>
      </c>
      <c r="AE651" t="s">
        <v>11477</v>
      </c>
      <c r="AF651" t="s">
        <v>74</v>
      </c>
      <c r="AG651">
        <v>170</v>
      </c>
      <c r="AH651">
        <v>39</v>
      </c>
      <c r="AI651">
        <v>44</v>
      </c>
      <c r="AJ651">
        <v>0</v>
      </c>
      <c r="AK651">
        <v>35</v>
      </c>
      <c r="AL651" t="s">
        <v>3144</v>
      </c>
      <c r="AM651" t="s">
        <v>2335</v>
      </c>
      <c r="AN651" t="s">
        <v>3145</v>
      </c>
      <c r="AO651" t="s">
        <v>11478</v>
      </c>
      <c r="AP651" t="s">
        <v>11479</v>
      </c>
      <c r="AQ651" t="s">
        <v>74</v>
      </c>
      <c r="AR651" t="s">
        <v>11480</v>
      </c>
      <c r="AS651" t="s">
        <v>11481</v>
      </c>
      <c r="AT651" t="s">
        <v>74</v>
      </c>
      <c r="AU651">
        <v>2011</v>
      </c>
      <c r="AV651">
        <v>9</v>
      </c>
      <c r="AW651">
        <v>14</v>
      </c>
      <c r="AX651" t="s">
        <v>74</v>
      </c>
      <c r="AY651" t="s">
        <v>74</v>
      </c>
      <c r="AZ651" t="s">
        <v>74</v>
      </c>
      <c r="BA651" t="s">
        <v>74</v>
      </c>
      <c r="BB651">
        <v>5129</v>
      </c>
      <c r="BC651">
        <v>5136</v>
      </c>
      <c r="BD651" t="s">
        <v>74</v>
      </c>
      <c r="BE651" t="s">
        <v>11482</v>
      </c>
      <c r="BF651" t="str">
        <f>HYPERLINK("http://dx.doi.org/10.1039/c1ob05586k","http://dx.doi.org/10.1039/c1ob05586k")</f>
        <v>http://dx.doi.org/10.1039/c1ob05586k</v>
      </c>
      <c r="BG651" t="s">
        <v>74</v>
      </c>
      <c r="BH651" t="s">
        <v>74</v>
      </c>
      <c r="BI651">
        <v>8</v>
      </c>
      <c r="BJ651" t="s">
        <v>11483</v>
      </c>
      <c r="BK651" t="s">
        <v>6915</v>
      </c>
      <c r="BL651" t="s">
        <v>5752</v>
      </c>
      <c r="BM651" t="s">
        <v>11484</v>
      </c>
      <c r="BN651">
        <v>21625704</v>
      </c>
      <c r="BO651" t="s">
        <v>74</v>
      </c>
      <c r="BP651" t="s">
        <v>74</v>
      </c>
      <c r="BQ651" t="s">
        <v>74</v>
      </c>
      <c r="BR651" t="s">
        <v>103</v>
      </c>
      <c r="BS651" t="s">
        <v>11485</v>
      </c>
      <c r="BT651" t="str">
        <f>HYPERLINK("https%3A%2F%2Fwww.webofscience.com%2Fwos%2Fwoscc%2Ffull-record%2FWOS:000292203800022","View Full Record in Web of Science")</f>
        <v>View Full Record in Web of Science</v>
      </c>
    </row>
    <row r="652" spans="1:72" x14ac:dyDescent="0.15">
      <c r="A652" t="s">
        <v>72</v>
      </c>
      <c r="B652" t="s">
        <v>11486</v>
      </c>
      <c r="C652" t="s">
        <v>74</v>
      </c>
      <c r="D652" t="s">
        <v>74</v>
      </c>
      <c r="E652" t="s">
        <v>74</v>
      </c>
      <c r="F652" t="s">
        <v>11487</v>
      </c>
      <c r="G652" t="s">
        <v>74</v>
      </c>
      <c r="H652" t="s">
        <v>74</v>
      </c>
      <c r="I652" t="s">
        <v>11488</v>
      </c>
      <c r="J652" t="s">
        <v>11489</v>
      </c>
      <c r="K652" t="s">
        <v>74</v>
      </c>
      <c r="L652" t="s">
        <v>74</v>
      </c>
      <c r="M652" t="s">
        <v>78</v>
      </c>
      <c r="N652" t="s">
        <v>79</v>
      </c>
      <c r="O652" t="s">
        <v>74</v>
      </c>
      <c r="P652" t="s">
        <v>74</v>
      </c>
      <c r="Q652" t="s">
        <v>74</v>
      </c>
      <c r="R652" t="s">
        <v>74</v>
      </c>
      <c r="S652" t="s">
        <v>74</v>
      </c>
      <c r="T652" t="s">
        <v>74</v>
      </c>
      <c r="U652" t="s">
        <v>1957</v>
      </c>
      <c r="V652" t="s">
        <v>11490</v>
      </c>
      <c r="W652" t="s">
        <v>11491</v>
      </c>
      <c r="X652" t="s">
        <v>11492</v>
      </c>
      <c r="Y652" t="s">
        <v>11493</v>
      </c>
      <c r="Z652" t="s">
        <v>11494</v>
      </c>
      <c r="AA652" t="s">
        <v>74</v>
      </c>
      <c r="AB652" t="s">
        <v>74</v>
      </c>
      <c r="AC652" t="s">
        <v>74</v>
      </c>
      <c r="AD652" t="s">
        <v>74</v>
      </c>
      <c r="AE652" t="s">
        <v>74</v>
      </c>
      <c r="AF652" t="s">
        <v>74</v>
      </c>
      <c r="AG652">
        <v>67</v>
      </c>
      <c r="AH652">
        <v>16</v>
      </c>
      <c r="AI652">
        <v>20</v>
      </c>
      <c r="AJ652">
        <v>1</v>
      </c>
      <c r="AK652">
        <v>21</v>
      </c>
      <c r="AL652" t="s">
        <v>11495</v>
      </c>
      <c r="AM652" t="s">
        <v>11496</v>
      </c>
      <c r="AN652" t="s">
        <v>11497</v>
      </c>
      <c r="AO652" t="s">
        <v>11498</v>
      </c>
      <c r="AP652" t="s">
        <v>11499</v>
      </c>
      <c r="AQ652" t="s">
        <v>74</v>
      </c>
      <c r="AR652" t="s">
        <v>11489</v>
      </c>
      <c r="AS652" t="s">
        <v>11500</v>
      </c>
      <c r="AT652" t="s">
        <v>74</v>
      </c>
      <c r="AU652">
        <v>2011</v>
      </c>
      <c r="AV652">
        <v>26</v>
      </c>
      <c r="AW652" t="s">
        <v>74</v>
      </c>
      <c r="AX652" t="s">
        <v>74</v>
      </c>
      <c r="AY652" t="s">
        <v>74</v>
      </c>
      <c r="AZ652" t="s">
        <v>74</v>
      </c>
      <c r="BA652" t="s">
        <v>74</v>
      </c>
      <c r="BB652">
        <v>180</v>
      </c>
      <c r="BC652">
        <v>197</v>
      </c>
      <c r="BD652" t="s">
        <v>74</v>
      </c>
      <c r="BE652" t="s">
        <v>11501</v>
      </c>
      <c r="BF652" t="str">
        <f>HYPERLINK("http://dx.doi.org/10.1086/661271","http://dx.doi.org/10.1086/661271")</f>
        <v>http://dx.doi.org/10.1086/661271</v>
      </c>
      <c r="BG652" t="s">
        <v>74</v>
      </c>
      <c r="BH652" t="s">
        <v>74</v>
      </c>
      <c r="BI652">
        <v>18</v>
      </c>
      <c r="BJ652" t="s">
        <v>8598</v>
      </c>
      <c r="BK652" t="s">
        <v>11502</v>
      </c>
      <c r="BL652" t="s">
        <v>8599</v>
      </c>
      <c r="BM652" t="s">
        <v>11503</v>
      </c>
      <c r="BN652">
        <v>21936193</v>
      </c>
      <c r="BO652" t="s">
        <v>74</v>
      </c>
      <c r="BP652" t="s">
        <v>74</v>
      </c>
      <c r="BQ652" t="s">
        <v>74</v>
      </c>
      <c r="BR652" t="s">
        <v>103</v>
      </c>
      <c r="BS652" t="s">
        <v>11504</v>
      </c>
      <c r="BT652" t="str">
        <f>HYPERLINK("https%3A%2F%2Fwww.webofscience.com%2Fwos%2Fwoscc%2Ffull-record%2FWOS:000293098800010","View Full Record in Web of Science")</f>
        <v>View Full Record in Web of Science</v>
      </c>
    </row>
    <row r="653" spans="1:72" x14ac:dyDescent="0.15">
      <c r="A653" t="s">
        <v>72</v>
      </c>
      <c r="B653" t="s">
        <v>11505</v>
      </c>
      <c r="C653" t="s">
        <v>74</v>
      </c>
      <c r="D653" t="s">
        <v>74</v>
      </c>
      <c r="E653" t="s">
        <v>74</v>
      </c>
      <c r="F653" t="s">
        <v>11506</v>
      </c>
      <c r="G653" t="s">
        <v>74</v>
      </c>
      <c r="H653" t="s">
        <v>74</v>
      </c>
      <c r="I653" t="s">
        <v>11507</v>
      </c>
      <c r="J653" t="s">
        <v>1333</v>
      </c>
      <c r="K653" t="s">
        <v>74</v>
      </c>
      <c r="L653" t="s">
        <v>74</v>
      </c>
      <c r="M653" t="s">
        <v>78</v>
      </c>
      <c r="N653" t="s">
        <v>79</v>
      </c>
      <c r="O653" t="s">
        <v>74</v>
      </c>
      <c r="P653" t="s">
        <v>74</v>
      </c>
      <c r="Q653" t="s">
        <v>74</v>
      </c>
      <c r="R653" t="s">
        <v>74</v>
      </c>
      <c r="S653" t="s">
        <v>74</v>
      </c>
      <c r="T653" t="s">
        <v>11508</v>
      </c>
      <c r="U653" t="s">
        <v>11509</v>
      </c>
      <c r="V653" t="s">
        <v>11510</v>
      </c>
      <c r="W653" t="s">
        <v>11511</v>
      </c>
      <c r="X653" t="s">
        <v>11512</v>
      </c>
      <c r="Y653" t="s">
        <v>11513</v>
      </c>
      <c r="Z653" t="s">
        <v>11514</v>
      </c>
      <c r="AA653" t="s">
        <v>11515</v>
      </c>
      <c r="AB653" t="s">
        <v>11516</v>
      </c>
      <c r="AC653" t="s">
        <v>11517</v>
      </c>
      <c r="AD653" t="s">
        <v>11518</v>
      </c>
      <c r="AE653" t="s">
        <v>11519</v>
      </c>
      <c r="AF653" t="s">
        <v>74</v>
      </c>
      <c r="AG653">
        <v>124</v>
      </c>
      <c r="AH653">
        <v>42</v>
      </c>
      <c r="AI653">
        <v>44</v>
      </c>
      <c r="AJ653">
        <v>0</v>
      </c>
      <c r="AK653">
        <v>15</v>
      </c>
      <c r="AL653" t="s">
        <v>639</v>
      </c>
      <c r="AM653" t="s">
        <v>640</v>
      </c>
      <c r="AN653" t="s">
        <v>641</v>
      </c>
      <c r="AO653" t="s">
        <v>1346</v>
      </c>
      <c r="AP653" t="s">
        <v>74</v>
      </c>
      <c r="AQ653" t="s">
        <v>74</v>
      </c>
      <c r="AR653" t="s">
        <v>1348</v>
      </c>
      <c r="AS653" t="s">
        <v>1349</v>
      </c>
      <c r="AT653" t="s">
        <v>5196</v>
      </c>
      <c r="AU653">
        <v>2011</v>
      </c>
      <c r="AV653">
        <v>299</v>
      </c>
      <c r="AW653" t="s">
        <v>2089</v>
      </c>
      <c r="AX653" t="s">
        <v>74</v>
      </c>
      <c r="AY653" t="s">
        <v>74</v>
      </c>
      <c r="AZ653" t="s">
        <v>74</v>
      </c>
      <c r="BA653" t="s">
        <v>74</v>
      </c>
      <c r="BB653">
        <v>363</v>
      </c>
      <c r="BC653">
        <v>384</v>
      </c>
      <c r="BD653" t="s">
        <v>74</v>
      </c>
      <c r="BE653" t="s">
        <v>11520</v>
      </c>
      <c r="BF653" t="str">
        <f>HYPERLINK("http://dx.doi.org/10.1016/j.palaeo.2010.11.017","http://dx.doi.org/10.1016/j.palaeo.2010.11.017")</f>
        <v>http://dx.doi.org/10.1016/j.palaeo.2010.11.017</v>
      </c>
      <c r="BG653" t="s">
        <v>74</v>
      </c>
      <c r="BH653" t="s">
        <v>74</v>
      </c>
      <c r="BI653">
        <v>22</v>
      </c>
      <c r="BJ653" t="s">
        <v>1352</v>
      </c>
      <c r="BK653" t="s">
        <v>100</v>
      </c>
      <c r="BL653" t="s">
        <v>1353</v>
      </c>
      <c r="BM653" t="s">
        <v>11521</v>
      </c>
      <c r="BN653" t="s">
        <v>74</v>
      </c>
      <c r="BO653" t="s">
        <v>74</v>
      </c>
      <c r="BP653" t="s">
        <v>74</v>
      </c>
      <c r="BQ653" t="s">
        <v>74</v>
      </c>
      <c r="BR653" t="s">
        <v>103</v>
      </c>
      <c r="BS653" t="s">
        <v>11522</v>
      </c>
      <c r="BT653" t="str">
        <f>HYPERLINK("https%3A%2F%2Fwww.webofscience.com%2Fwos%2Fwoscc%2Ffull-record%2FWOS:000287051700030","View Full Record in Web of Science")</f>
        <v>View Full Record in Web of Science</v>
      </c>
    </row>
    <row r="654" spans="1:72" x14ac:dyDescent="0.15">
      <c r="A654" t="s">
        <v>2017</v>
      </c>
      <c r="B654" t="s">
        <v>11523</v>
      </c>
      <c r="C654" t="s">
        <v>74</v>
      </c>
      <c r="D654" t="s">
        <v>11524</v>
      </c>
      <c r="E654" t="s">
        <v>74</v>
      </c>
      <c r="F654" t="s">
        <v>11525</v>
      </c>
      <c r="G654" t="s">
        <v>74</v>
      </c>
      <c r="H654" t="s">
        <v>74</v>
      </c>
      <c r="I654" t="s">
        <v>11526</v>
      </c>
      <c r="J654" t="s">
        <v>11527</v>
      </c>
      <c r="K654" t="s">
        <v>11528</v>
      </c>
      <c r="L654" t="s">
        <v>74</v>
      </c>
      <c r="M654" t="s">
        <v>78</v>
      </c>
      <c r="N654" t="s">
        <v>2370</v>
      </c>
      <c r="O654" t="s">
        <v>74</v>
      </c>
      <c r="P654" t="s">
        <v>74</v>
      </c>
      <c r="Q654" t="s">
        <v>74</v>
      </c>
      <c r="R654" t="s">
        <v>74</v>
      </c>
      <c r="S654" t="s">
        <v>74</v>
      </c>
      <c r="T654" t="s">
        <v>11529</v>
      </c>
      <c r="U654" t="s">
        <v>11530</v>
      </c>
      <c r="V654" t="s">
        <v>11531</v>
      </c>
      <c r="W654" t="s">
        <v>11532</v>
      </c>
      <c r="X654" t="s">
        <v>11533</v>
      </c>
      <c r="Y654" t="s">
        <v>11534</v>
      </c>
      <c r="Z654" t="s">
        <v>74</v>
      </c>
      <c r="AA654" t="s">
        <v>11535</v>
      </c>
      <c r="AB654" t="s">
        <v>11536</v>
      </c>
      <c r="AC654" t="s">
        <v>74</v>
      </c>
      <c r="AD654" t="s">
        <v>74</v>
      </c>
      <c r="AE654" t="s">
        <v>74</v>
      </c>
      <c r="AF654" t="s">
        <v>74</v>
      </c>
      <c r="AG654">
        <v>29</v>
      </c>
      <c r="AH654">
        <v>37</v>
      </c>
      <c r="AI654">
        <v>60</v>
      </c>
      <c r="AJ654">
        <v>0</v>
      </c>
      <c r="AK654">
        <v>23</v>
      </c>
      <c r="AL654" t="s">
        <v>11537</v>
      </c>
      <c r="AM654" t="s">
        <v>11538</v>
      </c>
      <c r="AN654" t="s">
        <v>11539</v>
      </c>
      <c r="AO654" t="s">
        <v>11540</v>
      </c>
      <c r="AP654" t="s">
        <v>11541</v>
      </c>
      <c r="AQ654" t="s">
        <v>11542</v>
      </c>
      <c r="AR654" t="s">
        <v>11543</v>
      </c>
      <c r="AS654" t="s">
        <v>11544</v>
      </c>
      <c r="AT654" t="s">
        <v>74</v>
      </c>
      <c r="AU654">
        <v>2011</v>
      </c>
      <c r="AV654">
        <v>687</v>
      </c>
      <c r="AW654" t="s">
        <v>74</v>
      </c>
      <c r="AX654" t="s">
        <v>74</v>
      </c>
      <c r="AY654" t="s">
        <v>74</v>
      </c>
      <c r="AZ654" t="s">
        <v>74</v>
      </c>
      <c r="BA654" t="s">
        <v>74</v>
      </c>
      <c r="BB654">
        <v>265</v>
      </c>
      <c r="BC654">
        <v>274</v>
      </c>
      <c r="BD654" t="s">
        <v>74</v>
      </c>
      <c r="BE654" t="s">
        <v>11545</v>
      </c>
      <c r="BF654" t="str">
        <f>HYPERLINK("http://dx.doi.org/10.1007/978-1-60761-944-4_19","http://dx.doi.org/10.1007/978-1-60761-944-4_19")</f>
        <v>http://dx.doi.org/10.1007/978-1-60761-944-4_19</v>
      </c>
      <c r="BG654" t="s">
        <v>11546</v>
      </c>
      <c r="BH654" t="s">
        <v>74</v>
      </c>
      <c r="BI654">
        <v>10</v>
      </c>
      <c r="BJ654" t="s">
        <v>11547</v>
      </c>
      <c r="BK654" t="s">
        <v>2384</v>
      </c>
      <c r="BL654" t="s">
        <v>11548</v>
      </c>
      <c r="BM654" t="s">
        <v>11549</v>
      </c>
      <c r="BN654">
        <v>20967615</v>
      </c>
      <c r="BO654" t="s">
        <v>74</v>
      </c>
      <c r="BP654" t="s">
        <v>74</v>
      </c>
      <c r="BQ654" t="s">
        <v>74</v>
      </c>
      <c r="BR654" t="s">
        <v>103</v>
      </c>
      <c r="BS654" t="s">
        <v>11550</v>
      </c>
      <c r="BT654" t="str">
        <f>HYPERLINK("https%3A%2F%2Fwww.webofscience.com%2Fwos%2Fwoscc%2Ffull-record%2FWOS:000283910300019","View Full Record in Web of Science")</f>
        <v>View Full Record in Web of Science</v>
      </c>
    </row>
    <row r="655" spans="1:72" x14ac:dyDescent="0.15">
      <c r="A655" t="s">
        <v>2363</v>
      </c>
      <c r="B655" t="s">
        <v>11551</v>
      </c>
      <c r="C655" t="s">
        <v>74</v>
      </c>
      <c r="D655" t="s">
        <v>11552</v>
      </c>
      <c r="E655" t="s">
        <v>74</v>
      </c>
      <c r="F655" t="s">
        <v>11553</v>
      </c>
      <c r="G655" t="s">
        <v>74</v>
      </c>
      <c r="H655" t="s">
        <v>74</v>
      </c>
      <c r="I655" t="s">
        <v>11554</v>
      </c>
      <c r="J655" t="s">
        <v>11555</v>
      </c>
      <c r="K655" t="s">
        <v>74</v>
      </c>
      <c r="L655" t="s">
        <v>74</v>
      </c>
      <c r="M655" t="s">
        <v>78</v>
      </c>
      <c r="N655" t="s">
        <v>2370</v>
      </c>
      <c r="O655" t="s">
        <v>74</v>
      </c>
      <c r="P655" t="s">
        <v>74</v>
      </c>
      <c r="Q655" t="s">
        <v>74</v>
      </c>
      <c r="R655" t="s">
        <v>74</v>
      </c>
      <c r="S655" t="s">
        <v>74</v>
      </c>
      <c r="T655" t="s">
        <v>74</v>
      </c>
      <c r="U655" t="s">
        <v>11556</v>
      </c>
      <c r="V655" t="s">
        <v>74</v>
      </c>
      <c r="W655" t="s">
        <v>11557</v>
      </c>
      <c r="X655" t="s">
        <v>11558</v>
      </c>
      <c r="Y655" t="s">
        <v>11559</v>
      </c>
      <c r="Z655" t="s">
        <v>74</v>
      </c>
      <c r="AA655" t="s">
        <v>11560</v>
      </c>
      <c r="AB655" t="s">
        <v>11561</v>
      </c>
      <c r="AC655" t="s">
        <v>74</v>
      </c>
      <c r="AD655" t="s">
        <v>74</v>
      </c>
      <c r="AE655" t="s">
        <v>74</v>
      </c>
      <c r="AF655" t="s">
        <v>74</v>
      </c>
      <c r="AG655">
        <v>107</v>
      </c>
      <c r="AH655">
        <v>0</v>
      </c>
      <c r="AI655">
        <v>0</v>
      </c>
      <c r="AJ655">
        <v>0</v>
      </c>
      <c r="AK655">
        <v>0</v>
      </c>
      <c r="AL655" t="s">
        <v>11562</v>
      </c>
      <c r="AM655" t="s">
        <v>11563</v>
      </c>
      <c r="AN655" t="s">
        <v>11564</v>
      </c>
      <c r="AO655" t="s">
        <v>74</v>
      </c>
      <c r="AP655" t="s">
        <v>74</v>
      </c>
      <c r="AQ655" t="s">
        <v>11565</v>
      </c>
      <c r="AR655" t="s">
        <v>74</v>
      </c>
      <c r="AS655" t="s">
        <v>74</v>
      </c>
      <c r="AT655" t="s">
        <v>74</v>
      </c>
      <c r="AU655">
        <v>2011</v>
      </c>
      <c r="AV655" t="s">
        <v>74</v>
      </c>
      <c r="AW655" t="s">
        <v>74</v>
      </c>
      <c r="AX655" t="s">
        <v>74</v>
      </c>
      <c r="AY655" t="s">
        <v>74</v>
      </c>
      <c r="AZ655" t="s">
        <v>74</v>
      </c>
      <c r="BA655" t="s">
        <v>74</v>
      </c>
      <c r="BB655">
        <v>453</v>
      </c>
      <c r="BC655">
        <v>476</v>
      </c>
      <c r="BD655" t="s">
        <v>74</v>
      </c>
      <c r="BE655" t="s">
        <v>74</v>
      </c>
      <c r="BF655" t="s">
        <v>74</v>
      </c>
      <c r="BG655" t="s">
        <v>11566</v>
      </c>
      <c r="BH655" t="s">
        <v>74</v>
      </c>
      <c r="BI655">
        <v>24</v>
      </c>
      <c r="BJ655" t="s">
        <v>11567</v>
      </c>
      <c r="BK655" t="s">
        <v>2384</v>
      </c>
      <c r="BL655" t="s">
        <v>11568</v>
      </c>
      <c r="BM655" t="s">
        <v>11569</v>
      </c>
      <c r="BN655" t="s">
        <v>74</v>
      </c>
      <c r="BO655" t="s">
        <v>74</v>
      </c>
      <c r="BP655" t="s">
        <v>74</v>
      </c>
      <c r="BQ655" t="s">
        <v>74</v>
      </c>
      <c r="BR655" t="s">
        <v>103</v>
      </c>
      <c r="BS655" t="s">
        <v>11570</v>
      </c>
      <c r="BT655" t="str">
        <f>HYPERLINK("https%3A%2F%2Fwww.webofscience.com%2Fwos%2Fwoscc%2Ffull-record%2FWOS:000374968900024","View Full Record in Web of Science")</f>
        <v>View Full Record in Web of Science</v>
      </c>
    </row>
    <row r="656" spans="1:72" x14ac:dyDescent="0.15">
      <c r="A656" t="s">
        <v>72</v>
      </c>
      <c r="B656" t="s">
        <v>11571</v>
      </c>
      <c r="C656" t="s">
        <v>74</v>
      </c>
      <c r="D656" t="s">
        <v>74</v>
      </c>
      <c r="E656" t="s">
        <v>74</v>
      </c>
      <c r="F656" t="s">
        <v>11572</v>
      </c>
      <c r="G656" t="s">
        <v>74</v>
      </c>
      <c r="H656" t="s">
        <v>74</v>
      </c>
      <c r="I656" t="s">
        <v>11573</v>
      </c>
      <c r="J656" t="s">
        <v>11574</v>
      </c>
      <c r="K656" t="s">
        <v>74</v>
      </c>
      <c r="L656" t="s">
        <v>74</v>
      </c>
      <c r="M656" t="s">
        <v>78</v>
      </c>
      <c r="N656" t="s">
        <v>681</v>
      </c>
      <c r="O656" t="s">
        <v>74</v>
      </c>
      <c r="P656" t="s">
        <v>74</v>
      </c>
      <c r="Q656" t="s">
        <v>74</v>
      </c>
      <c r="R656" t="s">
        <v>74</v>
      </c>
      <c r="S656" t="s">
        <v>74</v>
      </c>
      <c r="T656" t="s">
        <v>74</v>
      </c>
      <c r="U656" t="s">
        <v>11575</v>
      </c>
      <c r="V656" t="s">
        <v>11576</v>
      </c>
      <c r="W656" t="s">
        <v>11577</v>
      </c>
      <c r="X656" t="s">
        <v>11578</v>
      </c>
      <c r="Y656" t="s">
        <v>11579</v>
      </c>
      <c r="Z656" t="s">
        <v>11580</v>
      </c>
      <c r="AA656" t="s">
        <v>11581</v>
      </c>
      <c r="AB656" t="s">
        <v>11582</v>
      </c>
      <c r="AC656" t="s">
        <v>74</v>
      </c>
      <c r="AD656" t="s">
        <v>74</v>
      </c>
      <c r="AE656" t="s">
        <v>74</v>
      </c>
      <c r="AF656" t="s">
        <v>74</v>
      </c>
      <c r="AG656">
        <v>160</v>
      </c>
      <c r="AH656">
        <v>439</v>
      </c>
      <c r="AI656">
        <v>495</v>
      </c>
      <c r="AJ656">
        <v>12</v>
      </c>
      <c r="AK656">
        <v>104</v>
      </c>
      <c r="AL656" t="s">
        <v>9227</v>
      </c>
      <c r="AM656" t="s">
        <v>913</v>
      </c>
      <c r="AN656" t="s">
        <v>8389</v>
      </c>
      <c r="AO656" t="s">
        <v>11583</v>
      </c>
      <c r="AP656" t="s">
        <v>11584</v>
      </c>
      <c r="AQ656" t="s">
        <v>74</v>
      </c>
      <c r="AR656" t="s">
        <v>11585</v>
      </c>
      <c r="AS656" t="s">
        <v>11586</v>
      </c>
      <c r="AT656" t="s">
        <v>74</v>
      </c>
      <c r="AU656">
        <v>2011</v>
      </c>
      <c r="AV656">
        <v>10</v>
      </c>
      <c r="AW656">
        <v>2</v>
      </c>
      <c r="AX656" t="s">
        <v>74</v>
      </c>
      <c r="AY656" t="s">
        <v>74</v>
      </c>
      <c r="AZ656" t="s">
        <v>74</v>
      </c>
      <c r="BA656" t="s">
        <v>74</v>
      </c>
      <c r="BB656">
        <v>182</v>
      </c>
      <c r="BC656">
        <v>198</v>
      </c>
      <c r="BD656" t="s">
        <v>74</v>
      </c>
      <c r="BE656" t="s">
        <v>11587</v>
      </c>
      <c r="BF656" t="str">
        <f>HYPERLINK("http://dx.doi.org/10.1039/c0pp90034f","http://dx.doi.org/10.1039/c0pp90034f")</f>
        <v>http://dx.doi.org/10.1039/c0pp90034f</v>
      </c>
      <c r="BG656" t="s">
        <v>74</v>
      </c>
      <c r="BH656" t="s">
        <v>74</v>
      </c>
      <c r="BI656">
        <v>17</v>
      </c>
      <c r="BJ656" t="s">
        <v>11588</v>
      </c>
      <c r="BK656" t="s">
        <v>100</v>
      </c>
      <c r="BL656" t="s">
        <v>11589</v>
      </c>
      <c r="BM656" t="s">
        <v>11590</v>
      </c>
      <c r="BN656">
        <v>21253660</v>
      </c>
      <c r="BO656" t="s">
        <v>252</v>
      </c>
      <c r="BP656" t="s">
        <v>74</v>
      </c>
      <c r="BQ656" t="s">
        <v>74</v>
      </c>
      <c r="BR656" t="s">
        <v>103</v>
      </c>
      <c r="BS656" t="s">
        <v>11591</v>
      </c>
      <c r="BT656" t="str">
        <f>HYPERLINK("https%3A%2F%2Fwww.webofscience.com%2Fwos%2Fwoscc%2Ffull-record%2FWOS:000286835400001","View Full Record in Web of Science")</f>
        <v>View Full Record in Web of Science</v>
      </c>
    </row>
    <row r="657" spans="1:72" x14ac:dyDescent="0.15">
      <c r="A657" t="s">
        <v>72</v>
      </c>
      <c r="B657" t="s">
        <v>11592</v>
      </c>
      <c r="C657" t="s">
        <v>74</v>
      </c>
      <c r="D657" t="s">
        <v>74</v>
      </c>
      <c r="E657" t="s">
        <v>74</v>
      </c>
      <c r="F657" t="s">
        <v>11593</v>
      </c>
      <c r="G657" t="s">
        <v>74</v>
      </c>
      <c r="H657" t="s">
        <v>74</v>
      </c>
      <c r="I657" t="s">
        <v>11594</v>
      </c>
      <c r="J657" t="s">
        <v>11595</v>
      </c>
      <c r="K657" t="s">
        <v>74</v>
      </c>
      <c r="L657" t="s">
        <v>74</v>
      </c>
      <c r="M657" t="s">
        <v>78</v>
      </c>
      <c r="N657" t="s">
        <v>79</v>
      </c>
      <c r="O657" t="s">
        <v>74</v>
      </c>
      <c r="P657" t="s">
        <v>74</v>
      </c>
      <c r="Q657" t="s">
        <v>74</v>
      </c>
      <c r="R657" t="s">
        <v>74</v>
      </c>
      <c r="S657" t="s">
        <v>74</v>
      </c>
      <c r="T657" t="s">
        <v>11596</v>
      </c>
      <c r="U657" t="s">
        <v>11597</v>
      </c>
      <c r="V657" t="s">
        <v>11598</v>
      </c>
      <c r="W657" t="s">
        <v>11599</v>
      </c>
      <c r="X657" t="s">
        <v>11600</v>
      </c>
      <c r="Y657" t="s">
        <v>11601</v>
      </c>
      <c r="Z657" t="s">
        <v>11602</v>
      </c>
      <c r="AA657" t="s">
        <v>11603</v>
      </c>
      <c r="AB657" t="s">
        <v>11604</v>
      </c>
      <c r="AC657" t="s">
        <v>74</v>
      </c>
      <c r="AD657" t="s">
        <v>74</v>
      </c>
      <c r="AE657" t="s">
        <v>74</v>
      </c>
      <c r="AF657" t="s">
        <v>74</v>
      </c>
      <c r="AG657">
        <v>21</v>
      </c>
      <c r="AH657">
        <v>10</v>
      </c>
      <c r="AI657">
        <v>12</v>
      </c>
      <c r="AJ657">
        <v>1</v>
      </c>
      <c r="AK657">
        <v>20</v>
      </c>
      <c r="AL657" t="s">
        <v>11605</v>
      </c>
      <c r="AM657" t="s">
        <v>4776</v>
      </c>
      <c r="AN657" t="s">
        <v>11606</v>
      </c>
      <c r="AO657" t="s">
        <v>11607</v>
      </c>
      <c r="AP657" t="s">
        <v>11608</v>
      </c>
      <c r="AQ657" t="s">
        <v>74</v>
      </c>
      <c r="AR657" t="s">
        <v>11609</v>
      </c>
      <c r="AS657" t="s">
        <v>11610</v>
      </c>
      <c r="AT657" t="s">
        <v>74</v>
      </c>
      <c r="AU657">
        <v>2011</v>
      </c>
      <c r="AV657" t="s">
        <v>74</v>
      </c>
      <c r="AW657">
        <v>6</v>
      </c>
      <c r="AX657" t="s">
        <v>74</v>
      </c>
      <c r="AY657" t="s">
        <v>74</v>
      </c>
      <c r="AZ657" t="s">
        <v>74</v>
      </c>
      <c r="BA657" t="s">
        <v>74</v>
      </c>
      <c r="BB657">
        <v>421</v>
      </c>
      <c r="BC657">
        <v>434</v>
      </c>
      <c r="BD657" t="s">
        <v>74</v>
      </c>
      <c r="BE657" t="s">
        <v>11611</v>
      </c>
      <c r="BF657" t="str">
        <f>HYPERLINK("http://dx.doi.org/10.1127/1432-8364/2011/0095","http://dx.doi.org/10.1127/1432-8364/2011/0095")</f>
        <v>http://dx.doi.org/10.1127/1432-8364/2011/0095</v>
      </c>
      <c r="BG657" t="s">
        <v>74</v>
      </c>
      <c r="BH657" t="s">
        <v>74</v>
      </c>
      <c r="BI657">
        <v>14</v>
      </c>
      <c r="BJ657" t="s">
        <v>3866</v>
      </c>
      <c r="BK657" t="s">
        <v>100</v>
      </c>
      <c r="BL657" t="s">
        <v>3866</v>
      </c>
      <c r="BM657" t="s">
        <v>11612</v>
      </c>
      <c r="BN657" t="s">
        <v>74</v>
      </c>
      <c r="BO657" t="s">
        <v>74</v>
      </c>
      <c r="BP657" t="s">
        <v>74</v>
      </c>
      <c r="BQ657" t="s">
        <v>74</v>
      </c>
      <c r="BR657" t="s">
        <v>103</v>
      </c>
      <c r="BS657" t="s">
        <v>11613</v>
      </c>
      <c r="BT657" t="str">
        <f>HYPERLINK("https%3A%2F%2Fwww.webofscience.com%2Fwos%2Fwoscc%2Ffull-record%2FWOS:000298272700002","View Full Record in Web of Science")</f>
        <v>View Full Record in Web of Science</v>
      </c>
    </row>
    <row r="658" spans="1:72" x14ac:dyDescent="0.15">
      <c r="A658" t="s">
        <v>2017</v>
      </c>
      <c r="B658" t="s">
        <v>11614</v>
      </c>
      <c r="C658" t="s">
        <v>74</v>
      </c>
      <c r="D658" t="s">
        <v>11615</v>
      </c>
      <c r="E658" t="s">
        <v>74</v>
      </c>
      <c r="F658" t="s">
        <v>11616</v>
      </c>
      <c r="G658" t="s">
        <v>74</v>
      </c>
      <c r="H658" t="s">
        <v>74</v>
      </c>
      <c r="I658" t="s">
        <v>11617</v>
      </c>
      <c r="J658" t="s">
        <v>11618</v>
      </c>
      <c r="K658" t="s">
        <v>11619</v>
      </c>
      <c r="L658" t="s">
        <v>74</v>
      </c>
      <c r="M658" t="s">
        <v>78</v>
      </c>
      <c r="N658" t="s">
        <v>2370</v>
      </c>
      <c r="O658" t="s">
        <v>74</v>
      </c>
      <c r="P658" t="s">
        <v>74</v>
      </c>
      <c r="Q658" t="s">
        <v>74</v>
      </c>
      <c r="R658" t="s">
        <v>74</v>
      </c>
      <c r="S658" t="s">
        <v>74</v>
      </c>
      <c r="T658" t="s">
        <v>74</v>
      </c>
      <c r="U658" t="s">
        <v>11620</v>
      </c>
      <c r="V658" t="s">
        <v>11621</v>
      </c>
      <c r="W658" t="s">
        <v>11622</v>
      </c>
      <c r="X658" t="s">
        <v>11623</v>
      </c>
      <c r="Y658" t="s">
        <v>11624</v>
      </c>
      <c r="Z658" t="s">
        <v>11625</v>
      </c>
      <c r="AA658" t="s">
        <v>11626</v>
      </c>
      <c r="AB658" t="s">
        <v>11627</v>
      </c>
      <c r="AC658" t="s">
        <v>74</v>
      </c>
      <c r="AD658" t="s">
        <v>74</v>
      </c>
      <c r="AE658" t="s">
        <v>74</v>
      </c>
      <c r="AF658" t="s">
        <v>74</v>
      </c>
      <c r="AG658">
        <v>142</v>
      </c>
      <c r="AH658">
        <v>4</v>
      </c>
      <c r="AI658">
        <v>7</v>
      </c>
      <c r="AJ658">
        <v>0</v>
      </c>
      <c r="AK658">
        <v>4</v>
      </c>
      <c r="AL658" t="s">
        <v>7140</v>
      </c>
      <c r="AM658" t="s">
        <v>7141</v>
      </c>
      <c r="AN658" t="s">
        <v>7142</v>
      </c>
      <c r="AO658" t="s">
        <v>11628</v>
      </c>
      <c r="AP658" t="s">
        <v>74</v>
      </c>
      <c r="AQ658" t="s">
        <v>11629</v>
      </c>
      <c r="AR658" t="s">
        <v>11630</v>
      </c>
      <c r="AS658" t="s">
        <v>11631</v>
      </c>
      <c r="AT658" t="s">
        <v>74</v>
      </c>
      <c r="AU658">
        <v>2011</v>
      </c>
      <c r="AV658">
        <v>19</v>
      </c>
      <c r="AW658" t="s">
        <v>74</v>
      </c>
      <c r="AX658" t="s">
        <v>74</v>
      </c>
      <c r="AY658" t="s">
        <v>74</v>
      </c>
      <c r="AZ658" t="s">
        <v>74</v>
      </c>
      <c r="BA658" t="s">
        <v>74</v>
      </c>
      <c r="BB658">
        <v>3</v>
      </c>
      <c r="BC658">
        <v>30</v>
      </c>
      <c r="BD658" t="s">
        <v>74</v>
      </c>
      <c r="BE658" t="s">
        <v>74</v>
      </c>
      <c r="BF658" t="s">
        <v>74</v>
      </c>
      <c r="BG658" t="s">
        <v>74</v>
      </c>
      <c r="BH658" t="s">
        <v>74</v>
      </c>
      <c r="BI658">
        <v>28</v>
      </c>
      <c r="BJ658" t="s">
        <v>1049</v>
      </c>
      <c r="BK658" t="s">
        <v>2384</v>
      </c>
      <c r="BL658" t="s">
        <v>1049</v>
      </c>
      <c r="BM658" t="s">
        <v>11632</v>
      </c>
      <c r="BN658" t="s">
        <v>74</v>
      </c>
      <c r="BO658" t="s">
        <v>74</v>
      </c>
      <c r="BP658" t="s">
        <v>74</v>
      </c>
      <c r="BQ658" t="s">
        <v>74</v>
      </c>
      <c r="BR658" t="s">
        <v>103</v>
      </c>
      <c r="BS658" t="s">
        <v>11633</v>
      </c>
      <c r="BT658" t="str">
        <f>HYPERLINK("https%3A%2F%2Fwww.webofscience.com%2Fwos%2Fwoscc%2Ffull-record%2FWOS:000356370700002","View Full Record in Web of Science")</f>
        <v>View Full Record in Web of Science</v>
      </c>
    </row>
    <row r="659" spans="1:72" x14ac:dyDescent="0.15">
      <c r="A659" t="s">
        <v>72</v>
      </c>
      <c r="B659" t="s">
        <v>11634</v>
      </c>
      <c r="C659" t="s">
        <v>74</v>
      </c>
      <c r="D659" t="s">
        <v>74</v>
      </c>
      <c r="E659" t="s">
        <v>74</v>
      </c>
      <c r="F659" t="s">
        <v>11635</v>
      </c>
      <c r="G659" t="s">
        <v>74</v>
      </c>
      <c r="H659" t="s">
        <v>74</v>
      </c>
      <c r="I659" t="s">
        <v>11636</v>
      </c>
      <c r="J659" t="s">
        <v>1359</v>
      </c>
      <c r="K659" t="s">
        <v>74</v>
      </c>
      <c r="L659" t="s">
        <v>74</v>
      </c>
      <c r="M659" t="s">
        <v>78</v>
      </c>
      <c r="N659" t="s">
        <v>79</v>
      </c>
      <c r="O659" t="s">
        <v>74</v>
      </c>
      <c r="P659" t="s">
        <v>74</v>
      </c>
      <c r="Q659" t="s">
        <v>74</v>
      </c>
      <c r="R659" t="s">
        <v>74</v>
      </c>
      <c r="S659" t="s">
        <v>74</v>
      </c>
      <c r="T659" t="s">
        <v>11637</v>
      </c>
      <c r="U659" t="s">
        <v>11638</v>
      </c>
      <c r="V659" t="s">
        <v>11639</v>
      </c>
      <c r="W659" t="s">
        <v>11640</v>
      </c>
      <c r="X659" t="s">
        <v>11641</v>
      </c>
      <c r="Y659" t="s">
        <v>11642</v>
      </c>
      <c r="Z659" t="s">
        <v>11643</v>
      </c>
      <c r="AA659" t="s">
        <v>11644</v>
      </c>
      <c r="AB659" t="s">
        <v>11645</v>
      </c>
      <c r="AC659" t="s">
        <v>11646</v>
      </c>
      <c r="AD659" t="s">
        <v>11647</v>
      </c>
      <c r="AE659" t="s">
        <v>11648</v>
      </c>
      <c r="AF659" t="s">
        <v>74</v>
      </c>
      <c r="AG659">
        <v>98</v>
      </c>
      <c r="AH659">
        <v>30</v>
      </c>
      <c r="AI659">
        <v>32</v>
      </c>
      <c r="AJ659">
        <v>1</v>
      </c>
      <c r="AK659">
        <v>36</v>
      </c>
      <c r="AL659" t="s">
        <v>270</v>
      </c>
      <c r="AM659" t="s">
        <v>91</v>
      </c>
      <c r="AN659" t="s">
        <v>320</v>
      </c>
      <c r="AO659" t="s">
        <v>1372</v>
      </c>
      <c r="AP659" t="s">
        <v>1373</v>
      </c>
      <c r="AQ659" t="s">
        <v>74</v>
      </c>
      <c r="AR659" t="s">
        <v>1374</v>
      </c>
      <c r="AS659" t="s">
        <v>1375</v>
      </c>
      <c r="AT659" t="s">
        <v>3935</v>
      </c>
      <c r="AU659">
        <v>2011</v>
      </c>
      <c r="AV659">
        <v>34</v>
      </c>
      <c r="AW659">
        <v>1</v>
      </c>
      <c r="AX659" t="s">
        <v>74</v>
      </c>
      <c r="AY659" t="s">
        <v>74</v>
      </c>
      <c r="AZ659" t="s">
        <v>74</v>
      </c>
      <c r="BA659" t="s">
        <v>74</v>
      </c>
      <c r="BB659">
        <v>49</v>
      </c>
      <c r="BC659">
        <v>67</v>
      </c>
      <c r="BD659" t="s">
        <v>74</v>
      </c>
      <c r="BE659" t="s">
        <v>11649</v>
      </c>
      <c r="BF659" t="str">
        <f>HYPERLINK("http://dx.doi.org/10.1007/s00300-010-0858-0","http://dx.doi.org/10.1007/s00300-010-0858-0")</f>
        <v>http://dx.doi.org/10.1007/s00300-010-0858-0</v>
      </c>
      <c r="BG659" t="s">
        <v>74</v>
      </c>
      <c r="BH659" t="s">
        <v>74</v>
      </c>
      <c r="BI659">
        <v>19</v>
      </c>
      <c r="BJ659" t="s">
        <v>943</v>
      </c>
      <c r="BK659" t="s">
        <v>100</v>
      </c>
      <c r="BL659" t="s">
        <v>870</v>
      </c>
      <c r="BM659" t="s">
        <v>5036</v>
      </c>
      <c r="BN659" t="s">
        <v>74</v>
      </c>
      <c r="BO659" t="s">
        <v>74</v>
      </c>
      <c r="BP659" t="s">
        <v>74</v>
      </c>
      <c r="BQ659" t="s">
        <v>74</v>
      </c>
      <c r="BR659" t="s">
        <v>103</v>
      </c>
      <c r="BS659" t="s">
        <v>11650</v>
      </c>
      <c r="BT659" t="str">
        <f>HYPERLINK("https%3A%2F%2Fwww.webofscience.com%2Fwos%2Fwoscc%2Ffull-record%2FWOS:000286471600006","View Full Record in Web of Science")</f>
        <v>View Full Record in Web of Science</v>
      </c>
    </row>
    <row r="660" spans="1:72" x14ac:dyDescent="0.15">
      <c r="A660" t="s">
        <v>72</v>
      </c>
      <c r="B660" t="s">
        <v>11651</v>
      </c>
      <c r="C660" t="s">
        <v>74</v>
      </c>
      <c r="D660" t="s">
        <v>74</v>
      </c>
      <c r="E660" t="s">
        <v>74</v>
      </c>
      <c r="F660" t="s">
        <v>11652</v>
      </c>
      <c r="G660" t="s">
        <v>74</v>
      </c>
      <c r="H660" t="s">
        <v>74</v>
      </c>
      <c r="I660" t="s">
        <v>11653</v>
      </c>
      <c r="J660" t="s">
        <v>1359</v>
      </c>
      <c r="K660" t="s">
        <v>74</v>
      </c>
      <c r="L660" t="s">
        <v>74</v>
      </c>
      <c r="M660" t="s">
        <v>78</v>
      </c>
      <c r="N660" t="s">
        <v>79</v>
      </c>
      <c r="O660" t="s">
        <v>74</v>
      </c>
      <c r="P660" t="s">
        <v>74</v>
      </c>
      <c r="Q660" t="s">
        <v>74</v>
      </c>
      <c r="R660" t="s">
        <v>74</v>
      </c>
      <c r="S660" t="s">
        <v>74</v>
      </c>
      <c r="T660" t="s">
        <v>11654</v>
      </c>
      <c r="U660" t="s">
        <v>11655</v>
      </c>
      <c r="V660" t="s">
        <v>11656</v>
      </c>
      <c r="W660" t="s">
        <v>11657</v>
      </c>
      <c r="X660" t="s">
        <v>11658</v>
      </c>
      <c r="Y660" t="s">
        <v>11659</v>
      </c>
      <c r="Z660" t="s">
        <v>11660</v>
      </c>
      <c r="AA660" t="s">
        <v>11661</v>
      </c>
      <c r="AB660" t="s">
        <v>11662</v>
      </c>
      <c r="AC660" t="s">
        <v>74</v>
      </c>
      <c r="AD660" t="s">
        <v>74</v>
      </c>
      <c r="AE660" t="s">
        <v>74</v>
      </c>
      <c r="AF660" t="s">
        <v>74</v>
      </c>
      <c r="AG660">
        <v>31</v>
      </c>
      <c r="AH660">
        <v>16</v>
      </c>
      <c r="AI660">
        <v>16</v>
      </c>
      <c r="AJ660">
        <v>0</v>
      </c>
      <c r="AK660">
        <v>34</v>
      </c>
      <c r="AL660" t="s">
        <v>270</v>
      </c>
      <c r="AM660" t="s">
        <v>91</v>
      </c>
      <c r="AN660" t="s">
        <v>320</v>
      </c>
      <c r="AO660" t="s">
        <v>1372</v>
      </c>
      <c r="AP660" t="s">
        <v>74</v>
      </c>
      <c r="AQ660" t="s">
        <v>74</v>
      </c>
      <c r="AR660" t="s">
        <v>1374</v>
      </c>
      <c r="AS660" t="s">
        <v>1375</v>
      </c>
      <c r="AT660" t="s">
        <v>3935</v>
      </c>
      <c r="AU660">
        <v>2011</v>
      </c>
      <c r="AV660">
        <v>34</v>
      </c>
      <c r="AW660">
        <v>1</v>
      </c>
      <c r="AX660" t="s">
        <v>74</v>
      </c>
      <c r="AY660" t="s">
        <v>74</v>
      </c>
      <c r="AZ660" t="s">
        <v>74</v>
      </c>
      <c r="BA660" t="s">
        <v>74</v>
      </c>
      <c r="BB660">
        <v>119</v>
      </c>
      <c r="BC660">
        <v>125</v>
      </c>
      <c r="BD660" t="s">
        <v>74</v>
      </c>
      <c r="BE660" t="s">
        <v>11663</v>
      </c>
      <c r="BF660" t="str">
        <f>HYPERLINK("http://dx.doi.org/10.1007/s00300-010-0865-1","http://dx.doi.org/10.1007/s00300-010-0865-1")</f>
        <v>http://dx.doi.org/10.1007/s00300-010-0865-1</v>
      </c>
      <c r="BG660" t="s">
        <v>74</v>
      </c>
      <c r="BH660" t="s">
        <v>74</v>
      </c>
      <c r="BI660">
        <v>7</v>
      </c>
      <c r="BJ660" t="s">
        <v>943</v>
      </c>
      <c r="BK660" t="s">
        <v>100</v>
      </c>
      <c r="BL660" t="s">
        <v>870</v>
      </c>
      <c r="BM660" t="s">
        <v>5036</v>
      </c>
      <c r="BN660" t="s">
        <v>74</v>
      </c>
      <c r="BO660" t="s">
        <v>74</v>
      </c>
      <c r="BP660" t="s">
        <v>74</v>
      </c>
      <c r="BQ660" t="s">
        <v>74</v>
      </c>
      <c r="BR660" t="s">
        <v>103</v>
      </c>
      <c r="BS660" t="s">
        <v>11664</v>
      </c>
      <c r="BT660" t="str">
        <f>HYPERLINK("https%3A%2F%2Fwww.webofscience.com%2Fwos%2Fwoscc%2Ffull-record%2FWOS:000286471600012","View Full Record in Web of Science")</f>
        <v>View Full Record in Web of Science</v>
      </c>
    </row>
    <row r="661" spans="1:72" x14ac:dyDescent="0.15">
      <c r="A661" t="s">
        <v>72</v>
      </c>
      <c r="B661" t="s">
        <v>11665</v>
      </c>
      <c r="C661" t="s">
        <v>74</v>
      </c>
      <c r="D661" t="s">
        <v>74</v>
      </c>
      <c r="E661" t="s">
        <v>74</v>
      </c>
      <c r="F661" t="s">
        <v>11666</v>
      </c>
      <c r="G661" t="s">
        <v>74</v>
      </c>
      <c r="H661" t="s">
        <v>74</v>
      </c>
      <c r="I661" t="s">
        <v>11667</v>
      </c>
      <c r="J661" t="s">
        <v>1359</v>
      </c>
      <c r="K661" t="s">
        <v>74</v>
      </c>
      <c r="L661" t="s">
        <v>74</v>
      </c>
      <c r="M661" t="s">
        <v>78</v>
      </c>
      <c r="N661" t="s">
        <v>79</v>
      </c>
      <c r="O661" t="s">
        <v>74</v>
      </c>
      <c r="P661" t="s">
        <v>74</v>
      </c>
      <c r="Q661" t="s">
        <v>74</v>
      </c>
      <c r="R661" t="s">
        <v>74</v>
      </c>
      <c r="S661" t="s">
        <v>74</v>
      </c>
      <c r="T661" t="s">
        <v>11668</v>
      </c>
      <c r="U661" t="s">
        <v>11669</v>
      </c>
      <c r="V661" t="s">
        <v>11670</v>
      </c>
      <c r="W661" t="s">
        <v>11671</v>
      </c>
      <c r="X661" t="s">
        <v>11672</v>
      </c>
      <c r="Y661" t="s">
        <v>11673</v>
      </c>
      <c r="Z661" t="s">
        <v>11674</v>
      </c>
      <c r="AA661" t="s">
        <v>74</v>
      </c>
      <c r="AB661" t="s">
        <v>74</v>
      </c>
      <c r="AC661" t="s">
        <v>11675</v>
      </c>
      <c r="AD661" t="s">
        <v>11676</v>
      </c>
      <c r="AE661" t="s">
        <v>11677</v>
      </c>
      <c r="AF661" t="s">
        <v>74</v>
      </c>
      <c r="AG661">
        <v>12</v>
      </c>
      <c r="AH661">
        <v>25</v>
      </c>
      <c r="AI661">
        <v>28</v>
      </c>
      <c r="AJ661">
        <v>1</v>
      </c>
      <c r="AK661">
        <v>22</v>
      </c>
      <c r="AL661" t="s">
        <v>270</v>
      </c>
      <c r="AM661" t="s">
        <v>91</v>
      </c>
      <c r="AN661" t="s">
        <v>320</v>
      </c>
      <c r="AO661" t="s">
        <v>1372</v>
      </c>
      <c r="AP661" t="s">
        <v>1373</v>
      </c>
      <c r="AQ661" t="s">
        <v>74</v>
      </c>
      <c r="AR661" t="s">
        <v>1374</v>
      </c>
      <c r="AS661" t="s">
        <v>1375</v>
      </c>
      <c r="AT661" t="s">
        <v>3935</v>
      </c>
      <c r="AU661">
        <v>2011</v>
      </c>
      <c r="AV661">
        <v>34</v>
      </c>
      <c r="AW661">
        <v>1</v>
      </c>
      <c r="AX661" t="s">
        <v>74</v>
      </c>
      <c r="AY661" t="s">
        <v>74</v>
      </c>
      <c r="AZ661" t="s">
        <v>74</v>
      </c>
      <c r="BA661" t="s">
        <v>74</v>
      </c>
      <c r="BB661">
        <v>139</v>
      </c>
      <c r="BC661">
        <v>143</v>
      </c>
      <c r="BD661" t="s">
        <v>74</v>
      </c>
      <c r="BE661" t="s">
        <v>11678</v>
      </c>
      <c r="BF661" t="str">
        <f>HYPERLINK("http://dx.doi.org/10.1007/s00300-010-0854-4","http://dx.doi.org/10.1007/s00300-010-0854-4")</f>
        <v>http://dx.doi.org/10.1007/s00300-010-0854-4</v>
      </c>
      <c r="BG661" t="s">
        <v>74</v>
      </c>
      <c r="BH661" t="s">
        <v>74</v>
      </c>
      <c r="BI661">
        <v>5</v>
      </c>
      <c r="BJ661" t="s">
        <v>943</v>
      </c>
      <c r="BK661" t="s">
        <v>100</v>
      </c>
      <c r="BL661" t="s">
        <v>870</v>
      </c>
      <c r="BM661" t="s">
        <v>5036</v>
      </c>
      <c r="BN661" t="s">
        <v>74</v>
      </c>
      <c r="BO661" t="s">
        <v>74</v>
      </c>
      <c r="BP661" t="s">
        <v>74</v>
      </c>
      <c r="BQ661" t="s">
        <v>74</v>
      </c>
      <c r="BR661" t="s">
        <v>103</v>
      </c>
      <c r="BS661" t="s">
        <v>11679</v>
      </c>
      <c r="BT661" t="str">
        <f>HYPERLINK("https%3A%2F%2Fwww.webofscience.com%2Fwos%2Fwoscc%2Ffull-record%2FWOS:000286471600014","View Full Record in Web of Science")</f>
        <v>View Full Record in Web of Science</v>
      </c>
    </row>
    <row r="662" spans="1:72" x14ac:dyDescent="0.15">
      <c r="A662" t="s">
        <v>72</v>
      </c>
      <c r="B662" t="s">
        <v>11680</v>
      </c>
      <c r="C662" t="s">
        <v>74</v>
      </c>
      <c r="D662" t="s">
        <v>74</v>
      </c>
      <c r="E662" t="s">
        <v>74</v>
      </c>
      <c r="F662" t="s">
        <v>11681</v>
      </c>
      <c r="G662" t="s">
        <v>74</v>
      </c>
      <c r="H662" t="s">
        <v>74</v>
      </c>
      <c r="I662" t="s">
        <v>11682</v>
      </c>
      <c r="J662" t="s">
        <v>11683</v>
      </c>
      <c r="K662" t="s">
        <v>74</v>
      </c>
      <c r="L662" t="s">
        <v>74</v>
      </c>
      <c r="M662" t="s">
        <v>78</v>
      </c>
      <c r="N662" t="s">
        <v>79</v>
      </c>
      <c r="O662" t="s">
        <v>74</v>
      </c>
      <c r="P662" t="s">
        <v>74</v>
      </c>
      <c r="Q662" t="s">
        <v>74</v>
      </c>
      <c r="R662" t="s">
        <v>74</v>
      </c>
      <c r="S662" t="s">
        <v>74</v>
      </c>
      <c r="T662" t="s">
        <v>74</v>
      </c>
      <c r="U662" t="s">
        <v>74</v>
      </c>
      <c r="V662" t="s">
        <v>11684</v>
      </c>
      <c r="W662" t="s">
        <v>3371</v>
      </c>
      <c r="X662" t="s">
        <v>405</v>
      </c>
      <c r="Y662" t="s">
        <v>11685</v>
      </c>
      <c r="Z662" t="s">
        <v>11686</v>
      </c>
      <c r="AA662" t="s">
        <v>74</v>
      </c>
      <c r="AB662" t="s">
        <v>74</v>
      </c>
      <c r="AC662" t="s">
        <v>74</v>
      </c>
      <c r="AD662" t="s">
        <v>74</v>
      </c>
      <c r="AE662" t="s">
        <v>74</v>
      </c>
      <c r="AF662" t="s">
        <v>74</v>
      </c>
      <c r="AG662">
        <v>29</v>
      </c>
      <c r="AH662">
        <v>8</v>
      </c>
      <c r="AI662">
        <v>9</v>
      </c>
      <c r="AJ662">
        <v>0</v>
      </c>
      <c r="AK662">
        <v>2</v>
      </c>
      <c r="AL662" t="s">
        <v>90</v>
      </c>
      <c r="AM662" t="s">
        <v>91</v>
      </c>
      <c r="AN662" t="s">
        <v>92</v>
      </c>
      <c r="AO662" t="s">
        <v>11687</v>
      </c>
      <c r="AP662" t="s">
        <v>74</v>
      </c>
      <c r="AQ662" t="s">
        <v>74</v>
      </c>
      <c r="AR662" t="s">
        <v>11688</v>
      </c>
      <c r="AS662" t="s">
        <v>11689</v>
      </c>
      <c r="AT662" t="s">
        <v>3935</v>
      </c>
      <c r="AU662">
        <v>2011</v>
      </c>
      <c r="AV662">
        <v>47</v>
      </c>
      <c r="AW662">
        <v>240</v>
      </c>
      <c r="AX662" t="s">
        <v>74</v>
      </c>
      <c r="AY662" t="s">
        <v>74</v>
      </c>
      <c r="AZ662" t="s">
        <v>74</v>
      </c>
      <c r="BA662" t="s">
        <v>74</v>
      </c>
      <c r="BB662">
        <v>21</v>
      </c>
      <c r="BC662">
        <v>28</v>
      </c>
      <c r="BD662" t="s">
        <v>74</v>
      </c>
      <c r="BE662" t="s">
        <v>11690</v>
      </c>
      <c r="BF662" t="str">
        <f>HYPERLINK("http://dx.doi.org/10.1017/S003224740999043X","http://dx.doi.org/10.1017/S003224740999043X")</f>
        <v>http://dx.doi.org/10.1017/S003224740999043X</v>
      </c>
      <c r="BG662" t="s">
        <v>74</v>
      </c>
      <c r="BH662" t="s">
        <v>74</v>
      </c>
      <c r="BI662">
        <v>8</v>
      </c>
      <c r="BJ662" t="s">
        <v>11691</v>
      </c>
      <c r="BK662" t="s">
        <v>100</v>
      </c>
      <c r="BL662" t="s">
        <v>822</v>
      </c>
      <c r="BM662" t="s">
        <v>11692</v>
      </c>
      <c r="BN662" t="s">
        <v>74</v>
      </c>
      <c r="BO662" t="s">
        <v>74</v>
      </c>
      <c r="BP662" t="s">
        <v>74</v>
      </c>
      <c r="BQ662" t="s">
        <v>74</v>
      </c>
      <c r="BR662" t="s">
        <v>103</v>
      </c>
      <c r="BS662" t="s">
        <v>11693</v>
      </c>
      <c r="BT662" t="str">
        <f>HYPERLINK("https%3A%2F%2Fwww.webofscience.com%2Fwos%2Fwoscc%2Ffull-record%2FWOS:000284712500002","View Full Record in Web of Science")</f>
        <v>View Full Record in Web of Science</v>
      </c>
    </row>
    <row r="663" spans="1:72" x14ac:dyDescent="0.15">
      <c r="A663" t="s">
        <v>72</v>
      </c>
      <c r="B663" t="s">
        <v>11694</v>
      </c>
      <c r="C663" t="s">
        <v>74</v>
      </c>
      <c r="D663" t="s">
        <v>74</v>
      </c>
      <c r="E663" t="s">
        <v>74</v>
      </c>
      <c r="F663" t="s">
        <v>11695</v>
      </c>
      <c r="G663" t="s">
        <v>74</v>
      </c>
      <c r="H663" t="s">
        <v>74</v>
      </c>
      <c r="I663" t="s">
        <v>11696</v>
      </c>
      <c r="J663" t="s">
        <v>11683</v>
      </c>
      <c r="K663" t="s">
        <v>74</v>
      </c>
      <c r="L663" t="s">
        <v>74</v>
      </c>
      <c r="M663" t="s">
        <v>78</v>
      </c>
      <c r="N663" t="s">
        <v>79</v>
      </c>
      <c r="O663" t="s">
        <v>74</v>
      </c>
      <c r="P663" t="s">
        <v>74</v>
      </c>
      <c r="Q663" t="s">
        <v>74</v>
      </c>
      <c r="R663" t="s">
        <v>74</v>
      </c>
      <c r="S663" t="s">
        <v>74</v>
      </c>
      <c r="T663" t="s">
        <v>74</v>
      </c>
      <c r="U663" t="s">
        <v>11697</v>
      </c>
      <c r="V663" t="s">
        <v>11698</v>
      </c>
      <c r="W663" t="s">
        <v>11699</v>
      </c>
      <c r="X663" t="s">
        <v>74</v>
      </c>
      <c r="Y663" t="s">
        <v>11700</v>
      </c>
      <c r="Z663" t="s">
        <v>11701</v>
      </c>
      <c r="AA663" t="s">
        <v>74</v>
      </c>
      <c r="AB663" t="s">
        <v>74</v>
      </c>
      <c r="AC663" t="s">
        <v>74</v>
      </c>
      <c r="AD663" t="s">
        <v>74</v>
      </c>
      <c r="AE663" t="s">
        <v>74</v>
      </c>
      <c r="AF663" t="s">
        <v>74</v>
      </c>
      <c r="AG663">
        <v>37</v>
      </c>
      <c r="AH663">
        <v>18</v>
      </c>
      <c r="AI663">
        <v>19</v>
      </c>
      <c r="AJ663">
        <v>0</v>
      </c>
      <c r="AK663">
        <v>19</v>
      </c>
      <c r="AL663" t="s">
        <v>90</v>
      </c>
      <c r="AM663" t="s">
        <v>91</v>
      </c>
      <c r="AN663" t="s">
        <v>92</v>
      </c>
      <c r="AO663" t="s">
        <v>11687</v>
      </c>
      <c r="AP663" t="s">
        <v>11702</v>
      </c>
      <c r="AQ663" t="s">
        <v>74</v>
      </c>
      <c r="AR663" t="s">
        <v>11688</v>
      </c>
      <c r="AS663" t="s">
        <v>11689</v>
      </c>
      <c r="AT663" t="s">
        <v>3935</v>
      </c>
      <c r="AU663">
        <v>2011</v>
      </c>
      <c r="AV663">
        <v>47</v>
      </c>
      <c r="AW663">
        <v>240</v>
      </c>
      <c r="AX663" t="s">
        <v>74</v>
      </c>
      <c r="AY663" t="s">
        <v>74</v>
      </c>
      <c r="AZ663" t="s">
        <v>74</v>
      </c>
      <c r="BA663" t="s">
        <v>74</v>
      </c>
      <c r="BB663">
        <v>46</v>
      </c>
      <c r="BC663">
        <v>55</v>
      </c>
      <c r="BD663" t="s">
        <v>74</v>
      </c>
      <c r="BE663" t="s">
        <v>11703</v>
      </c>
      <c r="BF663" t="str">
        <f>HYPERLINK("http://dx.doi.org/10.1017/S0032247410000045","http://dx.doi.org/10.1017/S0032247410000045")</f>
        <v>http://dx.doi.org/10.1017/S0032247410000045</v>
      </c>
      <c r="BG663" t="s">
        <v>74</v>
      </c>
      <c r="BH663" t="s">
        <v>74</v>
      </c>
      <c r="BI663">
        <v>10</v>
      </c>
      <c r="BJ663" t="s">
        <v>11691</v>
      </c>
      <c r="BK663" t="s">
        <v>100</v>
      </c>
      <c r="BL663" t="s">
        <v>822</v>
      </c>
      <c r="BM663" t="s">
        <v>11692</v>
      </c>
      <c r="BN663" t="s">
        <v>74</v>
      </c>
      <c r="BO663" t="s">
        <v>74</v>
      </c>
      <c r="BP663" t="s">
        <v>74</v>
      </c>
      <c r="BQ663" t="s">
        <v>74</v>
      </c>
      <c r="BR663" t="s">
        <v>103</v>
      </c>
      <c r="BS663" t="s">
        <v>11704</v>
      </c>
      <c r="BT663" t="str">
        <f>HYPERLINK("https%3A%2F%2Fwww.webofscience.com%2Fwos%2Fwoscc%2Ffull-record%2FWOS:000284712500005","View Full Record in Web of Science")</f>
        <v>View Full Record in Web of Science</v>
      </c>
    </row>
    <row r="664" spans="1:72" x14ac:dyDescent="0.15">
      <c r="A664" t="s">
        <v>72</v>
      </c>
      <c r="B664" t="s">
        <v>11705</v>
      </c>
      <c r="C664" t="s">
        <v>74</v>
      </c>
      <c r="D664" t="s">
        <v>74</v>
      </c>
      <c r="E664" t="s">
        <v>74</v>
      </c>
      <c r="F664" t="s">
        <v>11706</v>
      </c>
      <c r="G664" t="s">
        <v>74</v>
      </c>
      <c r="H664" t="s">
        <v>74</v>
      </c>
      <c r="I664" t="s">
        <v>11707</v>
      </c>
      <c r="J664" t="s">
        <v>11683</v>
      </c>
      <c r="K664" t="s">
        <v>74</v>
      </c>
      <c r="L664" t="s">
        <v>74</v>
      </c>
      <c r="M664" t="s">
        <v>78</v>
      </c>
      <c r="N664" t="s">
        <v>79</v>
      </c>
      <c r="O664" t="s">
        <v>74</v>
      </c>
      <c r="P664" t="s">
        <v>74</v>
      </c>
      <c r="Q664" t="s">
        <v>74</v>
      </c>
      <c r="R664" t="s">
        <v>74</v>
      </c>
      <c r="S664" t="s">
        <v>74</v>
      </c>
      <c r="T664" t="s">
        <v>74</v>
      </c>
      <c r="U664" t="s">
        <v>11708</v>
      </c>
      <c r="V664" t="s">
        <v>11709</v>
      </c>
      <c r="W664" t="s">
        <v>11710</v>
      </c>
      <c r="X664" t="s">
        <v>11711</v>
      </c>
      <c r="Y664" t="s">
        <v>11712</v>
      </c>
      <c r="Z664" t="s">
        <v>11713</v>
      </c>
      <c r="AA664" t="s">
        <v>3374</v>
      </c>
      <c r="AB664" t="s">
        <v>11714</v>
      </c>
      <c r="AC664" t="s">
        <v>74</v>
      </c>
      <c r="AD664" t="s">
        <v>74</v>
      </c>
      <c r="AE664" t="s">
        <v>74</v>
      </c>
      <c r="AF664" t="s">
        <v>74</v>
      </c>
      <c r="AG664">
        <v>105</v>
      </c>
      <c r="AH664">
        <v>15</v>
      </c>
      <c r="AI664">
        <v>16</v>
      </c>
      <c r="AJ664">
        <v>0</v>
      </c>
      <c r="AK664">
        <v>19</v>
      </c>
      <c r="AL664" t="s">
        <v>90</v>
      </c>
      <c r="AM664" t="s">
        <v>91</v>
      </c>
      <c r="AN664" t="s">
        <v>92</v>
      </c>
      <c r="AO664" t="s">
        <v>11687</v>
      </c>
      <c r="AP664" t="s">
        <v>11702</v>
      </c>
      <c r="AQ664" t="s">
        <v>74</v>
      </c>
      <c r="AR664" t="s">
        <v>11688</v>
      </c>
      <c r="AS664" t="s">
        <v>11689</v>
      </c>
      <c r="AT664" t="s">
        <v>3935</v>
      </c>
      <c r="AU664">
        <v>2011</v>
      </c>
      <c r="AV664">
        <v>47</v>
      </c>
      <c r="AW664">
        <v>240</v>
      </c>
      <c r="AX664" t="s">
        <v>74</v>
      </c>
      <c r="AY664" t="s">
        <v>74</v>
      </c>
      <c r="AZ664" t="s">
        <v>74</v>
      </c>
      <c r="BA664" t="s">
        <v>74</v>
      </c>
      <c r="BB664">
        <v>56</v>
      </c>
      <c r="BC664">
        <v>66</v>
      </c>
      <c r="BD664" t="s">
        <v>74</v>
      </c>
      <c r="BE664" t="s">
        <v>11715</v>
      </c>
      <c r="BF664" t="str">
        <f>HYPERLINK("http://dx.doi.org/10.1017/S0032247410000100","http://dx.doi.org/10.1017/S0032247410000100")</f>
        <v>http://dx.doi.org/10.1017/S0032247410000100</v>
      </c>
      <c r="BG664" t="s">
        <v>74</v>
      </c>
      <c r="BH664" t="s">
        <v>74</v>
      </c>
      <c r="BI664">
        <v>11</v>
      </c>
      <c r="BJ664" t="s">
        <v>11691</v>
      </c>
      <c r="BK664" t="s">
        <v>100</v>
      </c>
      <c r="BL664" t="s">
        <v>822</v>
      </c>
      <c r="BM664" t="s">
        <v>11692</v>
      </c>
      <c r="BN664" t="s">
        <v>74</v>
      </c>
      <c r="BO664" t="s">
        <v>74</v>
      </c>
      <c r="BP664" t="s">
        <v>74</v>
      </c>
      <c r="BQ664" t="s">
        <v>74</v>
      </c>
      <c r="BR664" t="s">
        <v>103</v>
      </c>
      <c r="BS664" t="s">
        <v>11716</v>
      </c>
      <c r="BT664" t="str">
        <f>HYPERLINK("https%3A%2F%2Fwww.webofscience.com%2Fwos%2Fwoscc%2Ffull-record%2FWOS:000284712500006","View Full Record in Web of Science")</f>
        <v>View Full Record in Web of Science</v>
      </c>
    </row>
    <row r="665" spans="1:72" x14ac:dyDescent="0.15">
      <c r="A665" t="s">
        <v>72</v>
      </c>
      <c r="B665" t="s">
        <v>11717</v>
      </c>
      <c r="C665" t="s">
        <v>74</v>
      </c>
      <c r="D665" t="s">
        <v>74</v>
      </c>
      <c r="E665" t="s">
        <v>74</v>
      </c>
      <c r="F665" t="s">
        <v>11718</v>
      </c>
      <c r="G665" t="s">
        <v>74</v>
      </c>
      <c r="H665" t="s">
        <v>74</v>
      </c>
      <c r="I665" t="s">
        <v>11719</v>
      </c>
      <c r="J665" t="s">
        <v>11683</v>
      </c>
      <c r="K665" t="s">
        <v>74</v>
      </c>
      <c r="L665" t="s">
        <v>74</v>
      </c>
      <c r="M665" t="s">
        <v>78</v>
      </c>
      <c r="N665" t="s">
        <v>403</v>
      </c>
      <c r="O665" t="s">
        <v>74</v>
      </c>
      <c r="P665" t="s">
        <v>74</v>
      </c>
      <c r="Q665" t="s">
        <v>74</v>
      </c>
      <c r="R665" t="s">
        <v>74</v>
      </c>
      <c r="S665" t="s">
        <v>74</v>
      </c>
      <c r="T665" t="s">
        <v>74</v>
      </c>
      <c r="U665" t="s">
        <v>74</v>
      </c>
      <c r="V665" t="s">
        <v>74</v>
      </c>
      <c r="W665" t="s">
        <v>74</v>
      </c>
      <c r="X665" t="s">
        <v>74</v>
      </c>
      <c r="Y665" t="s">
        <v>11720</v>
      </c>
      <c r="Z665" t="s">
        <v>11721</v>
      </c>
      <c r="AA665" t="s">
        <v>74</v>
      </c>
      <c r="AB665" t="s">
        <v>74</v>
      </c>
      <c r="AC665" t="s">
        <v>74</v>
      </c>
      <c r="AD665" t="s">
        <v>74</v>
      </c>
      <c r="AE665" t="s">
        <v>74</v>
      </c>
      <c r="AF665" t="s">
        <v>74</v>
      </c>
      <c r="AG665">
        <v>1</v>
      </c>
      <c r="AH665">
        <v>0</v>
      </c>
      <c r="AI665">
        <v>0</v>
      </c>
      <c r="AJ665">
        <v>0</v>
      </c>
      <c r="AK665">
        <v>0</v>
      </c>
      <c r="AL665" t="s">
        <v>90</v>
      </c>
      <c r="AM665" t="s">
        <v>91</v>
      </c>
      <c r="AN665" t="s">
        <v>92</v>
      </c>
      <c r="AO665" t="s">
        <v>11687</v>
      </c>
      <c r="AP665" t="s">
        <v>74</v>
      </c>
      <c r="AQ665" t="s">
        <v>74</v>
      </c>
      <c r="AR665" t="s">
        <v>11688</v>
      </c>
      <c r="AS665" t="s">
        <v>11689</v>
      </c>
      <c r="AT665" t="s">
        <v>3935</v>
      </c>
      <c r="AU665">
        <v>2011</v>
      </c>
      <c r="AV665">
        <v>47</v>
      </c>
      <c r="AW665">
        <v>240</v>
      </c>
      <c r="AX665" t="s">
        <v>74</v>
      </c>
      <c r="AY665" t="s">
        <v>74</v>
      </c>
      <c r="AZ665" t="s">
        <v>74</v>
      </c>
      <c r="BA665" t="s">
        <v>74</v>
      </c>
      <c r="BB665">
        <v>89</v>
      </c>
      <c r="BC665">
        <v>90</v>
      </c>
      <c r="BD665" t="s">
        <v>74</v>
      </c>
      <c r="BE665" t="s">
        <v>11722</v>
      </c>
      <c r="BF665" t="str">
        <f>HYPERLINK("http://dx.doi.org/10.1017/S0032247410000252","http://dx.doi.org/10.1017/S0032247410000252")</f>
        <v>http://dx.doi.org/10.1017/S0032247410000252</v>
      </c>
      <c r="BG665" t="s">
        <v>74</v>
      </c>
      <c r="BH665" t="s">
        <v>74</v>
      </c>
      <c r="BI665">
        <v>3</v>
      </c>
      <c r="BJ665" t="s">
        <v>11691</v>
      </c>
      <c r="BK665" t="s">
        <v>100</v>
      </c>
      <c r="BL665" t="s">
        <v>822</v>
      </c>
      <c r="BM665" t="s">
        <v>11692</v>
      </c>
      <c r="BN665" t="s">
        <v>74</v>
      </c>
      <c r="BO665" t="s">
        <v>74</v>
      </c>
      <c r="BP665" t="s">
        <v>74</v>
      </c>
      <c r="BQ665" t="s">
        <v>74</v>
      </c>
      <c r="BR665" t="s">
        <v>103</v>
      </c>
      <c r="BS665" t="s">
        <v>11723</v>
      </c>
      <c r="BT665" t="str">
        <f>HYPERLINK("https%3A%2F%2Fwww.webofscience.com%2Fwos%2Fwoscc%2Ffull-record%2FWOS:000284712500010","View Full Record in Web of Science")</f>
        <v>View Full Record in Web of Science</v>
      </c>
    </row>
    <row r="666" spans="1:72" x14ac:dyDescent="0.15">
      <c r="A666" t="s">
        <v>72</v>
      </c>
      <c r="B666" t="s">
        <v>11724</v>
      </c>
      <c r="C666" t="s">
        <v>74</v>
      </c>
      <c r="D666" t="s">
        <v>74</v>
      </c>
      <c r="E666" t="s">
        <v>74</v>
      </c>
      <c r="F666" t="s">
        <v>11725</v>
      </c>
      <c r="G666" t="s">
        <v>74</v>
      </c>
      <c r="H666" t="s">
        <v>74</v>
      </c>
      <c r="I666" t="s">
        <v>11726</v>
      </c>
      <c r="J666" t="s">
        <v>11727</v>
      </c>
      <c r="K666" t="s">
        <v>74</v>
      </c>
      <c r="L666" t="s">
        <v>74</v>
      </c>
      <c r="M666" t="s">
        <v>78</v>
      </c>
      <c r="N666" t="s">
        <v>79</v>
      </c>
      <c r="O666" t="s">
        <v>74</v>
      </c>
      <c r="P666" t="s">
        <v>74</v>
      </c>
      <c r="Q666" t="s">
        <v>74</v>
      </c>
      <c r="R666" t="s">
        <v>74</v>
      </c>
      <c r="S666" t="s">
        <v>74</v>
      </c>
      <c r="T666" t="s">
        <v>11728</v>
      </c>
      <c r="U666" t="s">
        <v>11729</v>
      </c>
      <c r="V666" t="s">
        <v>11730</v>
      </c>
      <c r="W666" t="s">
        <v>11731</v>
      </c>
      <c r="X666" t="s">
        <v>11732</v>
      </c>
      <c r="Y666" t="s">
        <v>11733</v>
      </c>
      <c r="Z666" t="s">
        <v>11734</v>
      </c>
      <c r="AA666" t="s">
        <v>11735</v>
      </c>
      <c r="AB666" t="s">
        <v>11736</v>
      </c>
      <c r="AC666" t="s">
        <v>11737</v>
      </c>
      <c r="AD666" t="s">
        <v>11738</v>
      </c>
      <c r="AE666" t="s">
        <v>11739</v>
      </c>
      <c r="AF666" t="s">
        <v>74</v>
      </c>
      <c r="AG666">
        <v>27</v>
      </c>
      <c r="AH666">
        <v>15</v>
      </c>
      <c r="AI666">
        <v>17</v>
      </c>
      <c r="AJ666">
        <v>0</v>
      </c>
      <c r="AK666">
        <v>2</v>
      </c>
      <c r="AL666" t="s">
        <v>11740</v>
      </c>
      <c r="AM666" t="s">
        <v>11741</v>
      </c>
      <c r="AN666" t="s">
        <v>11742</v>
      </c>
      <c r="AO666" t="s">
        <v>11743</v>
      </c>
      <c r="AP666" t="s">
        <v>74</v>
      </c>
      <c r="AQ666" t="s">
        <v>74</v>
      </c>
      <c r="AR666" t="s">
        <v>11744</v>
      </c>
      <c r="AS666" t="s">
        <v>11745</v>
      </c>
      <c r="AT666" t="s">
        <v>74</v>
      </c>
      <c r="AU666">
        <v>2011</v>
      </c>
      <c r="AV666">
        <v>30</v>
      </c>
      <c r="AW666" t="s">
        <v>74</v>
      </c>
      <c r="AX666" t="s">
        <v>74</v>
      </c>
      <c r="AY666" t="s">
        <v>74</v>
      </c>
      <c r="AZ666" t="s">
        <v>74</v>
      </c>
      <c r="BA666" t="s">
        <v>74</v>
      </c>
      <c r="BB666" t="s">
        <v>74</v>
      </c>
      <c r="BC666" t="s">
        <v>74</v>
      </c>
      <c r="BD666">
        <v>7265</v>
      </c>
      <c r="BE666" t="s">
        <v>11746</v>
      </c>
      <c r="BF666" t="str">
        <f>HYPERLINK("http://dx.doi.org/10.3402/polar.v30i0.7265","http://dx.doi.org/10.3402/polar.v30i0.7265")</f>
        <v>http://dx.doi.org/10.3402/polar.v30i0.7265</v>
      </c>
      <c r="BG666" t="s">
        <v>74</v>
      </c>
      <c r="BH666" t="s">
        <v>74</v>
      </c>
      <c r="BI666">
        <v>6</v>
      </c>
      <c r="BJ666" t="s">
        <v>11747</v>
      </c>
      <c r="BK666" t="s">
        <v>100</v>
      </c>
      <c r="BL666" t="s">
        <v>3774</v>
      </c>
      <c r="BM666" t="s">
        <v>11748</v>
      </c>
      <c r="BN666" t="s">
        <v>74</v>
      </c>
      <c r="BO666" t="s">
        <v>2317</v>
      </c>
      <c r="BP666" t="s">
        <v>74</v>
      </c>
      <c r="BQ666" t="s">
        <v>74</v>
      </c>
      <c r="BR666" t="s">
        <v>103</v>
      </c>
      <c r="BS666" t="s">
        <v>11749</v>
      </c>
      <c r="BT666" t="str">
        <f>HYPERLINK("https%3A%2F%2Fwww.webofscience.com%2Fwos%2Fwoscc%2Ffull-record%2FWOS:000298039700013","View Full Record in Web of Science")</f>
        <v>View Full Record in Web of Science</v>
      </c>
    </row>
    <row r="667" spans="1:72" x14ac:dyDescent="0.15">
      <c r="A667" t="s">
        <v>72</v>
      </c>
      <c r="B667" t="s">
        <v>11750</v>
      </c>
      <c r="C667" t="s">
        <v>74</v>
      </c>
      <c r="D667" t="s">
        <v>74</v>
      </c>
      <c r="E667" t="s">
        <v>74</v>
      </c>
      <c r="F667" t="s">
        <v>11751</v>
      </c>
      <c r="G667" t="s">
        <v>74</v>
      </c>
      <c r="H667" t="s">
        <v>74</v>
      </c>
      <c r="I667" t="s">
        <v>11752</v>
      </c>
      <c r="J667" t="s">
        <v>11727</v>
      </c>
      <c r="K667" t="s">
        <v>74</v>
      </c>
      <c r="L667" t="s">
        <v>74</v>
      </c>
      <c r="M667" t="s">
        <v>78</v>
      </c>
      <c r="N667" t="s">
        <v>79</v>
      </c>
      <c r="O667" t="s">
        <v>74</v>
      </c>
      <c r="P667" t="s">
        <v>74</v>
      </c>
      <c r="Q667" t="s">
        <v>74</v>
      </c>
      <c r="R667" t="s">
        <v>74</v>
      </c>
      <c r="S667" t="s">
        <v>74</v>
      </c>
      <c r="T667" t="s">
        <v>11753</v>
      </c>
      <c r="U667" t="s">
        <v>11754</v>
      </c>
      <c r="V667" t="s">
        <v>11755</v>
      </c>
      <c r="W667" t="s">
        <v>11756</v>
      </c>
      <c r="X667" t="s">
        <v>11757</v>
      </c>
      <c r="Y667" t="s">
        <v>11758</v>
      </c>
      <c r="Z667" t="s">
        <v>11759</v>
      </c>
      <c r="AA667" t="s">
        <v>11760</v>
      </c>
      <c r="AB667" t="s">
        <v>11761</v>
      </c>
      <c r="AC667" t="s">
        <v>11762</v>
      </c>
      <c r="AD667" t="s">
        <v>11763</v>
      </c>
      <c r="AE667" t="s">
        <v>11764</v>
      </c>
      <c r="AF667" t="s">
        <v>74</v>
      </c>
      <c r="AG667">
        <v>65</v>
      </c>
      <c r="AH667">
        <v>16</v>
      </c>
      <c r="AI667">
        <v>17</v>
      </c>
      <c r="AJ667">
        <v>1</v>
      </c>
      <c r="AK667">
        <v>27</v>
      </c>
      <c r="AL667" t="s">
        <v>11765</v>
      </c>
      <c r="AM667" t="s">
        <v>11766</v>
      </c>
      <c r="AN667" t="s">
        <v>11767</v>
      </c>
      <c r="AO667" t="s">
        <v>11743</v>
      </c>
      <c r="AP667" t="s">
        <v>11768</v>
      </c>
      <c r="AQ667" t="s">
        <v>74</v>
      </c>
      <c r="AR667" t="s">
        <v>11769</v>
      </c>
      <c r="AS667" t="s">
        <v>11745</v>
      </c>
      <c r="AT667" t="s">
        <v>74</v>
      </c>
      <c r="AU667">
        <v>2011</v>
      </c>
      <c r="AV667">
        <v>30</v>
      </c>
      <c r="AW667" t="s">
        <v>74</v>
      </c>
      <c r="AX667" t="s">
        <v>74</v>
      </c>
      <c r="AY667" t="s">
        <v>74</v>
      </c>
      <c r="AZ667" t="s">
        <v>74</v>
      </c>
      <c r="BA667" t="s">
        <v>74</v>
      </c>
      <c r="BB667" t="s">
        <v>74</v>
      </c>
      <c r="BC667" t="s">
        <v>74</v>
      </c>
      <c r="BD667">
        <v>14555</v>
      </c>
      <c r="BE667" t="s">
        <v>11770</v>
      </c>
      <c r="BF667" t="str">
        <f>HYPERLINK("http://dx.doi.org/10.3402/polar.v30i0.14555","http://dx.doi.org/10.3402/polar.v30i0.14555")</f>
        <v>http://dx.doi.org/10.3402/polar.v30i0.14555</v>
      </c>
      <c r="BG667" t="s">
        <v>74</v>
      </c>
      <c r="BH667" t="s">
        <v>74</v>
      </c>
      <c r="BI667">
        <v>10</v>
      </c>
      <c r="BJ667" t="s">
        <v>11747</v>
      </c>
      <c r="BK667" t="s">
        <v>100</v>
      </c>
      <c r="BL667" t="s">
        <v>3774</v>
      </c>
      <c r="BM667" t="s">
        <v>11771</v>
      </c>
      <c r="BN667" t="s">
        <v>74</v>
      </c>
      <c r="BO667" t="s">
        <v>2317</v>
      </c>
      <c r="BP667" t="s">
        <v>74</v>
      </c>
      <c r="BQ667" t="s">
        <v>74</v>
      </c>
      <c r="BR667" t="s">
        <v>103</v>
      </c>
      <c r="BS667" t="s">
        <v>11772</v>
      </c>
      <c r="BT667" t="str">
        <f>HYPERLINK("https%3A%2F%2Fwww.webofscience.com%2Fwos%2Fwoscc%2Ffull-record%2FWOS:000312499600001","View Full Record in Web of Science")</f>
        <v>View Full Record in Web of Science</v>
      </c>
    </row>
    <row r="668" spans="1:72" x14ac:dyDescent="0.15">
      <c r="A668" t="s">
        <v>72</v>
      </c>
      <c r="B668" t="s">
        <v>11773</v>
      </c>
      <c r="C668" t="s">
        <v>74</v>
      </c>
      <c r="D668" t="s">
        <v>74</v>
      </c>
      <c r="E668" t="s">
        <v>74</v>
      </c>
      <c r="F668" t="s">
        <v>11774</v>
      </c>
      <c r="G668" t="s">
        <v>74</v>
      </c>
      <c r="H668" t="s">
        <v>74</v>
      </c>
      <c r="I668" t="s">
        <v>11775</v>
      </c>
      <c r="J668" t="s">
        <v>11727</v>
      </c>
      <c r="K668" t="s">
        <v>74</v>
      </c>
      <c r="L668" t="s">
        <v>74</v>
      </c>
      <c r="M668" t="s">
        <v>78</v>
      </c>
      <c r="N668" t="s">
        <v>79</v>
      </c>
      <c r="O668" t="s">
        <v>74</v>
      </c>
      <c r="P668" t="s">
        <v>74</v>
      </c>
      <c r="Q668" t="s">
        <v>74</v>
      </c>
      <c r="R668" t="s">
        <v>74</v>
      </c>
      <c r="S668" t="s">
        <v>74</v>
      </c>
      <c r="T668" t="s">
        <v>11776</v>
      </c>
      <c r="U668" t="s">
        <v>11777</v>
      </c>
      <c r="V668" t="s">
        <v>11778</v>
      </c>
      <c r="W668" t="s">
        <v>11779</v>
      </c>
      <c r="X668" t="s">
        <v>11780</v>
      </c>
      <c r="Y668" t="s">
        <v>11781</v>
      </c>
      <c r="Z668" t="s">
        <v>11782</v>
      </c>
      <c r="AA668" t="s">
        <v>11783</v>
      </c>
      <c r="AB668" t="s">
        <v>11784</v>
      </c>
      <c r="AC668" t="s">
        <v>11785</v>
      </c>
      <c r="AD668" t="s">
        <v>11786</v>
      </c>
      <c r="AE668" t="s">
        <v>11787</v>
      </c>
      <c r="AF668" t="s">
        <v>74</v>
      </c>
      <c r="AG668">
        <v>36</v>
      </c>
      <c r="AH668">
        <v>33</v>
      </c>
      <c r="AI668">
        <v>37</v>
      </c>
      <c r="AJ668">
        <v>0</v>
      </c>
      <c r="AK668">
        <v>17</v>
      </c>
      <c r="AL668" t="s">
        <v>474</v>
      </c>
      <c r="AM668" t="s">
        <v>475</v>
      </c>
      <c r="AN668" t="s">
        <v>476</v>
      </c>
      <c r="AO668" t="s">
        <v>11743</v>
      </c>
      <c r="AP668" t="s">
        <v>11768</v>
      </c>
      <c r="AQ668" t="s">
        <v>74</v>
      </c>
      <c r="AR668" t="s">
        <v>11744</v>
      </c>
      <c r="AS668" t="s">
        <v>11745</v>
      </c>
      <c r="AT668" t="s">
        <v>74</v>
      </c>
      <c r="AU668">
        <v>2011</v>
      </c>
      <c r="AV668">
        <v>30</v>
      </c>
      <c r="AW668" t="s">
        <v>74</v>
      </c>
      <c r="AX668" t="s">
        <v>74</v>
      </c>
      <c r="AY668" t="s">
        <v>74</v>
      </c>
      <c r="AZ668" t="s">
        <v>74</v>
      </c>
      <c r="BA668" t="s">
        <v>74</v>
      </c>
      <c r="BB668" t="s">
        <v>74</v>
      </c>
      <c r="BC668" t="s">
        <v>74</v>
      </c>
      <c r="BD668">
        <v>5858</v>
      </c>
      <c r="BE668" t="s">
        <v>11788</v>
      </c>
      <c r="BF668" t="str">
        <f>HYPERLINK("http://dx.doi.org/10.3402/polar.v30i0.5858","http://dx.doi.org/10.3402/polar.v30i0.5858")</f>
        <v>http://dx.doi.org/10.3402/polar.v30i0.5858</v>
      </c>
      <c r="BG668" t="s">
        <v>74</v>
      </c>
      <c r="BH668" t="s">
        <v>74</v>
      </c>
      <c r="BI668">
        <v>14</v>
      </c>
      <c r="BJ668" t="s">
        <v>11747</v>
      </c>
      <c r="BK668" t="s">
        <v>100</v>
      </c>
      <c r="BL668" t="s">
        <v>3774</v>
      </c>
      <c r="BM668" t="s">
        <v>11789</v>
      </c>
      <c r="BN668" t="s">
        <v>74</v>
      </c>
      <c r="BO668" t="s">
        <v>11790</v>
      </c>
      <c r="BP668" t="s">
        <v>74</v>
      </c>
      <c r="BQ668" t="s">
        <v>74</v>
      </c>
      <c r="BR668" t="s">
        <v>103</v>
      </c>
      <c r="BS668" t="s">
        <v>11791</v>
      </c>
      <c r="BT668" t="str">
        <f>HYPERLINK("https%3A%2F%2Fwww.webofscience.com%2Fwos%2Fwoscc%2Ffull-record%2FWOS:000298040800008","View Full Record in Web of Science")</f>
        <v>View Full Record in Web of Science</v>
      </c>
    </row>
    <row r="669" spans="1:72" x14ac:dyDescent="0.15">
      <c r="A669" t="s">
        <v>72</v>
      </c>
      <c r="B669" t="s">
        <v>11792</v>
      </c>
      <c r="C669" t="s">
        <v>74</v>
      </c>
      <c r="D669" t="s">
        <v>74</v>
      </c>
      <c r="E669" t="s">
        <v>74</v>
      </c>
      <c r="F669" t="s">
        <v>11793</v>
      </c>
      <c r="G669" t="s">
        <v>74</v>
      </c>
      <c r="H669" t="s">
        <v>74</v>
      </c>
      <c r="I669" t="s">
        <v>11794</v>
      </c>
      <c r="J669" t="s">
        <v>11727</v>
      </c>
      <c r="K669" t="s">
        <v>74</v>
      </c>
      <c r="L669" t="s">
        <v>74</v>
      </c>
      <c r="M669" t="s">
        <v>78</v>
      </c>
      <c r="N669" t="s">
        <v>79</v>
      </c>
      <c r="O669" t="s">
        <v>74</v>
      </c>
      <c r="P669" t="s">
        <v>74</v>
      </c>
      <c r="Q669" t="s">
        <v>74</v>
      </c>
      <c r="R669" t="s">
        <v>74</v>
      </c>
      <c r="S669" t="s">
        <v>74</v>
      </c>
      <c r="T669" t="s">
        <v>11795</v>
      </c>
      <c r="U669" t="s">
        <v>11796</v>
      </c>
      <c r="V669" t="s">
        <v>11797</v>
      </c>
      <c r="W669" t="s">
        <v>11798</v>
      </c>
      <c r="X669" t="s">
        <v>11799</v>
      </c>
      <c r="Y669" t="s">
        <v>11800</v>
      </c>
      <c r="Z669" t="s">
        <v>11801</v>
      </c>
      <c r="AA669" t="s">
        <v>11802</v>
      </c>
      <c r="AB669" t="s">
        <v>11803</v>
      </c>
      <c r="AC669" t="s">
        <v>11804</v>
      </c>
      <c r="AD669" t="s">
        <v>11804</v>
      </c>
      <c r="AE669" t="s">
        <v>11805</v>
      </c>
      <c r="AF669" t="s">
        <v>74</v>
      </c>
      <c r="AG669">
        <v>50</v>
      </c>
      <c r="AH669">
        <v>7</v>
      </c>
      <c r="AI669">
        <v>8</v>
      </c>
      <c r="AJ669">
        <v>0</v>
      </c>
      <c r="AK669">
        <v>18</v>
      </c>
      <c r="AL669" t="s">
        <v>474</v>
      </c>
      <c r="AM669" t="s">
        <v>475</v>
      </c>
      <c r="AN669" t="s">
        <v>476</v>
      </c>
      <c r="AO669" t="s">
        <v>11743</v>
      </c>
      <c r="AP669" t="s">
        <v>11768</v>
      </c>
      <c r="AQ669" t="s">
        <v>74</v>
      </c>
      <c r="AR669" t="s">
        <v>11744</v>
      </c>
      <c r="AS669" t="s">
        <v>11745</v>
      </c>
      <c r="AT669" t="s">
        <v>74</v>
      </c>
      <c r="AU669">
        <v>2011</v>
      </c>
      <c r="AV669">
        <v>30</v>
      </c>
      <c r="AW669" t="s">
        <v>74</v>
      </c>
      <c r="AX669" t="s">
        <v>74</v>
      </c>
      <c r="AY669" t="s">
        <v>74</v>
      </c>
      <c r="AZ669" t="s">
        <v>74</v>
      </c>
      <c r="BA669" t="s">
        <v>74</v>
      </c>
      <c r="BB669" t="s">
        <v>74</v>
      </c>
      <c r="BC669" t="s">
        <v>74</v>
      </c>
      <c r="BD669">
        <v>7064</v>
      </c>
      <c r="BE669" t="s">
        <v>11806</v>
      </c>
      <c r="BF669" t="str">
        <f>HYPERLINK("http://dx.doi.org/10.3402/polar.v30i0.7064","http://dx.doi.org/10.3402/polar.v30i0.7064")</f>
        <v>http://dx.doi.org/10.3402/polar.v30i0.7064</v>
      </c>
      <c r="BG669" t="s">
        <v>74</v>
      </c>
      <c r="BH669" t="s">
        <v>74</v>
      </c>
      <c r="BI669">
        <v>15</v>
      </c>
      <c r="BJ669" t="s">
        <v>11747</v>
      </c>
      <c r="BK669" t="s">
        <v>100</v>
      </c>
      <c r="BL669" t="s">
        <v>3774</v>
      </c>
      <c r="BM669" t="s">
        <v>11748</v>
      </c>
      <c r="BN669" t="s">
        <v>74</v>
      </c>
      <c r="BO669" t="s">
        <v>2456</v>
      </c>
      <c r="BP669" t="s">
        <v>74</v>
      </c>
      <c r="BQ669" t="s">
        <v>74</v>
      </c>
      <c r="BR669" t="s">
        <v>103</v>
      </c>
      <c r="BS669" t="s">
        <v>11807</v>
      </c>
      <c r="BT669" t="str">
        <f>HYPERLINK("https%3A%2F%2Fwww.webofscience.com%2Fwos%2Fwoscc%2Ffull-record%2FWOS:000298039700017","View Full Record in Web of Science")</f>
        <v>View Full Record in Web of Science</v>
      </c>
    </row>
    <row r="670" spans="1:72" x14ac:dyDescent="0.15">
      <c r="A670" t="s">
        <v>72</v>
      </c>
      <c r="B670" t="s">
        <v>11808</v>
      </c>
      <c r="C670" t="s">
        <v>74</v>
      </c>
      <c r="D670" t="s">
        <v>74</v>
      </c>
      <c r="E670" t="s">
        <v>74</v>
      </c>
      <c r="F670" t="s">
        <v>11809</v>
      </c>
      <c r="G670" t="s">
        <v>74</v>
      </c>
      <c r="H670" t="s">
        <v>74</v>
      </c>
      <c r="I670" t="s">
        <v>11810</v>
      </c>
      <c r="J670" t="s">
        <v>11727</v>
      </c>
      <c r="K670" t="s">
        <v>74</v>
      </c>
      <c r="L670" t="s">
        <v>74</v>
      </c>
      <c r="M670" t="s">
        <v>78</v>
      </c>
      <c r="N670" t="s">
        <v>79</v>
      </c>
      <c r="O670" t="s">
        <v>74</v>
      </c>
      <c r="P670" t="s">
        <v>74</v>
      </c>
      <c r="Q670" t="s">
        <v>74</v>
      </c>
      <c r="R670" t="s">
        <v>74</v>
      </c>
      <c r="S670" t="s">
        <v>74</v>
      </c>
      <c r="T670" t="s">
        <v>11811</v>
      </c>
      <c r="U670" t="s">
        <v>74</v>
      </c>
      <c r="V670" t="s">
        <v>11812</v>
      </c>
      <c r="W670" t="s">
        <v>11813</v>
      </c>
      <c r="X670" t="s">
        <v>74</v>
      </c>
      <c r="Y670" t="s">
        <v>11814</v>
      </c>
      <c r="Z670" t="s">
        <v>11815</v>
      </c>
      <c r="AA670" t="s">
        <v>74</v>
      </c>
      <c r="AB670" t="s">
        <v>11816</v>
      </c>
      <c r="AC670" t="s">
        <v>74</v>
      </c>
      <c r="AD670" t="s">
        <v>74</v>
      </c>
      <c r="AE670" t="s">
        <v>74</v>
      </c>
      <c r="AF670" t="s">
        <v>74</v>
      </c>
      <c r="AG670">
        <v>87</v>
      </c>
      <c r="AH670">
        <v>3</v>
      </c>
      <c r="AI670">
        <v>5</v>
      </c>
      <c r="AJ670">
        <v>0</v>
      </c>
      <c r="AK670">
        <v>16</v>
      </c>
      <c r="AL670" t="s">
        <v>474</v>
      </c>
      <c r="AM670" t="s">
        <v>475</v>
      </c>
      <c r="AN670" t="s">
        <v>476</v>
      </c>
      <c r="AO670" t="s">
        <v>11743</v>
      </c>
      <c r="AP670" t="s">
        <v>11768</v>
      </c>
      <c r="AQ670" t="s">
        <v>74</v>
      </c>
      <c r="AR670" t="s">
        <v>11744</v>
      </c>
      <c r="AS670" t="s">
        <v>11745</v>
      </c>
      <c r="AT670" t="s">
        <v>74</v>
      </c>
      <c r="AU670">
        <v>2011</v>
      </c>
      <c r="AV670">
        <v>30</v>
      </c>
      <c r="AW670" t="s">
        <v>74</v>
      </c>
      <c r="AX670" t="s">
        <v>74</v>
      </c>
      <c r="AY670" t="s">
        <v>74</v>
      </c>
      <c r="AZ670" t="s">
        <v>74</v>
      </c>
      <c r="BA670" t="s">
        <v>74</v>
      </c>
      <c r="BB670" t="s">
        <v>74</v>
      </c>
      <c r="BC670" t="s">
        <v>74</v>
      </c>
      <c r="BD670">
        <v>11153</v>
      </c>
      <c r="BE670" t="s">
        <v>11817</v>
      </c>
      <c r="BF670" t="str">
        <f>HYPERLINK("http://dx.doi.org/10.3402/polar.v30i0.11153","http://dx.doi.org/10.3402/polar.v30i0.11153")</f>
        <v>http://dx.doi.org/10.3402/polar.v30i0.11153</v>
      </c>
      <c r="BG670" t="s">
        <v>74</v>
      </c>
      <c r="BH670" t="s">
        <v>74</v>
      </c>
      <c r="BI670">
        <v>14</v>
      </c>
      <c r="BJ670" t="s">
        <v>11747</v>
      </c>
      <c r="BK670" t="s">
        <v>100</v>
      </c>
      <c r="BL670" t="s">
        <v>3774</v>
      </c>
      <c r="BM670" t="s">
        <v>11818</v>
      </c>
      <c r="BN670" t="s">
        <v>74</v>
      </c>
      <c r="BO670" t="s">
        <v>2317</v>
      </c>
      <c r="BP670" t="s">
        <v>74</v>
      </c>
      <c r="BQ670" t="s">
        <v>74</v>
      </c>
      <c r="BR670" t="s">
        <v>103</v>
      </c>
      <c r="BS670" t="s">
        <v>11819</v>
      </c>
      <c r="BT670" t="str">
        <f>HYPERLINK("https%3A%2F%2Fwww.webofscience.com%2Fwos%2Fwoscc%2Ffull-record%2FWOS:000298956700001","View Full Record in Web of Science")</f>
        <v>View Full Record in Web of Science</v>
      </c>
    </row>
    <row r="671" spans="1:72" x14ac:dyDescent="0.15">
      <c r="A671" t="s">
        <v>72</v>
      </c>
      <c r="B671" t="s">
        <v>11820</v>
      </c>
      <c r="C671" t="s">
        <v>74</v>
      </c>
      <c r="D671" t="s">
        <v>74</v>
      </c>
      <c r="E671" t="s">
        <v>74</v>
      </c>
      <c r="F671" t="s">
        <v>11821</v>
      </c>
      <c r="G671" t="s">
        <v>74</v>
      </c>
      <c r="H671" t="s">
        <v>74</v>
      </c>
      <c r="I671" t="s">
        <v>11822</v>
      </c>
      <c r="J671" t="s">
        <v>11727</v>
      </c>
      <c r="K671" t="s">
        <v>74</v>
      </c>
      <c r="L671" t="s">
        <v>74</v>
      </c>
      <c r="M671" t="s">
        <v>78</v>
      </c>
      <c r="N671" t="s">
        <v>79</v>
      </c>
      <c r="O671" t="s">
        <v>74</v>
      </c>
      <c r="P671" t="s">
        <v>74</v>
      </c>
      <c r="Q671" t="s">
        <v>74</v>
      </c>
      <c r="R671" t="s">
        <v>74</v>
      </c>
      <c r="S671" t="s">
        <v>74</v>
      </c>
      <c r="T671" t="s">
        <v>11823</v>
      </c>
      <c r="U671" t="s">
        <v>11824</v>
      </c>
      <c r="V671" t="s">
        <v>11825</v>
      </c>
      <c r="W671" t="s">
        <v>11826</v>
      </c>
      <c r="X671" t="s">
        <v>11827</v>
      </c>
      <c r="Y671" t="s">
        <v>11828</v>
      </c>
      <c r="Z671" t="s">
        <v>11829</v>
      </c>
      <c r="AA671" t="s">
        <v>11830</v>
      </c>
      <c r="AB671" t="s">
        <v>11831</v>
      </c>
      <c r="AC671" t="s">
        <v>11832</v>
      </c>
      <c r="AD671" t="s">
        <v>11833</v>
      </c>
      <c r="AE671" t="s">
        <v>11834</v>
      </c>
      <c r="AF671" t="s">
        <v>74</v>
      </c>
      <c r="AG671">
        <v>42</v>
      </c>
      <c r="AH671">
        <v>39</v>
      </c>
      <c r="AI671">
        <v>41</v>
      </c>
      <c r="AJ671">
        <v>1</v>
      </c>
      <c r="AK671">
        <v>28</v>
      </c>
      <c r="AL671" t="s">
        <v>474</v>
      </c>
      <c r="AM671" t="s">
        <v>475</v>
      </c>
      <c r="AN671" t="s">
        <v>476</v>
      </c>
      <c r="AO671" t="s">
        <v>11743</v>
      </c>
      <c r="AP671" t="s">
        <v>11768</v>
      </c>
      <c r="AQ671" t="s">
        <v>74</v>
      </c>
      <c r="AR671" t="s">
        <v>11744</v>
      </c>
      <c r="AS671" t="s">
        <v>11745</v>
      </c>
      <c r="AT671" t="s">
        <v>74</v>
      </c>
      <c r="AU671">
        <v>2011</v>
      </c>
      <c r="AV671">
        <v>30</v>
      </c>
      <c r="AW671" t="s">
        <v>74</v>
      </c>
      <c r="AX671" t="s">
        <v>74</v>
      </c>
      <c r="AY671" t="s">
        <v>74</v>
      </c>
      <c r="AZ671" t="s">
        <v>74</v>
      </c>
      <c r="BA671" t="s">
        <v>74</v>
      </c>
      <c r="BB671" t="s">
        <v>74</v>
      </c>
      <c r="BC671" t="s">
        <v>74</v>
      </c>
      <c r="BD671">
        <v>8929</v>
      </c>
      <c r="BE671" t="s">
        <v>11835</v>
      </c>
      <c r="BF671" t="str">
        <f>HYPERLINK("http://dx.doi.org/10.3402/polar.v30i0.8929","http://dx.doi.org/10.3402/polar.v30i0.8929")</f>
        <v>http://dx.doi.org/10.3402/polar.v30i0.8929</v>
      </c>
      <c r="BG671" t="s">
        <v>74</v>
      </c>
      <c r="BH671" t="s">
        <v>74</v>
      </c>
      <c r="BI671">
        <v>10</v>
      </c>
      <c r="BJ671" t="s">
        <v>11747</v>
      </c>
      <c r="BK671" t="s">
        <v>100</v>
      </c>
      <c r="BL671" t="s">
        <v>3774</v>
      </c>
      <c r="BM671" t="s">
        <v>11789</v>
      </c>
      <c r="BN671" t="s">
        <v>74</v>
      </c>
      <c r="BO671" t="s">
        <v>4532</v>
      </c>
      <c r="BP671" t="s">
        <v>74</v>
      </c>
      <c r="BQ671" t="s">
        <v>74</v>
      </c>
      <c r="BR671" t="s">
        <v>103</v>
      </c>
      <c r="BS671" t="s">
        <v>11836</v>
      </c>
      <c r="BT671" t="str">
        <f>HYPERLINK("https%3A%2F%2Fwww.webofscience.com%2Fwos%2Fwoscc%2Ffull-record%2FWOS:000298040800001","View Full Record in Web of Science")</f>
        <v>View Full Record in Web of Science</v>
      </c>
    </row>
    <row r="672" spans="1:72" x14ac:dyDescent="0.15">
      <c r="A672" t="s">
        <v>72</v>
      </c>
      <c r="B672" t="s">
        <v>11837</v>
      </c>
      <c r="C672" t="s">
        <v>74</v>
      </c>
      <c r="D672" t="s">
        <v>74</v>
      </c>
      <c r="E672" t="s">
        <v>74</v>
      </c>
      <c r="F672" t="s">
        <v>11838</v>
      </c>
      <c r="G672" t="s">
        <v>74</v>
      </c>
      <c r="H672" t="s">
        <v>74</v>
      </c>
      <c r="I672" t="s">
        <v>11839</v>
      </c>
      <c r="J672" t="s">
        <v>11727</v>
      </c>
      <c r="K672" t="s">
        <v>74</v>
      </c>
      <c r="L672" t="s">
        <v>74</v>
      </c>
      <c r="M672" t="s">
        <v>78</v>
      </c>
      <c r="N672" t="s">
        <v>79</v>
      </c>
      <c r="O672" t="s">
        <v>74</v>
      </c>
      <c r="P672" t="s">
        <v>74</v>
      </c>
      <c r="Q672" t="s">
        <v>74</v>
      </c>
      <c r="R672" t="s">
        <v>74</v>
      </c>
      <c r="S672" t="s">
        <v>74</v>
      </c>
      <c r="T672" t="s">
        <v>11840</v>
      </c>
      <c r="U672" t="s">
        <v>11841</v>
      </c>
      <c r="V672" t="s">
        <v>11842</v>
      </c>
      <c r="W672" t="s">
        <v>11843</v>
      </c>
      <c r="X672" t="s">
        <v>11844</v>
      </c>
      <c r="Y672" t="s">
        <v>11845</v>
      </c>
      <c r="Z672" t="s">
        <v>11846</v>
      </c>
      <c r="AA672" t="s">
        <v>11847</v>
      </c>
      <c r="AB672" t="s">
        <v>11848</v>
      </c>
      <c r="AC672" t="s">
        <v>11849</v>
      </c>
      <c r="AD672" t="s">
        <v>11850</v>
      </c>
      <c r="AE672" t="s">
        <v>11851</v>
      </c>
      <c r="AF672" t="s">
        <v>74</v>
      </c>
      <c r="AG672">
        <v>34</v>
      </c>
      <c r="AH672">
        <v>26</v>
      </c>
      <c r="AI672">
        <v>26</v>
      </c>
      <c r="AJ672">
        <v>0</v>
      </c>
      <c r="AK672">
        <v>13</v>
      </c>
      <c r="AL672" t="s">
        <v>474</v>
      </c>
      <c r="AM672" t="s">
        <v>475</v>
      </c>
      <c r="AN672" t="s">
        <v>476</v>
      </c>
      <c r="AO672" t="s">
        <v>11743</v>
      </c>
      <c r="AP672" t="s">
        <v>11768</v>
      </c>
      <c r="AQ672" t="s">
        <v>74</v>
      </c>
      <c r="AR672" t="s">
        <v>11744</v>
      </c>
      <c r="AS672" t="s">
        <v>11745</v>
      </c>
      <c r="AT672" t="s">
        <v>74</v>
      </c>
      <c r="AU672">
        <v>2011</v>
      </c>
      <c r="AV672">
        <v>30</v>
      </c>
      <c r="AW672" t="s">
        <v>74</v>
      </c>
      <c r="AX672" t="s">
        <v>74</v>
      </c>
      <c r="AY672" t="s">
        <v>74</v>
      </c>
      <c r="AZ672" t="s">
        <v>74</v>
      </c>
      <c r="BA672" t="s">
        <v>74</v>
      </c>
      <c r="BB672" t="s">
        <v>74</v>
      </c>
      <c r="BC672" t="s">
        <v>74</v>
      </c>
      <c r="BD672">
        <v>6425</v>
      </c>
      <c r="BE672" t="s">
        <v>11852</v>
      </c>
      <c r="BF672" t="str">
        <f>HYPERLINK("http://dx.doi.org/10.3402/polar.v30i0.6425","http://dx.doi.org/10.3402/polar.v30i0.6425")</f>
        <v>http://dx.doi.org/10.3402/polar.v30i0.6425</v>
      </c>
      <c r="BG672" t="s">
        <v>74</v>
      </c>
      <c r="BH672" t="s">
        <v>74</v>
      </c>
      <c r="BI672">
        <v>15</v>
      </c>
      <c r="BJ672" t="s">
        <v>11747</v>
      </c>
      <c r="BK672" t="s">
        <v>100</v>
      </c>
      <c r="BL672" t="s">
        <v>3774</v>
      </c>
      <c r="BM672" t="s">
        <v>11789</v>
      </c>
      <c r="BN672" t="s">
        <v>74</v>
      </c>
      <c r="BO672" t="s">
        <v>11853</v>
      </c>
      <c r="BP672" t="s">
        <v>74</v>
      </c>
      <c r="BQ672" t="s">
        <v>74</v>
      </c>
      <c r="BR672" t="s">
        <v>103</v>
      </c>
      <c r="BS672" t="s">
        <v>11854</v>
      </c>
      <c r="BT672" t="str">
        <f>HYPERLINK("https%3A%2F%2Fwww.webofscience.com%2Fwos%2Fwoscc%2Ffull-record%2FWOS:000298040800004","View Full Record in Web of Science")</f>
        <v>View Full Record in Web of Science</v>
      </c>
    </row>
    <row r="673" spans="1:72" x14ac:dyDescent="0.15">
      <c r="A673" t="s">
        <v>72</v>
      </c>
      <c r="B673" t="s">
        <v>11855</v>
      </c>
      <c r="C673" t="s">
        <v>74</v>
      </c>
      <c r="D673" t="s">
        <v>74</v>
      </c>
      <c r="E673" t="s">
        <v>74</v>
      </c>
      <c r="F673" t="s">
        <v>11856</v>
      </c>
      <c r="G673" t="s">
        <v>74</v>
      </c>
      <c r="H673" t="s">
        <v>74</v>
      </c>
      <c r="I673" t="s">
        <v>11857</v>
      </c>
      <c r="J673" t="s">
        <v>11727</v>
      </c>
      <c r="K673" t="s">
        <v>74</v>
      </c>
      <c r="L673" t="s">
        <v>74</v>
      </c>
      <c r="M673" t="s">
        <v>78</v>
      </c>
      <c r="N673" t="s">
        <v>79</v>
      </c>
      <c r="O673" t="s">
        <v>74</v>
      </c>
      <c r="P673" t="s">
        <v>74</v>
      </c>
      <c r="Q673" t="s">
        <v>74</v>
      </c>
      <c r="R673" t="s">
        <v>74</v>
      </c>
      <c r="S673" t="s">
        <v>74</v>
      </c>
      <c r="T673" t="s">
        <v>11858</v>
      </c>
      <c r="U673" t="s">
        <v>11859</v>
      </c>
      <c r="V673" t="s">
        <v>11860</v>
      </c>
      <c r="W673" t="s">
        <v>11861</v>
      </c>
      <c r="X673" t="s">
        <v>11862</v>
      </c>
      <c r="Y673" t="s">
        <v>11863</v>
      </c>
      <c r="Z673" t="s">
        <v>11864</v>
      </c>
      <c r="AA673" t="s">
        <v>74</v>
      </c>
      <c r="AB673" t="s">
        <v>74</v>
      </c>
      <c r="AC673" t="s">
        <v>11865</v>
      </c>
      <c r="AD673" t="s">
        <v>11865</v>
      </c>
      <c r="AE673" t="s">
        <v>11866</v>
      </c>
      <c r="AF673" t="s">
        <v>74</v>
      </c>
      <c r="AG673">
        <v>28</v>
      </c>
      <c r="AH673">
        <v>34</v>
      </c>
      <c r="AI673">
        <v>40</v>
      </c>
      <c r="AJ673">
        <v>1</v>
      </c>
      <c r="AK673">
        <v>11</v>
      </c>
      <c r="AL673" t="s">
        <v>11740</v>
      </c>
      <c r="AM673" t="s">
        <v>11741</v>
      </c>
      <c r="AN673" t="s">
        <v>11742</v>
      </c>
      <c r="AO673" t="s">
        <v>11743</v>
      </c>
      <c r="AP673" t="s">
        <v>74</v>
      </c>
      <c r="AQ673" t="s">
        <v>74</v>
      </c>
      <c r="AR673" t="s">
        <v>11744</v>
      </c>
      <c r="AS673" t="s">
        <v>11745</v>
      </c>
      <c r="AT673" t="s">
        <v>74</v>
      </c>
      <c r="AU673">
        <v>2011</v>
      </c>
      <c r="AV673">
        <v>30</v>
      </c>
      <c r="AW673" t="s">
        <v>74</v>
      </c>
      <c r="AX673" t="s">
        <v>74</v>
      </c>
      <c r="AY673" t="s">
        <v>74</v>
      </c>
      <c r="AZ673" t="s">
        <v>74</v>
      </c>
      <c r="BA673" t="s">
        <v>74</v>
      </c>
      <c r="BB673" t="s">
        <v>74</v>
      </c>
      <c r="BC673" t="s">
        <v>74</v>
      </c>
      <c r="BD673">
        <v>7123</v>
      </c>
      <c r="BE673" t="s">
        <v>11867</v>
      </c>
      <c r="BF673" t="str">
        <f>HYPERLINK("http://dx.doi.org/10.3402/polar.v30i0.7123","http://dx.doi.org/10.3402/polar.v30i0.7123")</f>
        <v>http://dx.doi.org/10.3402/polar.v30i0.7123</v>
      </c>
      <c r="BG673" t="s">
        <v>74</v>
      </c>
      <c r="BH673" t="s">
        <v>74</v>
      </c>
      <c r="BI673">
        <v>8</v>
      </c>
      <c r="BJ673" t="s">
        <v>11747</v>
      </c>
      <c r="BK673" t="s">
        <v>100</v>
      </c>
      <c r="BL673" t="s">
        <v>3774</v>
      </c>
      <c r="BM673" t="s">
        <v>11748</v>
      </c>
      <c r="BN673" t="s">
        <v>74</v>
      </c>
      <c r="BO673" t="s">
        <v>2317</v>
      </c>
      <c r="BP673" t="s">
        <v>74</v>
      </c>
      <c r="BQ673" t="s">
        <v>74</v>
      </c>
      <c r="BR673" t="s">
        <v>103</v>
      </c>
      <c r="BS673" t="s">
        <v>11868</v>
      </c>
      <c r="BT673" t="str">
        <f>HYPERLINK("https%3A%2F%2Fwww.webofscience.com%2Fwos%2Fwoscc%2Ffull-record%2FWOS:000298039700016","View Full Record in Web of Science")</f>
        <v>View Full Record in Web of Science</v>
      </c>
    </row>
    <row r="674" spans="1:72" x14ac:dyDescent="0.15">
      <c r="A674" t="s">
        <v>72</v>
      </c>
      <c r="B674" t="s">
        <v>11869</v>
      </c>
      <c r="C674" t="s">
        <v>74</v>
      </c>
      <c r="D674" t="s">
        <v>74</v>
      </c>
      <c r="E674" t="s">
        <v>74</v>
      </c>
      <c r="F674" t="s">
        <v>11870</v>
      </c>
      <c r="G674" t="s">
        <v>74</v>
      </c>
      <c r="H674" t="s">
        <v>74</v>
      </c>
      <c r="I674" t="s">
        <v>11871</v>
      </c>
      <c r="J674" t="s">
        <v>11727</v>
      </c>
      <c r="K674" t="s">
        <v>74</v>
      </c>
      <c r="L674" t="s">
        <v>74</v>
      </c>
      <c r="M674" t="s">
        <v>78</v>
      </c>
      <c r="N674" t="s">
        <v>10280</v>
      </c>
      <c r="O674" t="s">
        <v>74</v>
      </c>
      <c r="P674" t="s">
        <v>74</v>
      </c>
      <c r="Q674" t="s">
        <v>74</v>
      </c>
      <c r="R674" t="s">
        <v>74</v>
      </c>
      <c r="S674" t="s">
        <v>74</v>
      </c>
      <c r="T674" t="s">
        <v>74</v>
      </c>
      <c r="U674" t="s">
        <v>74</v>
      </c>
      <c r="V674" t="s">
        <v>74</v>
      </c>
      <c r="W674" t="s">
        <v>11872</v>
      </c>
      <c r="X674" t="s">
        <v>11873</v>
      </c>
      <c r="Y674" t="s">
        <v>11874</v>
      </c>
      <c r="Z674" t="s">
        <v>11875</v>
      </c>
      <c r="AA674" t="s">
        <v>11876</v>
      </c>
      <c r="AB674" t="s">
        <v>11877</v>
      </c>
      <c r="AC674" t="s">
        <v>74</v>
      </c>
      <c r="AD674" t="s">
        <v>74</v>
      </c>
      <c r="AE674" t="s">
        <v>74</v>
      </c>
      <c r="AF674" t="s">
        <v>74</v>
      </c>
      <c r="AG674">
        <v>4</v>
      </c>
      <c r="AH674">
        <v>1</v>
      </c>
      <c r="AI674">
        <v>2</v>
      </c>
      <c r="AJ674">
        <v>1</v>
      </c>
      <c r="AK674">
        <v>11</v>
      </c>
      <c r="AL674" t="s">
        <v>11878</v>
      </c>
      <c r="AM674" t="s">
        <v>11879</v>
      </c>
      <c r="AN674" t="s">
        <v>11880</v>
      </c>
      <c r="AO674" t="s">
        <v>11743</v>
      </c>
      <c r="AP674" t="s">
        <v>11768</v>
      </c>
      <c r="AQ674" t="s">
        <v>74</v>
      </c>
      <c r="AR674" t="s">
        <v>11744</v>
      </c>
      <c r="AS674" t="s">
        <v>11745</v>
      </c>
      <c r="AT674" t="s">
        <v>74</v>
      </c>
      <c r="AU674">
        <v>2011</v>
      </c>
      <c r="AV674">
        <v>30</v>
      </c>
      <c r="AW674" t="s">
        <v>74</v>
      </c>
      <c r="AX674" t="s">
        <v>74</v>
      </c>
      <c r="AY674" t="s">
        <v>74</v>
      </c>
      <c r="AZ674" t="s">
        <v>74</v>
      </c>
      <c r="BA674" t="s">
        <v>74</v>
      </c>
      <c r="BB674" t="s">
        <v>74</v>
      </c>
      <c r="BC674" t="s">
        <v>74</v>
      </c>
      <c r="BD674">
        <v>15315</v>
      </c>
      <c r="BE674" t="s">
        <v>11881</v>
      </c>
      <c r="BF674" t="str">
        <f>HYPERLINK("http://dx.doi.org/10.3402/polar.v30i0.15315","http://dx.doi.org/10.3402/polar.v30i0.15315")</f>
        <v>http://dx.doi.org/10.3402/polar.v30i0.15315</v>
      </c>
      <c r="BG674" t="s">
        <v>74</v>
      </c>
      <c r="BH674" t="s">
        <v>74</v>
      </c>
      <c r="BI674">
        <v>3</v>
      </c>
      <c r="BJ674" t="s">
        <v>11747</v>
      </c>
      <c r="BK674" t="s">
        <v>100</v>
      </c>
      <c r="BL674" t="s">
        <v>3774</v>
      </c>
      <c r="BM674" t="s">
        <v>11818</v>
      </c>
      <c r="BN674" t="s">
        <v>74</v>
      </c>
      <c r="BO674" t="s">
        <v>7741</v>
      </c>
      <c r="BP674" t="s">
        <v>74</v>
      </c>
      <c r="BQ674" t="s">
        <v>74</v>
      </c>
      <c r="BR674" t="s">
        <v>103</v>
      </c>
      <c r="BS674" t="s">
        <v>11882</v>
      </c>
      <c r="BT674" t="str">
        <f>HYPERLINK("https%3A%2F%2Fwww.webofscience.com%2Fwos%2Fwoscc%2Ffull-record%2FWOS:000298956700003","View Full Record in Web of Science")</f>
        <v>View Full Record in Web of Science</v>
      </c>
    </row>
    <row r="675" spans="1:72" x14ac:dyDescent="0.15">
      <c r="A675" t="s">
        <v>72</v>
      </c>
      <c r="B675" t="s">
        <v>11883</v>
      </c>
      <c r="C675" t="s">
        <v>74</v>
      </c>
      <c r="D675" t="s">
        <v>74</v>
      </c>
      <c r="E675" t="s">
        <v>74</v>
      </c>
      <c r="F675" t="s">
        <v>11884</v>
      </c>
      <c r="G675" t="s">
        <v>74</v>
      </c>
      <c r="H675" t="s">
        <v>74</v>
      </c>
      <c r="I675" t="s">
        <v>11885</v>
      </c>
      <c r="J675" t="s">
        <v>11727</v>
      </c>
      <c r="K675" t="s">
        <v>74</v>
      </c>
      <c r="L675" t="s">
        <v>74</v>
      </c>
      <c r="M675" t="s">
        <v>78</v>
      </c>
      <c r="N675" t="s">
        <v>79</v>
      </c>
      <c r="O675" t="s">
        <v>74</v>
      </c>
      <c r="P675" t="s">
        <v>74</v>
      </c>
      <c r="Q675" t="s">
        <v>74</v>
      </c>
      <c r="R675" t="s">
        <v>74</v>
      </c>
      <c r="S675" t="s">
        <v>74</v>
      </c>
      <c r="T675" t="s">
        <v>11886</v>
      </c>
      <c r="U675" t="s">
        <v>11887</v>
      </c>
      <c r="V675" t="s">
        <v>11888</v>
      </c>
      <c r="W675" t="s">
        <v>11889</v>
      </c>
      <c r="X675" t="s">
        <v>11890</v>
      </c>
      <c r="Y675" t="s">
        <v>11891</v>
      </c>
      <c r="Z675" t="s">
        <v>11892</v>
      </c>
      <c r="AA675" t="s">
        <v>74</v>
      </c>
      <c r="AB675" t="s">
        <v>74</v>
      </c>
      <c r="AC675" t="s">
        <v>11893</v>
      </c>
      <c r="AD675" t="s">
        <v>11894</v>
      </c>
      <c r="AE675" t="s">
        <v>11895</v>
      </c>
      <c r="AF675" t="s">
        <v>74</v>
      </c>
      <c r="AG675">
        <v>52</v>
      </c>
      <c r="AH675">
        <v>28</v>
      </c>
      <c r="AI675">
        <v>32</v>
      </c>
      <c r="AJ675">
        <v>0</v>
      </c>
      <c r="AK675">
        <v>15</v>
      </c>
      <c r="AL675" t="s">
        <v>11765</v>
      </c>
      <c r="AM675" t="s">
        <v>11766</v>
      </c>
      <c r="AN675" t="s">
        <v>11767</v>
      </c>
      <c r="AO675" t="s">
        <v>11743</v>
      </c>
      <c r="AP675" t="s">
        <v>11768</v>
      </c>
      <c r="AQ675" t="s">
        <v>74</v>
      </c>
      <c r="AR675" t="s">
        <v>11744</v>
      </c>
      <c r="AS675" t="s">
        <v>11745</v>
      </c>
      <c r="AT675" t="s">
        <v>74</v>
      </c>
      <c r="AU675">
        <v>2011</v>
      </c>
      <c r="AV675">
        <v>30</v>
      </c>
      <c r="AW675" t="s">
        <v>74</v>
      </c>
      <c r="AX675" t="s">
        <v>74</v>
      </c>
      <c r="AY675" t="s">
        <v>74</v>
      </c>
      <c r="AZ675" t="s">
        <v>74</v>
      </c>
      <c r="BA675" t="s">
        <v>74</v>
      </c>
      <c r="BB675" t="s">
        <v>74</v>
      </c>
      <c r="BC675" t="s">
        <v>74</v>
      </c>
      <c r="BD675">
        <v>5910</v>
      </c>
      <c r="BE675" t="s">
        <v>11896</v>
      </c>
      <c r="BF675" t="str">
        <f>HYPERLINK("http://dx.doi.org/10.3402/polar.v30i0.5910","http://dx.doi.org/10.3402/polar.v30i0.5910")</f>
        <v>http://dx.doi.org/10.3402/polar.v30i0.5910</v>
      </c>
      <c r="BG675" t="s">
        <v>74</v>
      </c>
      <c r="BH675" t="s">
        <v>74</v>
      </c>
      <c r="BI675">
        <v>11</v>
      </c>
      <c r="BJ675" t="s">
        <v>11747</v>
      </c>
      <c r="BK675" t="s">
        <v>100</v>
      </c>
      <c r="BL675" t="s">
        <v>3774</v>
      </c>
      <c r="BM675" t="s">
        <v>11748</v>
      </c>
      <c r="BN675" t="s">
        <v>74</v>
      </c>
      <c r="BO675" t="s">
        <v>2456</v>
      </c>
      <c r="BP675" t="s">
        <v>74</v>
      </c>
      <c r="BQ675" t="s">
        <v>74</v>
      </c>
      <c r="BR675" t="s">
        <v>103</v>
      </c>
      <c r="BS675" t="s">
        <v>11897</v>
      </c>
      <c r="BT675" t="str">
        <f>HYPERLINK("https%3A%2F%2Fwww.webofscience.com%2Fwos%2Fwoscc%2Ffull-record%2FWOS:000298039700022","View Full Record in Web of Science")</f>
        <v>View Full Record in Web of Science</v>
      </c>
    </row>
    <row r="676" spans="1:72" x14ac:dyDescent="0.15">
      <c r="A676" t="s">
        <v>72</v>
      </c>
      <c r="B676" t="s">
        <v>11898</v>
      </c>
      <c r="C676" t="s">
        <v>74</v>
      </c>
      <c r="D676" t="s">
        <v>74</v>
      </c>
      <c r="E676" t="s">
        <v>74</v>
      </c>
      <c r="F676" t="s">
        <v>11899</v>
      </c>
      <c r="G676" t="s">
        <v>74</v>
      </c>
      <c r="H676" t="s">
        <v>74</v>
      </c>
      <c r="I676" t="s">
        <v>11900</v>
      </c>
      <c r="J676" t="s">
        <v>11727</v>
      </c>
      <c r="K676" t="s">
        <v>74</v>
      </c>
      <c r="L676" t="s">
        <v>74</v>
      </c>
      <c r="M676" t="s">
        <v>78</v>
      </c>
      <c r="N676" t="s">
        <v>79</v>
      </c>
      <c r="O676" t="s">
        <v>74</v>
      </c>
      <c r="P676" t="s">
        <v>74</v>
      </c>
      <c r="Q676" t="s">
        <v>74</v>
      </c>
      <c r="R676" t="s">
        <v>74</v>
      </c>
      <c r="S676" t="s">
        <v>74</v>
      </c>
      <c r="T676" t="s">
        <v>11901</v>
      </c>
      <c r="U676" t="s">
        <v>11902</v>
      </c>
      <c r="V676" t="s">
        <v>11903</v>
      </c>
      <c r="W676" t="s">
        <v>11904</v>
      </c>
      <c r="X676" t="s">
        <v>11905</v>
      </c>
      <c r="Y676" t="s">
        <v>11906</v>
      </c>
      <c r="Z676" t="s">
        <v>11907</v>
      </c>
      <c r="AA676" t="s">
        <v>11908</v>
      </c>
      <c r="AB676" t="s">
        <v>11909</v>
      </c>
      <c r="AC676" t="s">
        <v>11910</v>
      </c>
      <c r="AD676" t="s">
        <v>11911</v>
      </c>
      <c r="AE676" t="s">
        <v>11912</v>
      </c>
      <c r="AF676" t="s">
        <v>74</v>
      </c>
      <c r="AG676">
        <v>42</v>
      </c>
      <c r="AH676">
        <v>19</v>
      </c>
      <c r="AI676">
        <v>21</v>
      </c>
      <c r="AJ676">
        <v>1</v>
      </c>
      <c r="AK676">
        <v>17</v>
      </c>
      <c r="AL676" t="s">
        <v>11878</v>
      </c>
      <c r="AM676" t="s">
        <v>11879</v>
      </c>
      <c r="AN676" t="s">
        <v>11880</v>
      </c>
      <c r="AO676" t="s">
        <v>11743</v>
      </c>
      <c r="AP676" t="s">
        <v>11768</v>
      </c>
      <c r="AQ676" t="s">
        <v>74</v>
      </c>
      <c r="AR676" t="s">
        <v>11744</v>
      </c>
      <c r="AS676" t="s">
        <v>11745</v>
      </c>
      <c r="AT676" t="s">
        <v>74</v>
      </c>
      <c r="AU676">
        <v>2011</v>
      </c>
      <c r="AV676">
        <v>30</v>
      </c>
      <c r="AW676" t="s">
        <v>74</v>
      </c>
      <c r="AX676" t="s">
        <v>74</v>
      </c>
      <c r="AY676" t="s">
        <v>74</v>
      </c>
      <c r="AZ676" t="s">
        <v>74</v>
      </c>
      <c r="BA676" t="s">
        <v>74</v>
      </c>
      <c r="BB676" t="s">
        <v>74</v>
      </c>
      <c r="BC676" t="s">
        <v>74</v>
      </c>
      <c r="BD676">
        <v>7283</v>
      </c>
      <c r="BE676" t="s">
        <v>11913</v>
      </c>
      <c r="BF676" t="str">
        <f>HYPERLINK("http://dx.doi.org/10.3402/polar.v30i0.7283","http://dx.doi.org/10.3402/polar.v30i0.7283")</f>
        <v>http://dx.doi.org/10.3402/polar.v30i0.7283</v>
      </c>
      <c r="BG676" t="s">
        <v>74</v>
      </c>
      <c r="BH676" t="s">
        <v>74</v>
      </c>
      <c r="BI676">
        <v>7</v>
      </c>
      <c r="BJ676" t="s">
        <v>11747</v>
      </c>
      <c r="BK676" t="s">
        <v>100</v>
      </c>
      <c r="BL676" t="s">
        <v>3774</v>
      </c>
      <c r="BM676" t="s">
        <v>11748</v>
      </c>
      <c r="BN676" t="s">
        <v>74</v>
      </c>
      <c r="BO676" t="s">
        <v>2317</v>
      </c>
      <c r="BP676" t="s">
        <v>74</v>
      </c>
      <c r="BQ676" t="s">
        <v>74</v>
      </c>
      <c r="BR676" t="s">
        <v>103</v>
      </c>
      <c r="BS676" t="s">
        <v>11914</v>
      </c>
      <c r="BT676" t="str">
        <f>HYPERLINK("https%3A%2F%2Fwww.webofscience.com%2Fwos%2Fwoscc%2Ffull-record%2FWOS:000298039700011","View Full Record in Web of Science")</f>
        <v>View Full Record in Web of Science</v>
      </c>
    </row>
    <row r="677" spans="1:72" x14ac:dyDescent="0.15">
      <c r="A677" t="s">
        <v>72</v>
      </c>
      <c r="B677" t="s">
        <v>11915</v>
      </c>
      <c r="C677" t="s">
        <v>74</v>
      </c>
      <c r="D677" t="s">
        <v>74</v>
      </c>
      <c r="E677" t="s">
        <v>74</v>
      </c>
      <c r="F677" t="s">
        <v>11916</v>
      </c>
      <c r="G677" t="s">
        <v>74</v>
      </c>
      <c r="H677" t="s">
        <v>74</v>
      </c>
      <c r="I677" t="s">
        <v>11917</v>
      </c>
      <c r="J677" t="s">
        <v>11727</v>
      </c>
      <c r="K677" t="s">
        <v>74</v>
      </c>
      <c r="L677" t="s">
        <v>74</v>
      </c>
      <c r="M677" t="s">
        <v>78</v>
      </c>
      <c r="N677" t="s">
        <v>79</v>
      </c>
      <c r="O677" t="s">
        <v>74</v>
      </c>
      <c r="P677" t="s">
        <v>74</v>
      </c>
      <c r="Q677" t="s">
        <v>74</v>
      </c>
      <c r="R677" t="s">
        <v>74</v>
      </c>
      <c r="S677" t="s">
        <v>74</v>
      </c>
      <c r="T677" t="s">
        <v>11918</v>
      </c>
      <c r="U677" t="s">
        <v>11919</v>
      </c>
      <c r="V677" t="s">
        <v>11920</v>
      </c>
      <c r="W677" t="s">
        <v>11921</v>
      </c>
      <c r="X677" t="s">
        <v>11922</v>
      </c>
      <c r="Y677" t="s">
        <v>11923</v>
      </c>
      <c r="Z677" t="s">
        <v>11924</v>
      </c>
      <c r="AA677" t="s">
        <v>11925</v>
      </c>
      <c r="AB677" t="s">
        <v>11926</v>
      </c>
      <c r="AC677" t="s">
        <v>11927</v>
      </c>
      <c r="AD677" t="s">
        <v>11928</v>
      </c>
      <c r="AE677" t="s">
        <v>11929</v>
      </c>
      <c r="AF677" t="s">
        <v>74</v>
      </c>
      <c r="AG677">
        <v>30</v>
      </c>
      <c r="AH677">
        <v>9</v>
      </c>
      <c r="AI677">
        <v>10</v>
      </c>
      <c r="AJ677">
        <v>0</v>
      </c>
      <c r="AK677">
        <v>14</v>
      </c>
      <c r="AL677" t="s">
        <v>11765</v>
      </c>
      <c r="AM677" t="s">
        <v>11766</v>
      </c>
      <c r="AN677" t="s">
        <v>11767</v>
      </c>
      <c r="AO677" t="s">
        <v>11743</v>
      </c>
      <c r="AP677" t="s">
        <v>11768</v>
      </c>
      <c r="AQ677" t="s">
        <v>74</v>
      </c>
      <c r="AR677" t="s">
        <v>11769</v>
      </c>
      <c r="AS677" t="s">
        <v>11745</v>
      </c>
      <c r="AT677" t="s">
        <v>74</v>
      </c>
      <c r="AU677">
        <v>2011</v>
      </c>
      <c r="AV677">
        <v>30</v>
      </c>
      <c r="AW677" t="s">
        <v>74</v>
      </c>
      <c r="AX677" t="s">
        <v>74</v>
      </c>
      <c r="AY677" t="s">
        <v>74</v>
      </c>
      <c r="AZ677" t="s">
        <v>74</v>
      </c>
      <c r="BA677" t="s">
        <v>74</v>
      </c>
      <c r="BB677" t="s">
        <v>74</v>
      </c>
      <c r="BC677" t="s">
        <v>74</v>
      </c>
      <c r="BD677">
        <v>6330</v>
      </c>
      <c r="BE677" t="s">
        <v>11930</v>
      </c>
      <c r="BF677" t="str">
        <f>HYPERLINK("http://dx.doi.org/10.3402/polar.v30i0.6330","http://dx.doi.org/10.3402/polar.v30i0.6330")</f>
        <v>http://dx.doi.org/10.3402/polar.v30i0.6330</v>
      </c>
      <c r="BG677" t="s">
        <v>74</v>
      </c>
      <c r="BH677" t="s">
        <v>74</v>
      </c>
      <c r="BI677">
        <v>11</v>
      </c>
      <c r="BJ677" t="s">
        <v>11747</v>
      </c>
      <c r="BK677" t="s">
        <v>100</v>
      </c>
      <c r="BL677" t="s">
        <v>3774</v>
      </c>
      <c r="BM677" t="s">
        <v>11748</v>
      </c>
      <c r="BN677" t="s">
        <v>74</v>
      </c>
      <c r="BO677" t="s">
        <v>3113</v>
      </c>
      <c r="BP677" t="s">
        <v>74</v>
      </c>
      <c r="BQ677" t="s">
        <v>74</v>
      </c>
      <c r="BR677" t="s">
        <v>103</v>
      </c>
      <c r="BS677" t="s">
        <v>11931</v>
      </c>
      <c r="BT677" t="str">
        <f>HYPERLINK("https%3A%2F%2Fwww.webofscience.com%2Fwos%2Fwoscc%2Ffull-record%2FWOS:000298039700019","View Full Record in Web of Science")</f>
        <v>View Full Record in Web of Science</v>
      </c>
    </row>
    <row r="678" spans="1:72" x14ac:dyDescent="0.15">
      <c r="A678" t="s">
        <v>72</v>
      </c>
      <c r="B678" t="s">
        <v>11932</v>
      </c>
      <c r="C678" t="s">
        <v>74</v>
      </c>
      <c r="D678" t="s">
        <v>74</v>
      </c>
      <c r="E678" t="s">
        <v>74</v>
      </c>
      <c r="F678" t="s">
        <v>11933</v>
      </c>
      <c r="G678" t="s">
        <v>74</v>
      </c>
      <c r="H678" t="s">
        <v>74</v>
      </c>
      <c r="I678" t="s">
        <v>11934</v>
      </c>
      <c r="J678" t="s">
        <v>11727</v>
      </c>
      <c r="K678" t="s">
        <v>74</v>
      </c>
      <c r="L678" t="s">
        <v>74</v>
      </c>
      <c r="M678" t="s">
        <v>78</v>
      </c>
      <c r="N678" t="s">
        <v>79</v>
      </c>
      <c r="O678" t="s">
        <v>74</v>
      </c>
      <c r="P678" t="s">
        <v>74</v>
      </c>
      <c r="Q678" t="s">
        <v>74</v>
      </c>
      <c r="R678" t="s">
        <v>74</v>
      </c>
      <c r="S678" t="s">
        <v>74</v>
      </c>
      <c r="T678" t="s">
        <v>11935</v>
      </c>
      <c r="U678" t="s">
        <v>11936</v>
      </c>
      <c r="V678" t="s">
        <v>11937</v>
      </c>
      <c r="W678" t="s">
        <v>11938</v>
      </c>
      <c r="X678" t="s">
        <v>11939</v>
      </c>
      <c r="Y678" t="s">
        <v>11940</v>
      </c>
      <c r="Z678" t="s">
        <v>11941</v>
      </c>
      <c r="AA678" t="s">
        <v>11942</v>
      </c>
      <c r="AB678" t="s">
        <v>11943</v>
      </c>
      <c r="AC678" t="s">
        <v>11944</v>
      </c>
      <c r="AD678" t="s">
        <v>11944</v>
      </c>
      <c r="AE678" t="s">
        <v>11945</v>
      </c>
      <c r="AF678" t="s">
        <v>74</v>
      </c>
      <c r="AG678">
        <v>64</v>
      </c>
      <c r="AH678">
        <v>10</v>
      </c>
      <c r="AI678">
        <v>11</v>
      </c>
      <c r="AJ678">
        <v>1</v>
      </c>
      <c r="AK678">
        <v>16</v>
      </c>
      <c r="AL678" t="s">
        <v>474</v>
      </c>
      <c r="AM678" t="s">
        <v>475</v>
      </c>
      <c r="AN678" t="s">
        <v>476</v>
      </c>
      <c r="AO678" t="s">
        <v>11743</v>
      </c>
      <c r="AP678" t="s">
        <v>11768</v>
      </c>
      <c r="AQ678" t="s">
        <v>74</v>
      </c>
      <c r="AR678" t="s">
        <v>11744</v>
      </c>
      <c r="AS678" t="s">
        <v>11745</v>
      </c>
      <c r="AT678" t="s">
        <v>74</v>
      </c>
      <c r="AU678">
        <v>2011</v>
      </c>
      <c r="AV678">
        <v>30</v>
      </c>
      <c r="AW678" t="s">
        <v>74</v>
      </c>
      <c r="AX678" t="s">
        <v>74</v>
      </c>
      <c r="AY678" t="s">
        <v>74</v>
      </c>
      <c r="AZ678" t="s">
        <v>74</v>
      </c>
      <c r="BA678" t="s">
        <v>74</v>
      </c>
      <c r="BB678" t="s">
        <v>74</v>
      </c>
      <c r="BC678" t="s">
        <v>74</v>
      </c>
      <c r="BD678">
        <v>11203</v>
      </c>
      <c r="BE678" t="s">
        <v>11946</v>
      </c>
      <c r="BF678" t="str">
        <f>HYPERLINK("http://dx.doi.org/10.3402/polar.v30i0.11203","http://dx.doi.org/10.3402/polar.v30i0.11203")</f>
        <v>http://dx.doi.org/10.3402/polar.v30i0.11203</v>
      </c>
      <c r="BG678" t="s">
        <v>74</v>
      </c>
      <c r="BH678" t="s">
        <v>74</v>
      </c>
      <c r="BI678">
        <v>14</v>
      </c>
      <c r="BJ678" t="s">
        <v>11747</v>
      </c>
      <c r="BK678" t="s">
        <v>100</v>
      </c>
      <c r="BL678" t="s">
        <v>3774</v>
      </c>
      <c r="BM678" t="s">
        <v>11818</v>
      </c>
      <c r="BN678" t="s">
        <v>74</v>
      </c>
      <c r="BO678" t="s">
        <v>3113</v>
      </c>
      <c r="BP678" t="s">
        <v>74</v>
      </c>
      <c r="BQ678" t="s">
        <v>74</v>
      </c>
      <c r="BR678" t="s">
        <v>103</v>
      </c>
      <c r="BS678" t="s">
        <v>11947</v>
      </c>
      <c r="BT678" t="str">
        <f>HYPERLINK("https%3A%2F%2Fwww.webofscience.com%2Fwos%2Fwoscc%2Ffull-record%2FWOS:000298956700002","View Full Record in Web of Science")</f>
        <v>View Full Record in Web of Science</v>
      </c>
    </row>
    <row r="679" spans="1:72" x14ac:dyDescent="0.15">
      <c r="A679" t="s">
        <v>72</v>
      </c>
      <c r="B679" t="s">
        <v>11948</v>
      </c>
      <c r="C679" t="s">
        <v>74</v>
      </c>
      <c r="D679" t="s">
        <v>74</v>
      </c>
      <c r="E679" t="s">
        <v>74</v>
      </c>
      <c r="F679" t="s">
        <v>11949</v>
      </c>
      <c r="G679" t="s">
        <v>74</v>
      </c>
      <c r="H679" t="s">
        <v>74</v>
      </c>
      <c r="I679" t="s">
        <v>11950</v>
      </c>
      <c r="J679" t="s">
        <v>11727</v>
      </c>
      <c r="K679" t="s">
        <v>74</v>
      </c>
      <c r="L679" t="s">
        <v>74</v>
      </c>
      <c r="M679" t="s">
        <v>78</v>
      </c>
      <c r="N679" t="s">
        <v>79</v>
      </c>
      <c r="O679" t="s">
        <v>74</v>
      </c>
      <c r="P679" t="s">
        <v>74</v>
      </c>
      <c r="Q679" t="s">
        <v>74</v>
      </c>
      <c r="R679" t="s">
        <v>74</v>
      </c>
      <c r="S679" t="s">
        <v>74</v>
      </c>
      <c r="T679" t="s">
        <v>11951</v>
      </c>
      <c r="U679" t="s">
        <v>11952</v>
      </c>
      <c r="V679" t="s">
        <v>11953</v>
      </c>
      <c r="W679" t="s">
        <v>11954</v>
      </c>
      <c r="X679" t="s">
        <v>11955</v>
      </c>
      <c r="Y679" t="s">
        <v>11956</v>
      </c>
      <c r="Z679" t="s">
        <v>11957</v>
      </c>
      <c r="AA679" t="s">
        <v>74</v>
      </c>
      <c r="AB679" t="s">
        <v>11958</v>
      </c>
      <c r="AC679" t="s">
        <v>11959</v>
      </c>
      <c r="AD679" t="s">
        <v>11960</v>
      </c>
      <c r="AE679" t="s">
        <v>11961</v>
      </c>
      <c r="AF679" t="s">
        <v>74</v>
      </c>
      <c r="AG679">
        <v>32</v>
      </c>
      <c r="AH679">
        <v>29</v>
      </c>
      <c r="AI679">
        <v>29</v>
      </c>
      <c r="AJ679">
        <v>0</v>
      </c>
      <c r="AK679">
        <v>28</v>
      </c>
      <c r="AL679" t="s">
        <v>11740</v>
      </c>
      <c r="AM679" t="s">
        <v>11741</v>
      </c>
      <c r="AN679" t="s">
        <v>11742</v>
      </c>
      <c r="AO679" t="s">
        <v>11743</v>
      </c>
      <c r="AP679" t="s">
        <v>74</v>
      </c>
      <c r="AQ679" t="s">
        <v>74</v>
      </c>
      <c r="AR679" t="s">
        <v>11744</v>
      </c>
      <c r="AS679" t="s">
        <v>11745</v>
      </c>
      <c r="AT679" t="s">
        <v>74</v>
      </c>
      <c r="AU679">
        <v>2011</v>
      </c>
      <c r="AV679">
        <v>30</v>
      </c>
      <c r="AW679" t="s">
        <v>74</v>
      </c>
      <c r="AX679" t="s">
        <v>74</v>
      </c>
      <c r="AY679" t="s">
        <v>74</v>
      </c>
      <c r="AZ679" t="s">
        <v>74</v>
      </c>
      <c r="BA679" t="s">
        <v>74</v>
      </c>
      <c r="BB679" t="s">
        <v>74</v>
      </c>
      <c r="BC679" t="s">
        <v>74</v>
      </c>
      <c r="BD679">
        <v>7146</v>
      </c>
      <c r="BE679" t="s">
        <v>11962</v>
      </c>
      <c r="BF679" t="str">
        <f>HYPERLINK("http://dx.doi.org/10.3402/polar.v30i0.7146","http://dx.doi.org/10.3402/polar.v30i0.7146")</f>
        <v>http://dx.doi.org/10.3402/polar.v30i0.7146</v>
      </c>
      <c r="BG679" t="s">
        <v>74</v>
      </c>
      <c r="BH679" t="s">
        <v>74</v>
      </c>
      <c r="BI679">
        <v>10</v>
      </c>
      <c r="BJ679" t="s">
        <v>11747</v>
      </c>
      <c r="BK679" t="s">
        <v>100</v>
      </c>
      <c r="BL679" t="s">
        <v>3774</v>
      </c>
      <c r="BM679" t="s">
        <v>11748</v>
      </c>
      <c r="BN679" t="s">
        <v>74</v>
      </c>
      <c r="BO679" t="s">
        <v>2317</v>
      </c>
      <c r="BP679" t="s">
        <v>74</v>
      </c>
      <c r="BQ679" t="s">
        <v>74</v>
      </c>
      <c r="BR679" t="s">
        <v>103</v>
      </c>
      <c r="BS679" t="s">
        <v>11963</v>
      </c>
      <c r="BT679" t="str">
        <f>HYPERLINK("https%3A%2F%2Fwww.webofscience.com%2Fwos%2Fwoscc%2Ffull-record%2FWOS:000298039700015","View Full Record in Web of Science")</f>
        <v>View Full Record in Web of Science</v>
      </c>
    </row>
    <row r="680" spans="1:72" x14ac:dyDescent="0.15">
      <c r="A680" t="s">
        <v>72</v>
      </c>
      <c r="B680" t="s">
        <v>11964</v>
      </c>
      <c r="C680" t="s">
        <v>74</v>
      </c>
      <c r="D680" t="s">
        <v>74</v>
      </c>
      <c r="E680" t="s">
        <v>74</v>
      </c>
      <c r="F680" t="s">
        <v>11965</v>
      </c>
      <c r="G680" t="s">
        <v>74</v>
      </c>
      <c r="H680" t="s">
        <v>74</v>
      </c>
      <c r="I680" t="s">
        <v>11966</v>
      </c>
      <c r="J680" t="s">
        <v>11727</v>
      </c>
      <c r="K680" t="s">
        <v>74</v>
      </c>
      <c r="L680" t="s">
        <v>74</v>
      </c>
      <c r="M680" t="s">
        <v>78</v>
      </c>
      <c r="N680" t="s">
        <v>79</v>
      </c>
      <c r="O680" t="s">
        <v>74</v>
      </c>
      <c r="P680" t="s">
        <v>74</v>
      </c>
      <c r="Q680" t="s">
        <v>74</v>
      </c>
      <c r="R680" t="s">
        <v>74</v>
      </c>
      <c r="S680" t="s">
        <v>74</v>
      </c>
      <c r="T680" t="s">
        <v>11967</v>
      </c>
      <c r="U680" t="s">
        <v>11968</v>
      </c>
      <c r="V680" t="s">
        <v>11969</v>
      </c>
      <c r="W680" t="s">
        <v>11970</v>
      </c>
      <c r="X680" t="s">
        <v>11971</v>
      </c>
      <c r="Y680" t="s">
        <v>11972</v>
      </c>
      <c r="Z680" t="s">
        <v>9458</v>
      </c>
      <c r="AA680" t="s">
        <v>11973</v>
      </c>
      <c r="AB680" t="s">
        <v>11974</v>
      </c>
      <c r="AC680" t="s">
        <v>11975</v>
      </c>
      <c r="AD680" t="s">
        <v>11976</v>
      </c>
      <c r="AE680" t="s">
        <v>11977</v>
      </c>
      <c r="AF680" t="s">
        <v>74</v>
      </c>
      <c r="AG680">
        <v>45</v>
      </c>
      <c r="AH680">
        <v>34</v>
      </c>
      <c r="AI680">
        <v>37</v>
      </c>
      <c r="AJ680">
        <v>2</v>
      </c>
      <c r="AK680">
        <v>15</v>
      </c>
      <c r="AL680" t="s">
        <v>11740</v>
      </c>
      <c r="AM680" t="s">
        <v>11741</v>
      </c>
      <c r="AN680" t="s">
        <v>11742</v>
      </c>
      <c r="AO680" t="s">
        <v>11743</v>
      </c>
      <c r="AP680" t="s">
        <v>74</v>
      </c>
      <c r="AQ680" t="s">
        <v>74</v>
      </c>
      <c r="AR680" t="s">
        <v>11744</v>
      </c>
      <c r="AS680" t="s">
        <v>11745</v>
      </c>
      <c r="AT680" t="s">
        <v>74</v>
      </c>
      <c r="AU680">
        <v>2011</v>
      </c>
      <c r="AV680">
        <v>30</v>
      </c>
      <c r="AW680" t="s">
        <v>74</v>
      </c>
      <c r="AX680" t="s">
        <v>74</v>
      </c>
      <c r="AY680" t="s">
        <v>74</v>
      </c>
      <c r="AZ680" t="s">
        <v>74</v>
      </c>
      <c r="BA680" t="s">
        <v>74</v>
      </c>
      <c r="BB680" t="s">
        <v>74</v>
      </c>
      <c r="BC680" t="s">
        <v>74</v>
      </c>
      <c r="BD680">
        <v>5971</v>
      </c>
      <c r="BE680" t="s">
        <v>11978</v>
      </c>
      <c r="BF680" t="str">
        <f>HYPERLINK("http://dx.doi.org/10.3402/polar.v30i0.5971","http://dx.doi.org/10.3402/polar.v30i0.5971")</f>
        <v>http://dx.doi.org/10.3402/polar.v30i0.5971</v>
      </c>
      <c r="BG680" t="s">
        <v>74</v>
      </c>
      <c r="BH680" t="s">
        <v>74</v>
      </c>
      <c r="BI680">
        <v>16</v>
      </c>
      <c r="BJ680" t="s">
        <v>11747</v>
      </c>
      <c r="BK680" t="s">
        <v>100</v>
      </c>
      <c r="BL680" t="s">
        <v>3774</v>
      </c>
      <c r="BM680" t="s">
        <v>11789</v>
      </c>
      <c r="BN680" t="s">
        <v>74</v>
      </c>
      <c r="BO680" t="s">
        <v>5804</v>
      </c>
      <c r="BP680" t="s">
        <v>74</v>
      </c>
      <c r="BQ680" t="s">
        <v>74</v>
      </c>
      <c r="BR680" t="s">
        <v>103</v>
      </c>
      <c r="BS680" t="s">
        <v>11979</v>
      </c>
      <c r="BT680" t="str">
        <f>HYPERLINK("https%3A%2F%2Fwww.webofscience.com%2Fwos%2Fwoscc%2Ffull-record%2FWOS:000298040800005","View Full Record in Web of Science")</f>
        <v>View Full Record in Web of Science</v>
      </c>
    </row>
    <row r="681" spans="1:72" x14ac:dyDescent="0.15">
      <c r="A681" t="s">
        <v>72</v>
      </c>
      <c r="B681" t="s">
        <v>11980</v>
      </c>
      <c r="C681" t="s">
        <v>74</v>
      </c>
      <c r="D681" t="s">
        <v>74</v>
      </c>
      <c r="E681" t="s">
        <v>74</v>
      </c>
      <c r="F681" t="s">
        <v>11981</v>
      </c>
      <c r="G681" t="s">
        <v>74</v>
      </c>
      <c r="H681" t="s">
        <v>74</v>
      </c>
      <c r="I681" t="s">
        <v>11982</v>
      </c>
      <c r="J681" t="s">
        <v>11727</v>
      </c>
      <c r="K681" t="s">
        <v>74</v>
      </c>
      <c r="L681" t="s">
        <v>74</v>
      </c>
      <c r="M681" t="s">
        <v>78</v>
      </c>
      <c r="N681" t="s">
        <v>79</v>
      </c>
      <c r="O681" t="s">
        <v>74</v>
      </c>
      <c r="P681" t="s">
        <v>74</v>
      </c>
      <c r="Q681" t="s">
        <v>74</v>
      </c>
      <c r="R681" t="s">
        <v>74</v>
      </c>
      <c r="S681" t="s">
        <v>74</v>
      </c>
      <c r="T681" t="s">
        <v>11983</v>
      </c>
      <c r="U681" t="s">
        <v>11984</v>
      </c>
      <c r="V681" t="s">
        <v>11985</v>
      </c>
      <c r="W681" t="s">
        <v>11986</v>
      </c>
      <c r="X681" t="s">
        <v>11987</v>
      </c>
      <c r="Y681" t="s">
        <v>11988</v>
      </c>
      <c r="Z681" t="s">
        <v>11989</v>
      </c>
      <c r="AA681" t="s">
        <v>11990</v>
      </c>
      <c r="AB681" t="s">
        <v>11991</v>
      </c>
      <c r="AC681" t="s">
        <v>11992</v>
      </c>
      <c r="AD681" t="s">
        <v>11993</v>
      </c>
      <c r="AE681" t="s">
        <v>11994</v>
      </c>
      <c r="AF681" t="s">
        <v>74</v>
      </c>
      <c r="AG681">
        <v>94</v>
      </c>
      <c r="AH681">
        <v>6</v>
      </c>
      <c r="AI681">
        <v>7</v>
      </c>
      <c r="AJ681">
        <v>0</v>
      </c>
      <c r="AK681">
        <v>19</v>
      </c>
      <c r="AL681" t="s">
        <v>11878</v>
      </c>
      <c r="AM681" t="s">
        <v>11879</v>
      </c>
      <c r="AN681" t="s">
        <v>11880</v>
      </c>
      <c r="AO681" t="s">
        <v>11743</v>
      </c>
      <c r="AP681" t="s">
        <v>11768</v>
      </c>
      <c r="AQ681" t="s">
        <v>74</v>
      </c>
      <c r="AR681" t="s">
        <v>11744</v>
      </c>
      <c r="AS681" t="s">
        <v>11745</v>
      </c>
      <c r="AT681" t="s">
        <v>74</v>
      </c>
      <c r="AU681">
        <v>2011</v>
      </c>
      <c r="AV681">
        <v>30</v>
      </c>
      <c r="AW681" t="s">
        <v>74</v>
      </c>
      <c r="AX681" t="s">
        <v>74</v>
      </c>
      <c r="AY681" t="s">
        <v>74</v>
      </c>
      <c r="AZ681" t="s">
        <v>74</v>
      </c>
      <c r="BA681" t="s">
        <v>74</v>
      </c>
      <c r="BB681" t="s">
        <v>74</v>
      </c>
      <c r="BC681" t="s">
        <v>74</v>
      </c>
      <c r="BD681">
        <v>6039</v>
      </c>
      <c r="BE681" t="s">
        <v>11995</v>
      </c>
      <c r="BF681" t="str">
        <f>HYPERLINK("http://dx.doi.org/10.3402/polar.v30i0.6039","http://dx.doi.org/10.3402/polar.v30i0.6039")</f>
        <v>http://dx.doi.org/10.3402/polar.v30i0.6039</v>
      </c>
      <c r="BG681" t="s">
        <v>74</v>
      </c>
      <c r="BH681" t="s">
        <v>74</v>
      </c>
      <c r="BI681">
        <v>21</v>
      </c>
      <c r="BJ681" t="s">
        <v>11747</v>
      </c>
      <c r="BK681" t="s">
        <v>100</v>
      </c>
      <c r="BL681" t="s">
        <v>3774</v>
      </c>
      <c r="BM681" t="s">
        <v>11748</v>
      </c>
      <c r="BN681" t="s">
        <v>74</v>
      </c>
      <c r="BO681" t="s">
        <v>2317</v>
      </c>
      <c r="BP681" t="s">
        <v>74</v>
      </c>
      <c r="BQ681" t="s">
        <v>74</v>
      </c>
      <c r="BR681" t="s">
        <v>103</v>
      </c>
      <c r="BS681" t="s">
        <v>11996</v>
      </c>
      <c r="BT681" t="str">
        <f>HYPERLINK("https%3A%2F%2Fwww.webofscience.com%2Fwos%2Fwoscc%2Ffull-record%2FWOS:000298039700020","View Full Record in Web of Science")</f>
        <v>View Full Record in Web of Science</v>
      </c>
    </row>
    <row r="682" spans="1:72" x14ac:dyDescent="0.15">
      <c r="A682" t="s">
        <v>72</v>
      </c>
      <c r="B682" t="s">
        <v>11997</v>
      </c>
      <c r="C682" t="s">
        <v>74</v>
      </c>
      <c r="D682" t="s">
        <v>74</v>
      </c>
      <c r="E682" t="s">
        <v>74</v>
      </c>
      <c r="F682" t="s">
        <v>11998</v>
      </c>
      <c r="G682" t="s">
        <v>74</v>
      </c>
      <c r="H682" t="s">
        <v>74</v>
      </c>
      <c r="I682" t="s">
        <v>11999</v>
      </c>
      <c r="J682" t="s">
        <v>11727</v>
      </c>
      <c r="K682" t="s">
        <v>74</v>
      </c>
      <c r="L682" t="s">
        <v>74</v>
      </c>
      <c r="M682" t="s">
        <v>78</v>
      </c>
      <c r="N682" t="s">
        <v>79</v>
      </c>
      <c r="O682" t="s">
        <v>74</v>
      </c>
      <c r="P682" t="s">
        <v>74</v>
      </c>
      <c r="Q682" t="s">
        <v>74</v>
      </c>
      <c r="R682" t="s">
        <v>74</v>
      </c>
      <c r="S682" t="s">
        <v>74</v>
      </c>
      <c r="T682" t="s">
        <v>12000</v>
      </c>
      <c r="U682" t="s">
        <v>12001</v>
      </c>
      <c r="V682" t="s">
        <v>12002</v>
      </c>
      <c r="W682" t="s">
        <v>12003</v>
      </c>
      <c r="X682" t="s">
        <v>12004</v>
      </c>
      <c r="Y682" t="s">
        <v>12005</v>
      </c>
      <c r="Z682" t="s">
        <v>12006</v>
      </c>
      <c r="AA682" t="s">
        <v>12007</v>
      </c>
      <c r="AB682" t="s">
        <v>11991</v>
      </c>
      <c r="AC682" t="s">
        <v>12008</v>
      </c>
      <c r="AD682" t="s">
        <v>12009</v>
      </c>
      <c r="AE682" t="s">
        <v>12010</v>
      </c>
      <c r="AF682" t="s">
        <v>74</v>
      </c>
      <c r="AG682">
        <v>55</v>
      </c>
      <c r="AH682">
        <v>15</v>
      </c>
      <c r="AI682">
        <v>16</v>
      </c>
      <c r="AJ682">
        <v>0</v>
      </c>
      <c r="AK682">
        <v>26</v>
      </c>
      <c r="AL682" t="s">
        <v>11765</v>
      </c>
      <c r="AM682" t="s">
        <v>11766</v>
      </c>
      <c r="AN682" t="s">
        <v>11767</v>
      </c>
      <c r="AO682" t="s">
        <v>11743</v>
      </c>
      <c r="AP682" t="s">
        <v>11768</v>
      </c>
      <c r="AQ682" t="s">
        <v>74</v>
      </c>
      <c r="AR682" t="s">
        <v>11744</v>
      </c>
      <c r="AS682" t="s">
        <v>11745</v>
      </c>
      <c r="AT682" t="s">
        <v>74</v>
      </c>
      <c r="AU682">
        <v>2011</v>
      </c>
      <c r="AV682">
        <v>30</v>
      </c>
      <c r="AW682" t="s">
        <v>74</v>
      </c>
      <c r="AX682" t="s">
        <v>74</v>
      </c>
      <c r="AY682" t="s">
        <v>74</v>
      </c>
      <c r="AZ682" t="s">
        <v>74</v>
      </c>
      <c r="BA682" t="s">
        <v>74</v>
      </c>
      <c r="BB682" t="s">
        <v>74</v>
      </c>
      <c r="BC682" t="s">
        <v>74</v>
      </c>
      <c r="BD682">
        <v>10167</v>
      </c>
      <c r="BE682" t="s">
        <v>12011</v>
      </c>
      <c r="BF682" t="str">
        <f>HYPERLINK("http://dx.doi.org/10.3402/polar.v30i0.10167","http://dx.doi.org/10.3402/polar.v30i0.10167")</f>
        <v>http://dx.doi.org/10.3402/polar.v30i0.10167</v>
      </c>
      <c r="BG682" t="s">
        <v>74</v>
      </c>
      <c r="BH682" t="s">
        <v>74</v>
      </c>
      <c r="BI682">
        <v>27</v>
      </c>
      <c r="BJ682" t="s">
        <v>11747</v>
      </c>
      <c r="BK682" t="s">
        <v>100</v>
      </c>
      <c r="BL682" t="s">
        <v>3774</v>
      </c>
      <c r="BM682" t="s">
        <v>11748</v>
      </c>
      <c r="BN682" t="s">
        <v>74</v>
      </c>
      <c r="BO682" t="s">
        <v>2317</v>
      </c>
      <c r="BP682" t="s">
        <v>74</v>
      </c>
      <c r="BQ682" t="s">
        <v>74</v>
      </c>
      <c r="BR682" t="s">
        <v>103</v>
      </c>
      <c r="BS682" t="s">
        <v>12012</v>
      </c>
      <c r="BT682" t="str">
        <f>HYPERLINK("https%3A%2F%2Fwww.webofscience.com%2Fwos%2Fwoscc%2Ffull-record%2FWOS:000298039700003","View Full Record in Web of Science")</f>
        <v>View Full Record in Web of Science</v>
      </c>
    </row>
    <row r="683" spans="1:72" x14ac:dyDescent="0.15">
      <c r="A683" t="s">
        <v>72</v>
      </c>
      <c r="B683" t="s">
        <v>12013</v>
      </c>
      <c r="C683" t="s">
        <v>74</v>
      </c>
      <c r="D683" t="s">
        <v>74</v>
      </c>
      <c r="E683" t="s">
        <v>74</v>
      </c>
      <c r="F683" t="s">
        <v>12014</v>
      </c>
      <c r="G683" t="s">
        <v>74</v>
      </c>
      <c r="H683" t="s">
        <v>74</v>
      </c>
      <c r="I683" t="s">
        <v>12015</v>
      </c>
      <c r="J683" t="s">
        <v>12016</v>
      </c>
      <c r="K683" t="s">
        <v>74</v>
      </c>
      <c r="L683" t="s">
        <v>74</v>
      </c>
      <c r="M683" t="s">
        <v>78</v>
      </c>
      <c r="N683" t="s">
        <v>79</v>
      </c>
      <c r="O683" t="s">
        <v>74</v>
      </c>
      <c r="P683" t="s">
        <v>74</v>
      </c>
      <c r="Q683" t="s">
        <v>74</v>
      </c>
      <c r="R683" t="s">
        <v>74</v>
      </c>
      <c r="S683" t="s">
        <v>74</v>
      </c>
      <c r="T683" t="s">
        <v>12017</v>
      </c>
      <c r="U683" t="s">
        <v>12018</v>
      </c>
      <c r="V683" t="s">
        <v>12019</v>
      </c>
      <c r="W683" t="s">
        <v>12020</v>
      </c>
      <c r="X683" t="s">
        <v>12021</v>
      </c>
      <c r="Y683" t="s">
        <v>12022</v>
      </c>
      <c r="Z683" t="s">
        <v>12023</v>
      </c>
      <c r="AA683" t="s">
        <v>74</v>
      </c>
      <c r="AB683" t="s">
        <v>74</v>
      </c>
      <c r="AC683" t="s">
        <v>12024</v>
      </c>
      <c r="AD683" t="s">
        <v>12025</v>
      </c>
      <c r="AE683" t="s">
        <v>12026</v>
      </c>
      <c r="AF683" t="s">
        <v>74</v>
      </c>
      <c r="AG683">
        <v>49</v>
      </c>
      <c r="AH683">
        <v>15</v>
      </c>
      <c r="AI683">
        <v>19</v>
      </c>
      <c r="AJ683">
        <v>0</v>
      </c>
      <c r="AK683">
        <v>6</v>
      </c>
      <c r="AL683" t="s">
        <v>767</v>
      </c>
      <c r="AM683" t="s">
        <v>640</v>
      </c>
      <c r="AN683" t="s">
        <v>768</v>
      </c>
      <c r="AO683" t="s">
        <v>12027</v>
      </c>
      <c r="AP683" t="s">
        <v>12028</v>
      </c>
      <c r="AQ683" t="s">
        <v>74</v>
      </c>
      <c r="AR683" t="s">
        <v>12029</v>
      </c>
      <c r="AS683" t="s">
        <v>12030</v>
      </c>
      <c r="AT683" t="s">
        <v>3935</v>
      </c>
      <c r="AU683">
        <v>2011</v>
      </c>
      <c r="AV683">
        <v>4</v>
      </c>
      <c r="AW683">
        <v>4</v>
      </c>
      <c r="AX683" t="s">
        <v>74</v>
      </c>
      <c r="AY683" t="s">
        <v>74</v>
      </c>
      <c r="AZ683" t="s">
        <v>74</v>
      </c>
      <c r="BA683" t="s">
        <v>74</v>
      </c>
      <c r="BB683">
        <v>515</v>
      </c>
      <c r="BC683">
        <v>529</v>
      </c>
      <c r="BD683" t="s">
        <v>74</v>
      </c>
      <c r="BE683" t="s">
        <v>12031</v>
      </c>
      <c r="BF683" t="str">
        <f>HYPERLINK("http://dx.doi.org/10.1016/j.polar.2010.05.004","http://dx.doi.org/10.1016/j.polar.2010.05.004")</f>
        <v>http://dx.doi.org/10.1016/j.polar.2010.05.004</v>
      </c>
      <c r="BG683" t="s">
        <v>74</v>
      </c>
      <c r="BH683" t="s">
        <v>74</v>
      </c>
      <c r="BI683">
        <v>15</v>
      </c>
      <c r="BJ683" t="s">
        <v>4387</v>
      </c>
      <c r="BK683" t="s">
        <v>100</v>
      </c>
      <c r="BL683" t="s">
        <v>4388</v>
      </c>
      <c r="BM683" t="s">
        <v>12032</v>
      </c>
      <c r="BN683" t="s">
        <v>74</v>
      </c>
      <c r="BO683" t="s">
        <v>1391</v>
      </c>
      <c r="BP683" t="s">
        <v>74</v>
      </c>
      <c r="BQ683" t="s">
        <v>74</v>
      </c>
      <c r="BR683" t="s">
        <v>103</v>
      </c>
      <c r="BS683" t="s">
        <v>12033</v>
      </c>
      <c r="BT683" t="str">
        <f>HYPERLINK("https%3A%2F%2Fwww.webofscience.com%2Fwos%2Fwoscc%2Ffull-record%2FWOS:000209450300002","View Full Record in Web of Science")</f>
        <v>View Full Record in Web of Science</v>
      </c>
    </row>
    <row r="684" spans="1:72" x14ac:dyDescent="0.15">
      <c r="A684" t="s">
        <v>72</v>
      </c>
      <c r="B684" t="s">
        <v>12034</v>
      </c>
      <c r="C684" t="s">
        <v>74</v>
      </c>
      <c r="D684" t="s">
        <v>74</v>
      </c>
      <c r="E684" t="s">
        <v>74</v>
      </c>
      <c r="F684" t="s">
        <v>12035</v>
      </c>
      <c r="G684" t="s">
        <v>74</v>
      </c>
      <c r="H684" t="s">
        <v>74</v>
      </c>
      <c r="I684" t="s">
        <v>12036</v>
      </c>
      <c r="J684" t="s">
        <v>12016</v>
      </c>
      <c r="K684" t="s">
        <v>74</v>
      </c>
      <c r="L684" t="s">
        <v>74</v>
      </c>
      <c r="M684" t="s">
        <v>78</v>
      </c>
      <c r="N684" t="s">
        <v>79</v>
      </c>
      <c r="O684" t="s">
        <v>74</v>
      </c>
      <c r="P684" t="s">
        <v>74</v>
      </c>
      <c r="Q684" t="s">
        <v>74</v>
      </c>
      <c r="R684" t="s">
        <v>74</v>
      </c>
      <c r="S684" t="s">
        <v>74</v>
      </c>
      <c r="T684" t="s">
        <v>12037</v>
      </c>
      <c r="U684" t="s">
        <v>12038</v>
      </c>
      <c r="V684" t="s">
        <v>12039</v>
      </c>
      <c r="W684" t="s">
        <v>12040</v>
      </c>
      <c r="X684" t="s">
        <v>12041</v>
      </c>
      <c r="Y684" t="s">
        <v>12042</v>
      </c>
      <c r="Z684" t="s">
        <v>12043</v>
      </c>
      <c r="AA684" t="s">
        <v>12044</v>
      </c>
      <c r="AB684" t="s">
        <v>12045</v>
      </c>
      <c r="AC684" t="s">
        <v>12046</v>
      </c>
      <c r="AD684" t="s">
        <v>12047</v>
      </c>
      <c r="AE684" t="s">
        <v>12048</v>
      </c>
      <c r="AF684" t="s">
        <v>74</v>
      </c>
      <c r="AG684">
        <v>46</v>
      </c>
      <c r="AH684">
        <v>15</v>
      </c>
      <c r="AI684">
        <v>17</v>
      </c>
      <c r="AJ684">
        <v>0</v>
      </c>
      <c r="AK684">
        <v>4</v>
      </c>
      <c r="AL684" t="s">
        <v>639</v>
      </c>
      <c r="AM684" t="s">
        <v>640</v>
      </c>
      <c r="AN684" t="s">
        <v>641</v>
      </c>
      <c r="AO684" t="s">
        <v>12027</v>
      </c>
      <c r="AP684" t="s">
        <v>12028</v>
      </c>
      <c r="AQ684" t="s">
        <v>74</v>
      </c>
      <c r="AR684" t="s">
        <v>12029</v>
      </c>
      <c r="AS684" t="s">
        <v>12030</v>
      </c>
      <c r="AT684" t="s">
        <v>3935</v>
      </c>
      <c r="AU684">
        <v>2011</v>
      </c>
      <c r="AV684">
        <v>4</v>
      </c>
      <c r="AW684">
        <v>4</v>
      </c>
      <c r="AX684" t="s">
        <v>74</v>
      </c>
      <c r="AY684" t="s">
        <v>74</v>
      </c>
      <c r="AZ684" t="s">
        <v>74</v>
      </c>
      <c r="BA684" t="s">
        <v>74</v>
      </c>
      <c r="BB684">
        <v>530</v>
      </c>
      <c r="BC684">
        <v>549</v>
      </c>
      <c r="BD684" t="s">
        <v>74</v>
      </c>
      <c r="BE684" t="s">
        <v>12049</v>
      </c>
      <c r="BF684" t="str">
        <f>HYPERLINK("http://dx.doi.org/10.1016/j.polar.2010.06.001","http://dx.doi.org/10.1016/j.polar.2010.06.001")</f>
        <v>http://dx.doi.org/10.1016/j.polar.2010.06.001</v>
      </c>
      <c r="BG684" t="s">
        <v>74</v>
      </c>
      <c r="BH684" t="s">
        <v>74</v>
      </c>
      <c r="BI684">
        <v>20</v>
      </c>
      <c r="BJ684" t="s">
        <v>4387</v>
      </c>
      <c r="BK684" t="s">
        <v>100</v>
      </c>
      <c r="BL684" t="s">
        <v>4388</v>
      </c>
      <c r="BM684" t="s">
        <v>12032</v>
      </c>
      <c r="BN684" t="s">
        <v>74</v>
      </c>
      <c r="BO684" t="s">
        <v>74</v>
      </c>
      <c r="BP684" t="s">
        <v>74</v>
      </c>
      <c r="BQ684" t="s">
        <v>74</v>
      </c>
      <c r="BR684" t="s">
        <v>103</v>
      </c>
      <c r="BS684" t="s">
        <v>12050</v>
      </c>
      <c r="BT684" t="str">
        <f>HYPERLINK("https%3A%2F%2Fwww.webofscience.com%2Fwos%2Fwoscc%2Ffull-record%2FWOS:000209450300003","View Full Record in Web of Science")</f>
        <v>View Full Record in Web of Science</v>
      </c>
    </row>
    <row r="685" spans="1:72" x14ac:dyDescent="0.15">
      <c r="A685" t="s">
        <v>72</v>
      </c>
      <c r="B685" t="s">
        <v>12051</v>
      </c>
      <c r="C685" t="s">
        <v>74</v>
      </c>
      <c r="D685" t="s">
        <v>74</v>
      </c>
      <c r="E685" t="s">
        <v>74</v>
      </c>
      <c r="F685" t="s">
        <v>12052</v>
      </c>
      <c r="G685" t="s">
        <v>74</v>
      </c>
      <c r="H685" t="s">
        <v>74</v>
      </c>
      <c r="I685" t="s">
        <v>12053</v>
      </c>
      <c r="J685" t="s">
        <v>12016</v>
      </c>
      <c r="K685" t="s">
        <v>74</v>
      </c>
      <c r="L685" t="s">
        <v>74</v>
      </c>
      <c r="M685" t="s">
        <v>78</v>
      </c>
      <c r="N685" t="s">
        <v>79</v>
      </c>
      <c r="O685" t="s">
        <v>74</v>
      </c>
      <c r="P685" t="s">
        <v>74</v>
      </c>
      <c r="Q685" t="s">
        <v>74</v>
      </c>
      <c r="R685" t="s">
        <v>74</v>
      </c>
      <c r="S685" t="s">
        <v>74</v>
      </c>
      <c r="T685" t="s">
        <v>12054</v>
      </c>
      <c r="U685" t="s">
        <v>12055</v>
      </c>
      <c r="V685" t="s">
        <v>12056</v>
      </c>
      <c r="W685" t="s">
        <v>12057</v>
      </c>
      <c r="X685" t="s">
        <v>12058</v>
      </c>
      <c r="Y685" t="s">
        <v>12059</v>
      </c>
      <c r="Z685" t="s">
        <v>12060</v>
      </c>
      <c r="AA685" t="s">
        <v>74</v>
      </c>
      <c r="AB685" t="s">
        <v>12061</v>
      </c>
      <c r="AC685" t="s">
        <v>12062</v>
      </c>
      <c r="AD685" t="s">
        <v>12063</v>
      </c>
      <c r="AE685" t="s">
        <v>12064</v>
      </c>
      <c r="AF685" t="s">
        <v>74</v>
      </c>
      <c r="AG685">
        <v>30</v>
      </c>
      <c r="AH685">
        <v>4</v>
      </c>
      <c r="AI685">
        <v>4</v>
      </c>
      <c r="AJ685">
        <v>5</v>
      </c>
      <c r="AK685">
        <v>7</v>
      </c>
      <c r="AL685" t="s">
        <v>639</v>
      </c>
      <c r="AM685" t="s">
        <v>640</v>
      </c>
      <c r="AN685" t="s">
        <v>641</v>
      </c>
      <c r="AO685" t="s">
        <v>12027</v>
      </c>
      <c r="AP685" t="s">
        <v>12028</v>
      </c>
      <c r="AQ685" t="s">
        <v>74</v>
      </c>
      <c r="AR685" t="s">
        <v>12029</v>
      </c>
      <c r="AS685" t="s">
        <v>12030</v>
      </c>
      <c r="AT685" t="s">
        <v>3935</v>
      </c>
      <c r="AU685">
        <v>2011</v>
      </c>
      <c r="AV685">
        <v>4</v>
      </c>
      <c r="AW685">
        <v>4</v>
      </c>
      <c r="AX685" t="s">
        <v>74</v>
      </c>
      <c r="AY685" t="s">
        <v>74</v>
      </c>
      <c r="AZ685" t="s">
        <v>74</v>
      </c>
      <c r="BA685" t="s">
        <v>74</v>
      </c>
      <c r="BB685">
        <v>558</v>
      </c>
      <c r="BC685">
        <v>573</v>
      </c>
      <c r="BD685" t="s">
        <v>74</v>
      </c>
      <c r="BE685" t="s">
        <v>12065</v>
      </c>
      <c r="BF685" t="str">
        <f>HYPERLINK("http://dx.doi.org/10.1016/j.polar.2010.08.003","http://dx.doi.org/10.1016/j.polar.2010.08.003")</f>
        <v>http://dx.doi.org/10.1016/j.polar.2010.08.003</v>
      </c>
      <c r="BG685" t="s">
        <v>74</v>
      </c>
      <c r="BH685" t="s">
        <v>74</v>
      </c>
      <c r="BI685">
        <v>16</v>
      </c>
      <c r="BJ685" t="s">
        <v>4387</v>
      </c>
      <c r="BK685" t="s">
        <v>100</v>
      </c>
      <c r="BL685" t="s">
        <v>4388</v>
      </c>
      <c r="BM685" t="s">
        <v>12032</v>
      </c>
      <c r="BN685" t="s">
        <v>74</v>
      </c>
      <c r="BO685" t="s">
        <v>1391</v>
      </c>
      <c r="BP685" t="s">
        <v>74</v>
      </c>
      <c r="BQ685" t="s">
        <v>74</v>
      </c>
      <c r="BR685" t="s">
        <v>103</v>
      </c>
      <c r="BS685" t="s">
        <v>12066</v>
      </c>
      <c r="BT685" t="str">
        <f>HYPERLINK("https%3A%2F%2Fwww.webofscience.com%2Fwos%2Fwoscc%2Ffull-record%2FWOS:000209450300005","View Full Record in Web of Science")</f>
        <v>View Full Record in Web of Science</v>
      </c>
    </row>
    <row r="686" spans="1:72" x14ac:dyDescent="0.15">
      <c r="A686" t="s">
        <v>72</v>
      </c>
      <c r="B686" t="s">
        <v>12067</v>
      </c>
      <c r="C686" t="s">
        <v>74</v>
      </c>
      <c r="D686" t="s">
        <v>74</v>
      </c>
      <c r="E686" t="s">
        <v>74</v>
      </c>
      <c r="F686" t="s">
        <v>12068</v>
      </c>
      <c r="G686" t="s">
        <v>74</v>
      </c>
      <c r="H686" t="s">
        <v>74</v>
      </c>
      <c r="I686" t="s">
        <v>12069</v>
      </c>
      <c r="J686" t="s">
        <v>12016</v>
      </c>
      <c r="K686" t="s">
        <v>74</v>
      </c>
      <c r="L686" t="s">
        <v>74</v>
      </c>
      <c r="M686" t="s">
        <v>78</v>
      </c>
      <c r="N686" t="s">
        <v>79</v>
      </c>
      <c r="O686" t="s">
        <v>74</v>
      </c>
      <c r="P686" t="s">
        <v>74</v>
      </c>
      <c r="Q686" t="s">
        <v>74</v>
      </c>
      <c r="R686" t="s">
        <v>74</v>
      </c>
      <c r="S686" t="s">
        <v>74</v>
      </c>
      <c r="T686" t="s">
        <v>12070</v>
      </c>
      <c r="U686" t="s">
        <v>12071</v>
      </c>
      <c r="V686" t="s">
        <v>12072</v>
      </c>
      <c r="W686" t="s">
        <v>12073</v>
      </c>
      <c r="X686" t="s">
        <v>12074</v>
      </c>
      <c r="Y686" t="s">
        <v>12075</v>
      </c>
      <c r="Z686" t="s">
        <v>12076</v>
      </c>
      <c r="AA686" t="s">
        <v>74</v>
      </c>
      <c r="AB686" t="s">
        <v>74</v>
      </c>
      <c r="AC686" t="s">
        <v>12077</v>
      </c>
      <c r="AD686" t="s">
        <v>12077</v>
      </c>
      <c r="AE686" t="s">
        <v>12078</v>
      </c>
      <c r="AF686" t="s">
        <v>74</v>
      </c>
      <c r="AG686">
        <v>34</v>
      </c>
      <c r="AH686">
        <v>10</v>
      </c>
      <c r="AI686">
        <v>10</v>
      </c>
      <c r="AJ686">
        <v>0</v>
      </c>
      <c r="AK686">
        <v>2</v>
      </c>
      <c r="AL686" t="s">
        <v>767</v>
      </c>
      <c r="AM686" t="s">
        <v>640</v>
      </c>
      <c r="AN686" t="s">
        <v>768</v>
      </c>
      <c r="AO686" t="s">
        <v>12027</v>
      </c>
      <c r="AP686" t="s">
        <v>12028</v>
      </c>
      <c r="AQ686" t="s">
        <v>74</v>
      </c>
      <c r="AR686" t="s">
        <v>12029</v>
      </c>
      <c r="AS686" t="s">
        <v>12030</v>
      </c>
      <c r="AT686" t="s">
        <v>3935</v>
      </c>
      <c r="AU686">
        <v>2011</v>
      </c>
      <c r="AV686">
        <v>4</v>
      </c>
      <c r="AW686">
        <v>4</v>
      </c>
      <c r="AX686" t="s">
        <v>74</v>
      </c>
      <c r="AY686" t="s">
        <v>74</v>
      </c>
      <c r="AZ686" t="s">
        <v>74</v>
      </c>
      <c r="BA686" t="s">
        <v>74</v>
      </c>
      <c r="BB686">
        <v>574</v>
      </c>
      <c r="BC686">
        <v>587</v>
      </c>
      <c r="BD686" t="s">
        <v>74</v>
      </c>
      <c r="BE686" t="s">
        <v>12079</v>
      </c>
      <c r="BF686" t="str">
        <f>HYPERLINK("http://dx.doi.org/10.1016/j.polar.2010.08.001","http://dx.doi.org/10.1016/j.polar.2010.08.001")</f>
        <v>http://dx.doi.org/10.1016/j.polar.2010.08.001</v>
      </c>
      <c r="BG686" t="s">
        <v>74</v>
      </c>
      <c r="BH686" t="s">
        <v>74</v>
      </c>
      <c r="BI686">
        <v>14</v>
      </c>
      <c r="BJ686" t="s">
        <v>4387</v>
      </c>
      <c r="BK686" t="s">
        <v>100</v>
      </c>
      <c r="BL686" t="s">
        <v>4388</v>
      </c>
      <c r="BM686" t="s">
        <v>12032</v>
      </c>
      <c r="BN686" t="s">
        <v>74</v>
      </c>
      <c r="BO686" t="s">
        <v>1391</v>
      </c>
      <c r="BP686" t="s">
        <v>74</v>
      </c>
      <c r="BQ686" t="s">
        <v>74</v>
      </c>
      <c r="BR686" t="s">
        <v>103</v>
      </c>
      <c r="BS686" t="s">
        <v>12080</v>
      </c>
      <c r="BT686" t="str">
        <f>HYPERLINK("https%3A%2F%2Fwww.webofscience.com%2Fwos%2Fwoscc%2Ffull-record%2FWOS:000209450300006","View Full Record in Web of Science")</f>
        <v>View Full Record in Web of Science</v>
      </c>
    </row>
    <row r="687" spans="1:72" x14ac:dyDescent="0.15">
      <c r="A687" t="s">
        <v>72</v>
      </c>
      <c r="B687" t="s">
        <v>12081</v>
      </c>
      <c r="C687" t="s">
        <v>74</v>
      </c>
      <c r="D687" t="s">
        <v>74</v>
      </c>
      <c r="E687" t="s">
        <v>74</v>
      </c>
      <c r="F687" t="s">
        <v>12082</v>
      </c>
      <c r="G687" t="s">
        <v>74</v>
      </c>
      <c r="H687" t="s">
        <v>74</v>
      </c>
      <c r="I687" t="s">
        <v>12083</v>
      </c>
      <c r="J687" t="s">
        <v>12084</v>
      </c>
      <c r="K687" t="s">
        <v>74</v>
      </c>
      <c r="L687" t="s">
        <v>74</v>
      </c>
      <c r="M687" t="s">
        <v>78</v>
      </c>
      <c r="N687" t="s">
        <v>79</v>
      </c>
      <c r="O687" t="s">
        <v>74</v>
      </c>
      <c r="P687" t="s">
        <v>74</v>
      </c>
      <c r="Q687" t="s">
        <v>74</v>
      </c>
      <c r="R687" t="s">
        <v>74</v>
      </c>
      <c r="S687" t="s">
        <v>74</v>
      </c>
      <c r="T687" t="s">
        <v>12085</v>
      </c>
      <c r="U687" t="s">
        <v>12086</v>
      </c>
      <c r="V687" t="s">
        <v>12087</v>
      </c>
      <c r="W687" t="s">
        <v>12088</v>
      </c>
      <c r="X687" t="s">
        <v>12089</v>
      </c>
      <c r="Y687" t="s">
        <v>12090</v>
      </c>
      <c r="Z687" t="s">
        <v>12091</v>
      </c>
      <c r="AA687" t="s">
        <v>12092</v>
      </c>
      <c r="AB687" t="s">
        <v>74</v>
      </c>
      <c r="AC687" t="s">
        <v>12093</v>
      </c>
      <c r="AD687" t="s">
        <v>12094</v>
      </c>
      <c r="AE687" t="s">
        <v>12095</v>
      </c>
      <c r="AF687" t="s">
        <v>74</v>
      </c>
      <c r="AG687">
        <v>32</v>
      </c>
      <c r="AH687">
        <v>7</v>
      </c>
      <c r="AI687">
        <v>8</v>
      </c>
      <c r="AJ687">
        <v>1</v>
      </c>
      <c r="AK687">
        <v>6</v>
      </c>
      <c r="AL687" t="s">
        <v>12096</v>
      </c>
      <c r="AM687" t="s">
        <v>4403</v>
      </c>
      <c r="AN687" t="s">
        <v>12097</v>
      </c>
      <c r="AO687" t="s">
        <v>12098</v>
      </c>
      <c r="AP687" t="s">
        <v>12099</v>
      </c>
      <c r="AQ687" t="s">
        <v>74</v>
      </c>
      <c r="AR687" t="s">
        <v>12100</v>
      </c>
      <c r="AS687" t="s">
        <v>12101</v>
      </c>
      <c r="AT687" t="s">
        <v>74</v>
      </c>
      <c r="AU687">
        <v>2011</v>
      </c>
      <c r="AV687">
        <v>60</v>
      </c>
      <c r="AW687">
        <v>1</v>
      </c>
      <c r="AX687" t="s">
        <v>74</v>
      </c>
      <c r="AY687" t="s">
        <v>74</v>
      </c>
      <c r="AZ687" t="s">
        <v>74</v>
      </c>
      <c r="BA687" t="s">
        <v>74</v>
      </c>
      <c r="BB687">
        <v>73</v>
      </c>
      <c r="BC687">
        <v>78</v>
      </c>
      <c r="BD687" t="s">
        <v>74</v>
      </c>
      <c r="BE687" t="s">
        <v>12102</v>
      </c>
      <c r="BF687" t="str">
        <f>HYPERLINK("http://dx.doi.org/10.33073/pjm-2011-010","http://dx.doi.org/10.33073/pjm-2011-010")</f>
        <v>http://dx.doi.org/10.33073/pjm-2011-010</v>
      </c>
      <c r="BG687" t="s">
        <v>74</v>
      </c>
      <c r="BH687" t="s">
        <v>74</v>
      </c>
      <c r="BI687">
        <v>6</v>
      </c>
      <c r="BJ687" t="s">
        <v>325</v>
      </c>
      <c r="BK687" t="s">
        <v>100</v>
      </c>
      <c r="BL687" t="s">
        <v>325</v>
      </c>
      <c r="BM687" t="s">
        <v>12103</v>
      </c>
      <c r="BN687">
        <v>21630577</v>
      </c>
      <c r="BO687" t="s">
        <v>2317</v>
      </c>
      <c r="BP687" t="s">
        <v>74</v>
      </c>
      <c r="BQ687" t="s">
        <v>74</v>
      </c>
      <c r="BR687" t="s">
        <v>103</v>
      </c>
      <c r="BS687" t="s">
        <v>12104</v>
      </c>
      <c r="BT687" t="str">
        <f>HYPERLINK("https%3A%2F%2Fwww.webofscience.com%2Fwos%2Fwoscc%2Ffull-record%2FWOS:000288927900010","View Full Record in Web of Science")</f>
        <v>View Full Record in Web of Science</v>
      </c>
    </row>
    <row r="688" spans="1:72" x14ac:dyDescent="0.15">
      <c r="A688" t="s">
        <v>72</v>
      </c>
      <c r="B688" t="s">
        <v>12105</v>
      </c>
      <c r="C688" t="s">
        <v>74</v>
      </c>
      <c r="D688" t="s">
        <v>74</v>
      </c>
      <c r="E688" t="s">
        <v>74</v>
      </c>
      <c r="F688" t="s">
        <v>12106</v>
      </c>
      <c r="G688" t="s">
        <v>74</v>
      </c>
      <c r="H688" t="s">
        <v>74</v>
      </c>
      <c r="I688" t="s">
        <v>12107</v>
      </c>
      <c r="J688" t="s">
        <v>4369</v>
      </c>
      <c r="K688" t="s">
        <v>74</v>
      </c>
      <c r="L688" t="s">
        <v>74</v>
      </c>
      <c r="M688" t="s">
        <v>78</v>
      </c>
      <c r="N688" t="s">
        <v>79</v>
      </c>
      <c r="O688" t="s">
        <v>74</v>
      </c>
      <c r="P688" t="s">
        <v>74</v>
      </c>
      <c r="Q688" t="s">
        <v>74</v>
      </c>
      <c r="R688" t="s">
        <v>74</v>
      </c>
      <c r="S688" t="s">
        <v>74</v>
      </c>
      <c r="T688" t="s">
        <v>12108</v>
      </c>
      <c r="U688" t="s">
        <v>12109</v>
      </c>
      <c r="V688" t="s">
        <v>12110</v>
      </c>
      <c r="W688" t="s">
        <v>12111</v>
      </c>
      <c r="X688" t="s">
        <v>12112</v>
      </c>
      <c r="Y688" t="s">
        <v>12113</v>
      </c>
      <c r="Z688" t="s">
        <v>12114</v>
      </c>
      <c r="AA688" t="s">
        <v>12115</v>
      </c>
      <c r="AB688" t="s">
        <v>12116</v>
      </c>
      <c r="AC688" t="s">
        <v>12117</v>
      </c>
      <c r="AD688" t="s">
        <v>12118</v>
      </c>
      <c r="AE688" t="s">
        <v>12119</v>
      </c>
      <c r="AF688" t="s">
        <v>74</v>
      </c>
      <c r="AG688">
        <v>28</v>
      </c>
      <c r="AH688">
        <v>27</v>
      </c>
      <c r="AI688">
        <v>28</v>
      </c>
      <c r="AJ688">
        <v>2</v>
      </c>
      <c r="AK688">
        <v>26</v>
      </c>
      <c r="AL688" t="s">
        <v>4379</v>
      </c>
      <c r="AM688" t="s">
        <v>4380</v>
      </c>
      <c r="AN688" t="s">
        <v>4381</v>
      </c>
      <c r="AO688" t="s">
        <v>4382</v>
      </c>
      <c r="AP688" t="s">
        <v>4383</v>
      </c>
      <c r="AQ688" t="s">
        <v>74</v>
      </c>
      <c r="AR688" t="s">
        <v>4384</v>
      </c>
      <c r="AS688" t="s">
        <v>4385</v>
      </c>
      <c r="AT688" t="s">
        <v>74</v>
      </c>
      <c r="AU688">
        <v>2011</v>
      </c>
      <c r="AV688">
        <v>32</v>
      </c>
      <c r="AW688">
        <v>1</v>
      </c>
      <c r="AX688" t="s">
        <v>74</v>
      </c>
      <c r="AY688" t="s">
        <v>74</v>
      </c>
      <c r="AZ688" t="s">
        <v>74</v>
      </c>
      <c r="BA688" t="s">
        <v>74</v>
      </c>
      <c r="BB688">
        <v>3</v>
      </c>
      <c r="BC688">
        <v>14</v>
      </c>
      <c r="BD688" t="s">
        <v>74</v>
      </c>
      <c r="BE688" t="s">
        <v>12120</v>
      </c>
      <c r="BF688" t="str">
        <f>HYPERLINK("http://dx.doi.org/10.2478/v10183-011-0003-y","http://dx.doi.org/10.2478/v10183-011-0003-y")</f>
        <v>http://dx.doi.org/10.2478/v10183-011-0003-y</v>
      </c>
      <c r="BG688" t="s">
        <v>74</v>
      </c>
      <c r="BH688" t="s">
        <v>74</v>
      </c>
      <c r="BI688">
        <v>12</v>
      </c>
      <c r="BJ688" t="s">
        <v>4387</v>
      </c>
      <c r="BK688" t="s">
        <v>100</v>
      </c>
      <c r="BL688" t="s">
        <v>4388</v>
      </c>
      <c r="BM688" t="s">
        <v>4389</v>
      </c>
      <c r="BN688" t="s">
        <v>74</v>
      </c>
      <c r="BO688" t="s">
        <v>74</v>
      </c>
      <c r="BP688" t="s">
        <v>74</v>
      </c>
      <c r="BQ688" t="s">
        <v>74</v>
      </c>
      <c r="BR688" t="s">
        <v>103</v>
      </c>
      <c r="BS688" t="s">
        <v>12121</v>
      </c>
      <c r="BT688" t="str">
        <f>HYPERLINK("https%3A%2F%2Fwww.webofscience.com%2Fwos%2Fwoscc%2Ffull-record%2FWOS:000288909300001","View Full Record in Web of Science")</f>
        <v>View Full Record in Web of Science</v>
      </c>
    </row>
    <row r="689" spans="1:72" x14ac:dyDescent="0.15">
      <c r="A689" t="s">
        <v>72</v>
      </c>
      <c r="B689" t="s">
        <v>12122</v>
      </c>
      <c r="C689" t="s">
        <v>74</v>
      </c>
      <c r="D689" t="s">
        <v>74</v>
      </c>
      <c r="E689" t="s">
        <v>74</v>
      </c>
      <c r="F689" t="s">
        <v>12123</v>
      </c>
      <c r="G689" t="s">
        <v>74</v>
      </c>
      <c r="H689" t="s">
        <v>74</v>
      </c>
      <c r="I689" t="s">
        <v>12124</v>
      </c>
      <c r="J689" t="s">
        <v>4369</v>
      </c>
      <c r="K689" t="s">
        <v>74</v>
      </c>
      <c r="L689" t="s">
        <v>74</v>
      </c>
      <c r="M689" t="s">
        <v>78</v>
      </c>
      <c r="N689" t="s">
        <v>79</v>
      </c>
      <c r="O689" t="s">
        <v>74</v>
      </c>
      <c r="P689" t="s">
        <v>74</v>
      </c>
      <c r="Q689" t="s">
        <v>74</v>
      </c>
      <c r="R689" t="s">
        <v>74</v>
      </c>
      <c r="S689" t="s">
        <v>74</v>
      </c>
      <c r="T689" t="s">
        <v>12125</v>
      </c>
      <c r="U689" t="s">
        <v>12126</v>
      </c>
      <c r="V689" t="s">
        <v>12127</v>
      </c>
      <c r="W689" t="s">
        <v>12128</v>
      </c>
      <c r="X689" t="s">
        <v>12129</v>
      </c>
      <c r="Y689" t="s">
        <v>12130</v>
      </c>
      <c r="Z689" t="s">
        <v>12131</v>
      </c>
      <c r="AA689" t="s">
        <v>12132</v>
      </c>
      <c r="AB689" t="s">
        <v>12133</v>
      </c>
      <c r="AC689" t="s">
        <v>12134</v>
      </c>
      <c r="AD689" t="s">
        <v>74</v>
      </c>
      <c r="AE689" t="s">
        <v>12135</v>
      </c>
      <c r="AF689" t="s">
        <v>74</v>
      </c>
      <c r="AG689">
        <v>43</v>
      </c>
      <c r="AH689">
        <v>18</v>
      </c>
      <c r="AI689">
        <v>19</v>
      </c>
      <c r="AJ689">
        <v>0</v>
      </c>
      <c r="AK689">
        <v>31</v>
      </c>
      <c r="AL689" t="s">
        <v>4379</v>
      </c>
      <c r="AM689" t="s">
        <v>4380</v>
      </c>
      <c r="AN689" t="s">
        <v>4381</v>
      </c>
      <c r="AO689" t="s">
        <v>4382</v>
      </c>
      <c r="AP689" t="s">
        <v>4383</v>
      </c>
      <c r="AQ689" t="s">
        <v>74</v>
      </c>
      <c r="AR689" t="s">
        <v>4384</v>
      </c>
      <c r="AS689" t="s">
        <v>4385</v>
      </c>
      <c r="AT689" t="s">
        <v>74</v>
      </c>
      <c r="AU689">
        <v>2011</v>
      </c>
      <c r="AV689">
        <v>32</v>
      </c>
      <c r="AW689">
        <v>1</v>
      </c>
      <c r="AX689" t="s">
        <v>74</v>
      </c>
      <c r="AY689" t="s">
        <v>74</v>
      </c>
      <c r="AZ689" t="s">
        <v>74</v>
      </c>
      <c r="BA689" t="s">
        <v>74</v>
      </c>
      <c r="BB689">
        <v>15</v>
      </c>
      <c r="BC689">
        <v>26</v>
      </c>
      <c r="BD689" t="s">
        <v>74</v>
      </c>
      <c r="BE689" t="s">
        <v>12136</v>
      </c>
      <c r="BF689" t="str">
        <f>HYPERLINK("http://dx.doi.org/10.2478/v10183-011-0005-9","http://dx.doi.org/10.2478/v10183-011-0005-9")</f>
        <v>http://dx.doi.org/10.2478/v10183-011-0005-9</v>
      </c>
      <c r="BG689" t="s">
        <v>74</v>
      </c>
      <c r="BH689" t="s">
        <v>74</v>
      </c>
      <c r="BI689">
        <v>12</v>
      </c>
      <c r="BJ689" t="s">
        <v>4387</v>
      </c>
      <c r="BK689" t="s">
        <v>100</v>
      </c>
      <c r="BL689" t="s">
        <v>4388</v>
      </c>
      <c r="BM689" t="s">
        <v>4389</v>
      </c>
      <c r="BN689" t="s">
        <v>74</v>
      </c>
      <c r="BO689" t="s">
        <v>74</v>
      </c>
      <c r="BP689" t="s">
        <v>74</v>
      </c>
      <c r="BQ689" t="s">
        <v>74</v>
      </c>
      <c r="BR689" t="s">
        <v>103</v>
      </c>
      <c r="BS689" t="s">
        <v>12137</v>
      </c>
      <c r="BT689" t="str">
        <f>HYPERLINK("https%3A%2F%2Fwww.webofscience.com%2Fwos%2Fwoscc%2Ffull-record%2FWOS:000288909300002","View Full Record in Web of Science")</f>
        <v>View Full Record in Web of Science</v>
      </c>
    </row>
    <row r="690" spans="1:72" x14ac:dyDescent="0.15">
      <c r="A690" t="s">
        <v>72</v>
      </c>
      <c r="B690" t="s">
        <v>12138</v>
      </c>
      <c r="C690" t="s">
        <v>74</v>
      </c>
      <c r="D690" t="s">
        <v>74</v>
      </c>
      <c r="E690" t="s">
        <v>74</v>
      </c>
      <c r="F690" t="s">
        <v>12139</v>
      </c>
      <c r="G690" t="s">
        <v>74</v>
      </c>
      <c r="H690" t="s">
        <v>74</v>
      </c>
      <c r="I690" t="s">
        <v>12140</v>
      </c>
      <c r="J690" t="s">
        <v>4369</v>
      </c>
      <c r="K690" t="s">
        <v>74</v>
      </c>
      <c r="L690" t="s">
        <v>74</v>
      </c>
      <c r="M690" t="s">
        <v>78</v>
      </c>
      <c r="N690" t="s">
        <v>79</v>
      </c>
      <c r="O690" t="s">
        <v>74</v>
      </c>
      <c r="P690" t="s">
        <v>74</v>
      </c>
      <c r="Q690" t="s">
        <v>74</v>
      </c>
      <c r="R690" t="s">
        <v>74</v>
      </c>
      <c r="S690" t="s">
        <v>74</v>
      </c>
      <c r="T690" t="s">
        <v>12141</v>
      </c>
      <c r="U690" t="s">
        <v>12142</v>
      </c>
      <c r="V690" t="s">
        <v>12143</v>
      </c>
      <c r="W690" t="s">
        <v>12144</v>
      </c>
      <c r="X690" t="s">
        <v>8421</v>
      </c>
      <c r="Y690" t="s">
        <v>12145</v>
      </c>
      <c r="Z690" t="s">
        <v>12146</v>
      </c>
      <c r="AA690" t="s">
        <v>12147</v>
      </c>
      <c r="AB690" t="s">
        <v>12148</v>
      </c>
      <c r="AC690" t="s">
        <v>12149</v>
      </c>
      <c r="AD690" t="s">
        <v>12150</v>
      </c>
      <c r="AE690" t="s">
        <v>12151</v>
      </c>
      <c r="AF690" t="s">
        <v>74</v>
      </c>
      <c r="AG690">
        <v>59</v>
      </c>
      <c r="AH690">
        <v>2</v>
      </c>
      <c r="AI690">
        <v>2</v>
      </c>
      <c r="AJ690">
        <v>0</v>
      </c>
      <c r="AK690">
        <v>3</v>
      </c>
      <c r="AL690" t="s">
        <v>4379</v>
      </c>
      <c r="AM690" t="s">
        <v>4380</v>
      </c>
      <c r="AN690" t="s">
        <v>4381</v>
      </c>
      <c r="AO690" t="s">
        <v>4382</v>
      </c>
      <c r="AP690" t="s">
        <v>4383</v>
      </c>
      <c r="AQ690" t="s">
        <v>74</v>
      </c>
      <c r="AR690" t="s">
        <v>4384</v>
      </c>
      <c r="AS690" t="s">
        <v>4385</v>
      </c>
      <c r="AT690" t="s">
        <v>74</v>
      </c>
      <c r="AU690">
        <v>2011</v>
      </c>
      <c r="AV690">
        <v>32</v>
      </c>
      <c r="AW690">
        <v>1</v>
      </c>
      <c r="AX690" t="s">
        <v>74</v>
      </c>
      <c r="AY690" t="s">
        <v>74</v>
      </c>
      <c r="AZ690" t="s">
        <v>74</v>
      </c>
      <c r="BA690" t="s">
        <v>74</v>
      </c>
      <c r="BB690">
        <v>39</v>
      </c>
      <c r="BC690">
        <v>58</v>
      </c>
      <c r="BD690" t="s">
        <v>74</v>
      </c>
      <c r="BE690" t="s">
        <v>12152</v>
      </c>
      <c r="BF690" t="str">
        <f>HYPERLINK("http://dx.doi.org/10.2478/v10183-011-0006-8","http://dx.doi.org/10.2478/v10183-011-0006-8")</f>
        <v>http://dx.doi.org/10.2478/v10183-011-0006-8</v>
      </c>
      <c r="BG690" t="s">
        <v>74</v>
      </c>
      <c r="BH690" t="s">
        <v>74</v>
      </c>
      <c r="BI690">
        <v>20</v>
      </c>
      <c r="BJ690" t="s">
        <v>4387</v>
      </c>
      <c r="BK690" t="s">
        <v>100</v>
      </c>
      <c r="BL690" t="s">
        <v>4388</v>
      </c>
      <c r="BM690" t="s">
        <v>4389</v>
      </c>
      <c r="BN690" t="s">
        <v>74</v>
      </c>
      <c r="BO690" t="s">
        <v>12153</v>
      </c>
      <c r="BP690" t="s">
        <v>74</v>
      </c>
      <c r="BQ690" t="s">
        <v>74</v>
      </c>
      <c r="BR690" t="s">
        <v>103</v>
      </c>
      <c r="BS690" t="s">
        <v>12154</v>
      </c>
      <c r="BT690" t="str">
        <f>HYPERLINK("https%3A%2F%2Fwww.webofscience.com%2Fwos%2Fwoscc%2Ffull-record%2FWOS:000288909300004","View Full Record in Web of Science")</f>
        <v>View Full Record in Web of Science</v>
      </c>
    </row>
    <row r="691" spans="1:72" x14ac:dyDescent="0.15">
      <c r="A691" t="s">
        <v>72</v>
      </c>
      <c r="B691" t="s">
        <v>12155</v>
      </c>
      <c r="C691" t="s">
        <v>74</v>
      </c>
      <c r="D691" t="s">
        <v>74</v>
      </c>
      <c r="E691" t="s">
        <v>74</v>
      </c>
      <c r="F691" t="s">
        <v>12156</v>
      </c>
      <c r="G691" t="s">
        <v>74</v>
      </c>
      <c r="H691" t="s">
        <v>74</v>
      </c>
      <c r="I691" t="s">
        <v>12157</v>
      </c>
      <c r="J691" t="s">
        <v>4369</v>
      </c>
      <c r="K691" t="s">
        <v>74</v>
      </c>
      <c r="L691" t="s">
        <v>74</v>
      </c>
      <c r="M691" t="s">
        <v>78</v>
      </c>
      <c r="N691" t="s">
        <v>79</v>
      </c>
      <c r="O691" t="s">
        <v>74</v>
      </c>
      <c r="P691" t="s">
        <v>74</v>
      </c>
      <c r="Q691" t="s">
        <v>74</v>
      </c>
      <c r="R691" t="s">
        <v>74</v>
      </c>
      <c r="S691" t="s">
        <v>74</v>
      </c>
      <c r="T691" t="s">
        <v>12158</v>
      </c>
      <c r="U691" t="s">
        <v>12159</v>
      </c>
      <c r="V691" t="s">
        <v>12160</v>
      </c>
      <c r="W691" t="s">
        <v>12161</v>
      </c>
      <c r="X691" t="s">
        <v>12162</v>
      </c>
      <c r="Y691" t="s">
        <v>12163</v>
      </c>
      <c r="Z691" t="s">
        <v>12164</v>
      </c>
      <c r="AA691" t="s">
        <v>74</v>
      </c>
      <c r="AB691" t="s">
        <v>74</v>
      </c>
      <c r="AC691" t="s">
        <v>74</v>
      </c>
      <c r="AD691" t="s">
        <v>74</v>
      </c>
      <c r="AE691" t="s">
        <v>74</v>
      </c>
      <c r="AF691" t="s">
        <v>74</v>
      </c>
      <c r="AG691">
        <v>99</v>
      </c>
      <c r="AH691">
        <v>44</v>
      </c>
      <c r="AI691">
        <v>46</v>
      </c>
      <c r="AJ691">
        <v>2</v>
      </c>
      <c r="AK691">
        <v>39</v>
      </c>
      <c r="AL691" t="s">
        <v>4379</v>
      </c>
      <c r="AM691" t="s">
        <v>4380</v>
      </c>
      <c r="AN691" t="s">
        <v>4381</v>
      </c>
      <c r="AO691" t="s">
        <v>4382</v>
      </c>
      <c r="AP691" t="s">
        <v>4383</v>
      </c>
      <c r="AQ691" t="s">
        <v>74</v>
      </c>
      <c r="AR691" t="s">
        <v>4384</v>
      </c>
      <c r="AS691" t="s">
        <v>4385</v>
      </c>
      <c r="AT691" t="s">
        <v>74</v>
      </c>
      <c r="AU691">
        <v>2011</v>
      </c>
      <c r="AV691">
        <v>32</v>
      </c>
      <c r="AW691">
        <v>2</v>
      </c>
      <c r="AX691" t="s">
        <v>74</v>
      </c>
      <c r="AY691" t="s">
        <v>74</v>
      </c>
      <c r="AZ691" t="s">
        <v>74</v>
      </c>
      <c r="BA691" t="s">
        <v>74</v>
      </c>
      <c r="BB691">
        <v>105</v>
      </c>
      <c r="BC691">
        <v>116</v>
      </c>
      <c r="BD691" t="s">
        <v>74</v>
      </c>
      <c r="BE691" t="s">
        <v>12165</v>
      </c>
      <c r="BF691" t="str">
        <f>HYPERLINK("http://dx.doi.org/10.2478/v10183-011-0002-z","http://dx.doi.org/10.2478/v10183-011-0002-z")</f>
        <v>http://dx.doi.org/10.2478/v10183-011-0002-z</v>
      </c>
      <c r="BG691" t="s">
        <v>74</v>
      </c>
      <c r="BH691" t="s">
        <v>74</v>
      </c>
      <c r="BI691">
        <v>12</v>
      </c>
      <c r="BJ691" t="s">
        <v>4387</v>
      </c>
      <c r="BK691" t="s">
        <v>100</v>
      </c>
      <c r="BL691" t="s">
        <v>4388</v>
      </c>
      <c r="BM691" t="s">
        <v>12166</v>
      </c>
      <c r="BN691" t="s">
        <v>74</v>
      </c>
      <c r="BO691" t="s">
        <v>74</v>
      </c>
      <c r="BP691" t="s">
        <v>74</v>
      </c>
      <c r="BQ691" t="s">
        <v>74</v>
      </c>
      <c r="BR691" t="s">
        <v>103</v>
      </c>
      <c r="BS691" t="s">
        <v>12167</v>
      </c>
      <c r="BT691" t="str">
        <f>HYPERLINK("https%3A%2F%2Fwww.webofscience.com%2Fwos%2Fwoscc%2Ffull-record%2FWOS:000291929700001","View Full Record in Web of Science")</f>
        <v>View Full Record in Web of Science</v>
      </c>
    </row>
    <row r="692" spans="1:72" x14ac:dyDescent="0.15">
      <c r="A692" t="s">
        <v>72</v>
      </c>
      <c r="B692" t="s">
        <v>12168</v>
      </c>
      <c r="C692" t="s">
        <v>74</v>
      </c>
      <c r="D692" t="s">
        <v>74</v>
      </c>
      <c r="E692" t="s">
        <v>74</v>
      </c>
      <c r="F692" t="s">
        <v>12169</v>
      </c>
      <c r="G692" t="s">
        <v>74</v>
      </c>
      <c r="H692" t="s">
        <v>74</v>
      </c>
      <c r="I692" t="s">
        <v>12170</v>
      </c>
      <c r="J692" t="s">
        <v>4369</v>
      </c>
      <c r="K692" t="s">
        <v>74</v>
      </c>
      <c r="L692" t="s">
        <v>74</v>
      </c>
      <c r="M692" t="s">
        <v>78</v>
      </c>
      <c r="N692" t="s">
        <v>79</v>
      </c>
      <c r="O692" t="s">
        <v>74</v>
      </c>
      <c r="P692" t="s">
        <v>74</v>
      </c>
      <c r="Q692" t="s">
        <v>74</v>
      </c>
      <c r="R692" t="s">
        <v>74</v>
      </c>
      <c r="S692" t="s">
        <v>74</v>
      </c>
      <c r="T692" t="s">
        <v>12171</v>
      </c>
      <c r="U692" t="s">
        <v>74</v>
      </c>
      <c r="V692" t="s">
        <v>12172</v>
      </c>
      <c r="W692" t="s">
        <v>12173</v>
      </c>
      <c r="X692" t="s">
        <v>12174</v>
      </c>
      <c r="Y692" t="s">
        <v>12175</v>
      </c>
      <c r="Z692" t="s">
        <v>12176</v>
      </c>
      <c r="AA692" t="s">
        <v>12177</v>
      </c>
      <c r="AB692" t="s">
        <v>12178</v>
      </c>
      <c r="AC692" t="s">
        <v>74</v>
      </c>
      <c r="AD692" t="s">
        <v>74</v>
      </c>
      <c r="AE692" t="s">
        <v>74</v>
      </c>
      <c r="AF692" t="s">
        <v>74</v>
      </c>
      <c r="AG692">
        <v>10</v>
      </c>
      <c r="AH692">
        <v>7</v>
      </c>
      <c r="AI692">
        <v>7</v>
      </c>
      <c r="AJ692">
        <v>0</v>
      </c>
      <c r="AK692">
        <v>5</v>
      </c>
      <c r="AL692" t="s">
        <v>4402</v>
      </c>
      <c r="AM692" t="s">
        <v>4403</v>
      </c>
      <c r="AN692" t="s">
        <v>4404</v>
      </c>
      <c r="AO692" t="s">
        <v>4382</v>
      </c>
      <c r="AP692" t="s">
        <v>74</v>
      </c>
      <c r="AQ692" t="s">
        <v>74</v>
      </c>
      <c r="AR692" t="s">
        <v>4384</v>
      </c>
      <c r="AS692" t="s">
        <v>4385</v>
      </c>
      <c r="AT692" t="s">
        <v>74</v>
      </c>
      <c r="AU692">
        <v>2011</v>
      </c>
      <c r="AV692">
        <v>32</v>
      </c>
      <c r="AW692">
        <v>2</v>
      </c>
      <c r="AX692" t="s">
        <v>74</v>
      </c>
      <c r="AY692" t="s">
        <v>74</v>
      </c>
      <c r="AZ692" t="s">
        <v>74</v>
      </c>
      <c r="BA692" t="s">
        <v>74</v>
      </c>
      <c r="BB692">
        <v>117</v>
      </c>
      <c r="BC692">
        <v>121</v>
      </c>
      <c r="BD692" t="s">
        <v>74</v>
      </c>
      <c r="BE692" t="s">
        <v>12179</v>
      </c>
      <c r="BF692" t="str">
        <f>HYPERLINK("http://dx.doi.org/10.2478/v10183-011-0011-y","http://dx.doi.org/10.2478/v10183-011-0011-y")</f>
        <v>http://dx.doi.org/10.2478/v10183-011-0011-y</v>
      </c>
      <c r="BG692" t="s">
        <v>74</v>
      </c>
      <c r="BH692" t="s">
        <v>74</v>
      </c>
      <c r="BI692">
        <v>5</v>
      </c>
      <c r="BJ692" t="s">
        <v>4387</v>
      </c>
      <c r="BK692" t="s">
        <v>100</v>
      </c>
      <c r="BL692" t="s">
        <v>4388</v>
      </c>
      <c r="BM692" t="s">
        <v>12166</v>
      </c>
      <c r="BN692" t="s">
        <v>74</v>
      </c>
      <c r="BO692" t="s">
        <v>138</v>
      </c>
      <c r="BP692" t="s">
        <v>74</v>
      </c>
      <c r="BQ692" t="s">
        <v>74</v>
      </c>
      <c r="BR692" t="s">
        <v>103</v>
      </c>
      <c r="BS692" t="s">
        <v>12180</v>
      </c>
      <c r="BT692" t="str">
        <f>HYPERLINK("https%3A%2F%2Fwww.webofscience.com%2Fwos%2Fwoscc%2Ffull-record%2FWOS:000291929700002","View Full Record in Web of Science")</f>
        <v>View Full Record in Web of Science</v>
      </c>
    </row>
    <row r="693" spans="1:72" x14ac:dyDescent="0.15">
      <c r="A693" t="s">
        <v>72</v>
      </c>
      <c r="B693" t="s">
        <v>12181</v>
      </c>
      <c r="C693" t="s">
        <v>74</v>
      </c>
      <c r="D693" t="s">
        <v>74</v>
      </c>
      <c r="E693" t="s">
        <v>74</v>
      </c>
      <c r="F693" t="s">
        <v>12182</v>
      </c>
      <c r="G693" t="s">
        <v>74</v>
      </c>
      <c r="H693" t="s">
        <v>74</v>
      </c>
      <c r="I693" t="s">
        <v>12183</v>
      </c>
      <c r="J693" t="s">
        <v>4369</v>
      </c>
      <c r="K693" t="s">
        <v>74</v>
      </c>
      <c r="L693" t="s">
        <v>74</v>
      </c>
      <c r="M693" t="s">
        <v>78</v>
      </c>
      <c r="N693" t="s">
        <v>79</v>
      </c>
      <c r="O693" t="s">
        <v>74</v>
      </c>
      <c r="P693" t="s">
        <v>74</v>
      </c>
      <c r="Q693" t="s">
        <v>74</v>
      </c>
      <c r="R693" t="s">
        <v>74</v>
      </c>
      <c r="S693" t="s">
        <v>74</v>
      </c>
      <c r="T693" t="s">
        <v>12184</v>
      </c>
      <c r="U693" t="s">
        <v>12185</v>
      </c>
      <c r="V693" t="s">
        <v>12186</v>
      </c>
      <c r="W693" t="s">
        <v>12187</v>
      </c>
      <c r="X693" t="s">
        <v>12188</v>
      </c>
      <c r="Y693" t="s">
        <v>12189</v>
      </c>
      <c r="Z693" t="s">
        <v>12190</v>
      </c>
      <c r="AA693" t="s">
        <v>12191</v>
      </c>
      <c r="AB693" t="s">
        <v>12192</v>
      </c>
      <c r="AC693" t="s">
        <v>12193</v>
      </c>
      <c r="AD693" t="s">
        <v>12194</v>
      </c>
      <c r="AE693" t="s">
        <v>12195</v>
      </c>
      <c r="AF693" t="s">
        <v>74</v>
      </c>
      <c r="AG693">
        <v>47</v>
      </c>
      <c r="AH693">
        <v>15</v>
      </c>
      <c r="AI693">
        <v>16</v>
      </c>
      <c r="AJ693">
        <v>1</v>
      </c>
      <c r="AK693">
        <v>10</v>
      </c>
      <c r="AL693" t="s">
        <v>4379</v>
      </c>
      <c r="AM693" t="s">
        <v>4380</v>
      </c>
      <c r="AN693" t="s">
        <v>4381</v>
      </c>
      <c r="AO693" t="s">
        <v>4382</v>
      </c>
      <c r="AP693" t="s">
        <v>4383</v>
      </c>
      <c r="AQ693" t="s">
        <v>74</v>
      </c>
      <c r="AR693" t="s">
        <v>4384</v>
      </c>
      <c r="AS693" t="s">
        <v>4385</v>
      </c>
      <c r="AT693" t="s">
        <v>74</v>
      </c>
      <c r="AU693">
        <v>2011</v>
      </c>
      <c r="AV693">
        <v>32</v>
      </c>
      <c r="AW693">
        <v>2</v>
      </c>
      <c r="AX693" t="s">
        <v>74</v>
      </c>
      <c r="AY693" t="s">
        <v>74</v>
      </c>
      <c r="AZ693" t="s">
        <v>74</v>
      </c>
      <c r="BA693" t="s">
        <v>74</v>
      </c>
      <c r="BB693">
        <v>123</v>
      </c>
      <c r="BC693">
        <v>138</v>
      </c>
      <c r="BD693" t="s">
        <v>74</v>
      </c>
      <c r="BE693" t="s">
        <v>12196</v>
      </c>
      <c r="BF693" t="str">
        <f>HYPERLINK("http://dx.doi.org/10.2478/v10183-011-0009-5","http://dx.doi.org/10.2478/v10183-011-0009-5")</f>
        <v>http://dx.doi.org/10.2478/v10183-011-0009-5</v>
      </c>
      <c r="BG693" t="s">
        <v>74</v>
      </c>
      <c r="BH693" t="s">
        <v>74</v>
      </c>
      <c r="BI693">
        <v>16</v>
      </c>
      <c r="BJ693" t="s">
        <v>4387</v>
      </c>
      <c r="BK693" t="s">
        <v>100</v>
      </c>
      <c r="BL693" t="s">
        <v>4388</v>
      </c>
      <c r="BM693" t="s">
        <v>12166</v>
      </c>
      <c r="BN693" t="s">
        <v>74</v>
      </c>
      <c r="BO693" t="s">
        <v>138</v>
      </c>
      <c r="BP693" t="s">
        <v>74</v>
      </c>
      <c r="BQ693" t="s">
        <v>74</v>
      </c>
      <c r="BR693" t="s">
        <v>103</v>
      </c>
      <c r="BS693" t="s">
        <v>12197</v>
      </c>
      <c r="BT693" t="str">
        <f>HYPERLINK("https%3A%2F%2Fwww.webofscience.com%2Fwos%2Fwoscc%2Ffull-record%2FWOS:000291929700003","View Full Record in Web of Science")</f>
        <v>View Full Record in Web of Science</v>
      </c>
    </row>
    <row r="694" spans="1:72" x14ac:dyDescent="0.15">
      <c r="A694" t="s">
        <v>72</v>
      </c>
      <c r="B694" t="s">
        <v>12198</v>
      </c>
      <c r="C694" t="s">
        <v>74</v>
      </c>
      <c r="D694" t="s">
        <v>74</v>
      </c>
      <c r="E694" t="s">
        <v>74</v>
      </c>
      <c r="F694" t="s">
        <v>12199</v>
      </c>
      <c r="G694" t="s">
        <v>74</v>
      </c>
      <c r="H694" t="s">
        <v>74</v>
      </c>
      <c r="I694" t="s">
        <v>12200</v>
      </c>
      <c r="J694" t="s">
        <v>4369</v>
      </c>
      <c r="K694" t="s">
        <v>74</v>
      </c>
      <c r="L694" t="s">
        <v>74</v>
      </c>
      <c r="M694" t="s">
        <v>78</v>
      </c>
      <c r="N694" t="s">
        <v>79</v>
      </c>
      <c r="O694" t="s">
        <v>74</v>
      </c>
      <c r="P694" t="s">
        <v>74</v>
      </c>
      <c r="Q694" t="s">
        <v>74</v>
      </c>
      <c r="R694" t="s">
        <v>74</v>
      </c>
      <c r="S694" t="s">
        <v>74</v>
      </c>
      <c r="T694" t="s">
        <v>12201</v>
      </c>
      <c r="U694" t="s">
        <v>12202</v>
      </c>
      <c r="V694" t="s">
        <v>12203</v>
      </c>
      <c r="W694" t="s">
        <v>12204</v>
      </c>
      <c r="X694" t="s">
        <v>12205</v>
      </c>
      <c r="Y694" t="s">
        <v>12206</v>
      </c>
      <c r="Z694" t="s">
        <v>12207</v>
      </c>
      <c r="AA694" t="s">
        <v>12208</v>
      </c>
      <c r="AB694" t="s">
        <v>12209</v>
      </c>
      <c r="AC694" t="s">
        <v>74</v>
      </c>
      <c r="AD694" t="s">
        <v>74</v>
      </c>
      <c r="AE694" t="s">
        <v>74</v>
      </c>
      <c r="AF694" t="s">
        <v>74</v>
      </c>
      <c r="AG694">
        <v>42</v>
      </c>
      <c r="AH694">
        <v>13</v>
      </c>
      <c r="AI694">
        <v>14</v>
      </c>
      <c r="AJ694">
        <v>1</v>
      </c>
      <c r="AK694">
        <v>32</v>
      </c>
      <c r="AL694" t="s">
        <v>4379</v>
      </c>
      <c r="AM694" t="s">
        <v>4380</v>
      </c>
      <c r="AN694" t="s">
        <v>4381</v>
      </c>
      <c r="AO694" t="s">
        <v>4382</v>
      </c>
      <c r="AP694" t="s">
        <v>4383</v>
      </c>
      <c r="AQ694" t="s">
        <v>74</v>
      </c>
      <c r="AR694" t="s">
        <v>4384</v>
      </c>
      <c r="AS694" t="s">
        <v>4385</v>
      </c>
      <c r="AT694" t="s">
        <v>74</v>
      </c>
      <c r="AU694">
        <v>2011</v>
      </c>
      <c r="AV694">
        <v>32</v>
      </c>
      <c r="AW694">
        <v>2</v>
      </c>
      <c r="AX694" t="s">
        <v>74</v>
      </c>
      <c r="AY694" t="s">
        <v>74</v>
      </c>
      <c r="AZ694" t="s">
        <v>74</v>
      </c>
      <c r="BA694" t="s">
        <v>74</v>
      </c>
      <c r="BB694">
        <v>139</v>
      </c>
      <c r="BC694">
        <v>155</v>
      </c>
      <c r="BD694" t="s">
        <v>74</v>
      </c>
      <c r="BE694" t="s">
        <v>12210</v>
      </c>
      <c r="BF694" t="str">
        <f>HYPERLINK("http://dx.doi.org/10.2478/v10183-011-0008-6","http://dx.doi.org/10.2478/v10183-011-0008-6")</f>
        <v>http://dx.doi.org/10.2478/v10183-011-0008-6</v>
      </c>
      <c r="BG694" t="s">
        <v>74</v>
      </c>
      <c r="BH694" t="s">
        <v>74</v>
      </c>
      <c r="BI694">
        <v>17</v>
      </c>
      <c r="BJ694" t="s">
        <v>4387</v>
      </c>
      <c r="BK694" t="s">
        <v>100</v>
      </c>
      <c r="BL694" t="s">
        <v>4388</v>
      </c>
      <c r="BM694" t="s">
        <v>12166</v>
      </c>
      <c r="BN694" t="s">
        <v>74</v>
      </c>
      <c r="BO694" t="s">
        <v>138</v>
      </c>
      <c r="BP694" t="s">
        <v>74</v>
      </c>
      <c r="BQ694" t="s">
        <v>74</v>
      </c>
      <c r="BR694" t="s">
        <v>103</v>
      </c>
      <c r="BS694" t="s">
        <v>12211</v>
      </c>
      <c r="BT694" t="str">
        <f>HYPERLINK("https%3A%2F%2Fwww.webofscience.com%2Fwos%2Fwoscc%2Ffull-record%2FWOS:000291929700004","View Full Record in Web of Science")</f>
        <v>View Full Record in Web of Science</v>
      </c>
    </row>
    <row r="695" spans="1:72" x14ac:dyDescent="0.15">
      <c r="A695" t="s">
        <v>72</v>
      </c>
      <c r="B695" t="s">
        <v>12212</v>
      </c>
      <c r="C695" t="s">
        <v>74</v>
      </c>
      <c r="D695" t="s">
        <v>74</v>
      </c>
      <c r="E695" t="s">
        <v>74</v>
      </c>
      <c r="F695" t="s">
        <v>12213</v>
      </c>
      <c r="G695" t="s">
        <v>74</v>
      </c>
      <c r="H695" t="s">
        <v>74</v>
      </c>
      <c r="I695" t="s">
        <v>12214</v>
      </c>
      <c r="J695" t="s">
        <v>4369</v>
      </c>
      <c r="K695" t="s">
        <v>74</v>
      </c>
      <c r="L695" t="s">
        <v>74</v>
      </c>
      <c r="M695" t="s">
        <v>78</v>
      </c>
      <c r="N695" t="s">
        <v>79</v>
      </c>
      <c r="O695" t="s">
        <v>74</v>
      </c>
      <c r="P695" t="s">
        <v>74</v>
      </c>
      <c r="Q695" t="s">
        <v>74</v>
      </c>
      <c r="R695" t="s">
        <v>74</v>
      </c>
      <c r="S695" t="s">
        <v>74</v>
      </c>
      <c r="T695" t="s">
        <v>12215</v>
      </c>
      <c r="U695" t="s">
        <v>12216</v>
      </c>
      <c r="V695" t="s">
        <v>12217</v>
      </c>
      <c r="W695" t="s">
        <v>12218</v>
      </c>
      <c r="X695" t="s">
        <v>12219</v>
      </c>
      <c r="Y695" t="s">
        <v>12220</v>
      </c>
      <c r="Z695" t="s">
        <v>12221</v>
      </c>
      <c r="AA695" t="s">
        <v>74</v>
      </c>
      <c r="AB695" t="s">
        <v>12222</v>
      </c>
      <c r="AC695" t="s">
        <v>74</v>
      </c>
      <c r="AD695" t="s">
        <v>74</v>
      </c>
      <c r="AE695" t="s">
        <v>74</v>
      </c>
      <c r="AF695" t="s">
        <v>74</v>
      </c>
      <c r="AG695">
        <v>193</v>
      </c>
      <c r="AH695">
        <v>3</v>
      </c>
      <c r="AI695">
        <v>3</v>
      </c>
      <c r="AJ695">
        <v>0</v>
      </c>
      <c r="AK695">
        <v>12</v>
      </c>
      <c r="AL695" t="s">
        <v>4379</v>
      </c>
      <c r="AM695" t="s">
        <v>4380</v>
      </c>
      <c r="AN695" t="s">
        <v>4381</v>
      </c>
      <c r="AO695" t="s">
        <v>4382</v>
      </c>
      <c r="AP695" t="s">
        <v>4383</v>
      </c>
      <c r="AQ695" t="s">
        <v>74</v>
      </c>
      <c r="AR695" t="s">
        <v>4384</v>
      </c>
      <c r="AS695" t="s">
        <v>4385</v>
      </c>
      <c r="AT695" t="s">
        <v>74</v>
      </c>
      <c r="AU695">
        <v>2011</v>
      </c>
      <c r="AV695">
        <v>32</v>
      </c>
      <c r="AW695">
        <v>2</v>
      </c>
      <c r="AX695" t="s">
        <v>74</v>
      </c>
      <c r="AY695" t="s">
        <v>74</v>
      </c>
      <c r="AZ695" t="s">
        <v>74</v>
      </c>
      <c r="BA695" t="s">
        <v>74</v>
      </c>
      <c r="BB695">
        <v>157</v>
      </c>
      <c r="BC695">
        <v>174</v>
      </c>
      <c r="BD695" t="s">
        <v>74</v>
      </c>
      <c r="BE695" t="s">
        <v>12223</v>
      </c>
      <c r="BF695" t="str">
        <f>HYPERLINK("http://dx.doi.org/10.2478/v10183-011-0010-z","http://dx.doi.org/10.2478/v10183-011-0010-z")</f>
        <v>http://dx.doi.org/10.2478/v10183-011-0010-z</v>
      </c>
      <c r="BG695" t="s">
        <v>74</v>
      </c>
      <c r="BH695" t="s">
        <v>74</v>
      </c>
      <c r="BI695">
        <v>18</v>
      </c>
      <c r="BJ695" t="s">
        <v>4387</v>
      </c>
      <c r="BK695" t="s">
        <v>100</v>
      </c>
      <c r="BL695" t="s">
        <v>4388</v>
      </c>
      <c r="BM695" t="s">
        <v>12166</v>
      </c>
      <c r="BN695" t="s">
        <v>74</v>
      </c>
      <c r="BO695" t="s">
        <v>138</v>
      </c>
      <c r="BP695" t="s">
        <v>74</v>
      </c>
      <c r="BQ695" t="s">
        <v>74</v>
      </c>
      <c r="BR695" t="s">
        <v>103</v>
      </c>
      <c r="BS695" t="s">
        <v>12224</v>
      </c>
      <c r="BT695" t="str">
        <f>HYPERLINK("https%3A%2F%2Fwww.webofscience.com%2Fwos%2Fwoscc%2Ffull-record%2FWOS:000291929700005","View Full Record in Web of Science")</f>
        <v>View Full Record in Web of Science</v>
      </c>
    </row>
    <row r="696" spans="1:72" x14ac:dyDescent="0.15">
      <c r="A696" t="s">
        <v>72</v>
      </c>
      <c r="B696" t="s">
        <v>12225</v>
      </c>
      <c r="C696" t="s">
        <v>74</v>
      </c>
      <c r="D696" t="s">
        <v>74</v>
      </c>
      <c r="E696" t="s">
        <v>74</v>
      </c>
      <c r="F696" t="s">
        <v>12226</v>
      </c>
      <c r="G696" t="s">
        <v>74</v>
      </c>
      <c r="H696" t="s">
        <v>74</v>
      </c>
      <c r="I696" t="s">
        <v>12227</v>
      </c>
      <c r="J696" t="s">
        <v>4369</v>
      </c>
      <c r="K696" t="s">
        <v>74</v>
      </c>
      <c r="L696" t="s">
        <v>74</v>
      </c>
      <c r="M696" t="s">
        <v>78</v>
      </c>
      <c r="N696" t="s">
        <v>79</v>
      </c>
      <c r="O696" t="s">
        <v>74</v>
      </c>
      <c r="P696" t="s">
        <v>74</v>
      </c>
      <c r="Q696" t="s">
        <v>74</v>
      </c>
      <c r="R696" t="s">
        <v>74</v>
      </c>
      <c r="S696" t="s">
        <v>74</v>
      </c>
      <c r="T696" t="s">
        <v>12228</v>
      </c>
      <c r="U696" t="s">
        <v>12229</v>
      </c>
      <c r="V696" t="s">
        <v>12230</v>
      </c>
      <c r="W696" t="s">
        <v>12231</v>
      </c>
      <c r="X696" t="s">
        <v>12232</v>
      </c>
      <c r="Y696" t="s">
        <v>12233</v>
      </c>
      <c r="Z696" t="s">
        <v>12234</v>
      </c>
      <c r="AA696" t="s">
        <v>12235</v>
      </c>
      <c r="AB696" t="s">
        <v>12236</v>
      </c>
      <c r="AC696" t="s">
        <v>12237</v>
      </c>
      <c r="AD696" t="s">
        <v>12238</v>
      </c>
      <c r="AE696" t="s">
        <v>12239</v>
      </c>
      <c r="AF696" t="s">
        <v>74</v>
      </c>
      <c r="AG696">
        <v>18</v>
      </c>
      <c r="AH696">
        <v>7</v>
      </c>
      <c r="AI696">
        <v>8</v>
      </c>
      <c r="AJ696">
        <v>1</v>
      </c>
      <c r="AK696">
        <v>6</v>
      </c>
      <c r="AL696" t="s">
        <v>4379</v>
      </c>
      <c r="AM696" t="s">
        <v>4380</v>
      </c>
      <c r="AN696" t="s">
        <v>4381</v>
      </c>
      <c r="AO696" t="s">
        <v>4382</v>
      </c>
      <c r="AP696" t="s">
        <v>4383</v>
      </c>
      <c r="AQ696" t="s">
        <v>74</v>
      </c>
      <c r="AR696" t="s">
        <v>4384</v>
      </c>
      <c r="AS696" t="s">
        <v>4385</v>
      </c>
      <c r="AT696" t="s">
        <v>74</v>
      </c>
      <c r="AU696">
        <v>2011</v>
      </c>
      <c r="AV696">
        <v>32</v>
      </c>
      <c r="AW696">
        <v>2</v>
      </c>
      <c r="AX696" t="s">
        <v>74</v>
      </c>
      <c r="AY696" t="s">
        <v>74</v>
      </c>
      <c r="AZ696" t="s">
        <v>74</v>
      </c>
      <c r="BA696" t="s">
        <v>74</v>
      </c>
      <c r="BB696">
        <v>175</v>
      </c>
      <c r="BC696">
        <v>180</v>
      </c>
      <c r="BD696" t="s">
        <v>74</v>
      </c>
      <c r="BE696" t="s">
        <v>12240</v>
      </c>
      <c r="BF696" t="str">
        <f>HYPERLINK("http://dx.doi.org/10.2478/v10183-011-0013-9","http://dx.doi.org/10.2478/v10183-011-0013-9")</f>
        <v>http://dx.doi.org/10.2478/v10183-011-0013-9</v>
      </c>
      <c r="BG696" t="s">
        <v>74</v>
      </c>
      <c r="BH696" t="s">
        <v>74</v>
      </c>
      <c r="BI696">
        <v>6</v>
      </c>
      <c r="BJ696" t="s">
        <v>4387</v>
      </c>
      <c r="BK696" t="s">
        <v>100</v>
      </c>
      <c r="BL696" t="s">
        <v>4388</v>
      </c>
      <c r="BM696" t="s">
        <v>12166</v>
      </c>
      <c r="BN696" t="s">
        <v>74</v>
      </c>
      <c r="BO696" t="s">
        <v>12153</v>
      </c>
      <c r="BP696" t="s">
        <v>74</v>
      </c>
      <c r="BQ696" t="s">
        <v>74</v>
      </c>
      <c r="BR696" t="s">
        <v>103</v>
      </c>
      <c r="BS696" t="s">
        <v>12241</v>
      </c>
      <c r="BT696" t="str">
        <f>HYPERLINK("https%3A%2F%2Fwww.webofscience.com%2Fwos%2Fwoscc%2Ffull-record%2FWOS:000291929700006","View Full Record in Web of Science")</f>
        <v>View Full Record in Web of Science</v>
      </c>
    </row>
    <row r="697" spans="1:72" x14ac:dyDescent="0.15">
      <c r="A697" t="s">
        <v>72</v>
      </c>
      <c r="B697" t="s">
        <v>12242</v>
      </c>
      <c r="C697" t="s">
        <v>74</v>
      </c>
      <c r="D697" t="s">
        <v>74</v>
      </c>
      <c r="E697" t="s">
        <v>74</v>
      </c>
      <c r="F697" t="s">
        <v>12243</v>
      </c>
      <c r="G697" t="s">
        <v>74</v>
      </c>
      <c r="H697" t="s">
        <v>74</v>
      </c>
      <c r="I697" t="s">
        <v>12244</v>
      </c>
      <c r="J697" t="s">
        <v>4369</v>
      </c>
      <c r="K697" t="s">
        <v>74</v>
      </c>
      <c r="L697" t="s">
        <v>74</v>
      </c>
      <c r="M697" t="s">
        <v>78</v>
      </c>
      <c r="N697" t="s">
        <v>79</v>
      </c>
      <c r="O697" t="s">
        <v>74</v>
      </c>
      <c r="P697" t="s">
        <v>74</v>
      </c>
      <c r="Q697" t="s">
        <v>74</v>
      </c>
      <c r="R697" t="s">
        <v>74</v>
      </c>
      <c r="S697" t="s">
        <v>74</v>
      </c>
      <c r="T697" t="s">
        <v>12245</v>
      </c>
      <c r="U697" t="s">
        <v>74</v>
      </c>
      <c r="V697" t="s">
        <v>12246</v>
      </c>
      <c r="W697" t="s">
        <v>12247</v>
      </c>
      <c r="X697" t="s">
        <v>4767</v>
      </c>
      <c r="Y697" t="s">
        <v>12248</v>
      </c>
      <c r="Z697" t="s">
        <v>12249</v>
      </c>
      <c r="AA697" t="s">
        <v>74</v>
      </c>
      <c r="AB697" t="s">
        <v>74</v>
      </c>
      <c r="AC697" t="s">
        <v>12250</v>
      </c>
      <c r="AD697" t="s">
        <v>12251</v>
      </c>
      <c r="AE697" t="s">
        <v>12252</v>
      </c>
      <c r="AF697" t="s">
        <v>74</v>
      </c>
      <c r="AG697">
        <v>15</v>
      </c>
      <c r="AH697">
        <v>4</v>
      </c>
      <c r="AI697">
        <v>5</v>
      </c>
      <c r="AJ697">
        <v>0</v>
      </c>
      <c r="AK697">
        <v>8</v>
      </c>
      <c r="AL697" t="s">
        <v>4402</v>
      </c>
      <c r="AM697" t="s">
        <v>4403</v>
      </c>
      <c r="AN697" t="s">
        <v>4404</v>
      </c>
      <c r="AO697" t="s">
        <v>4382</v>
      </c>
      <c r="AP697" t="s">
        <v>74</v>
      </c>
      <c r="AQ697" t="s">
        <v>74</v>
      </c>
      <c r="AR697" t="s">
        <v>4384</v>
      </c>
      <c r="AS697" t="s">
        <v>4385</v>
      </c>
      <c r="AT697" t="s">
        <v>74</v>
      </c>
      <c r="AU697">
        <v>2011</v>
      </c>
      <c r="AV697">
        <v>32</v>
      </c>
      <c r="AW697">
        <v>3</v>
      </c>
      <c r="AX697" t="s">
        <v>74</v>
      </c>
      <c r="AY697" t="s">
        <v>74</v>
      </c>
      <c r="AZ697" t="s">
        <v>74</v>
      </c>
      <c r="BA697" t="s">
        <v>74</v>
      </c>
      <c r="BB697">
        <v>263</v>
      </c>
      <c r="BC697">
        <v>268</v>
      </c>
      <c r="BD697" t="s">
        <v>74</v>
      </c>
      <c r="BE697" t="s">
        <v>12253</v>
      </c>
      <c r="BF697" t="str">
        <f>HYPERLINK("http://dx.doi.org/10.2478/v10183-011-0018-4","http://dx.doi.org/10.2478/v10183-011-0018-4")</f>
        <v>http://dx.doi.org/10.2478/v10183-011-0018-4</v>
      </c>
      <c r="BG697" t="s">
        <v>74</v>
      </c>
      <c r="BH697" t="s">
        <v>74</v>
      </c>
      <c r="BI697">
        <v>6</v>
      </c>
      <c r="BJ697" t="s">
        <v>4387</v>
      </c>
      <c r="BK697" t="s">
        <v>100</v>
      </c>
      <c r="BL697" t="s">
        <v>4388</v>
      </c>
      <c r="BM697" t="s">
        <v>12254</v>
      </c>
      <c r="BN697" t="s">
        <v>74</v>
      </c>
      <c r="BO697" t="s">
        <v>138</v>
      </c>
      <c r="BP697" t="s">
        <v>74</v>
      </c>
      <c r="BQ697" t="s">
        <v>74</v>
      </c>
      <c r="BR697" t="s">
        <v>103</v>
      </c>
      <c r="BS697" t="s">
        <v>12255</v>
      </c>
      <c r="BT697" t="str">
        <f>HYPERLINK("https%3A%2F%2Fwww.webofscience.com%2Fwos%2Fwoscc%2Ffull-record%2FWOS:000295800600004","View Full Record in Web of Science")</f>
        <v>View Full Record in Web of Science</v>
      </c>
    </row>
    <row r="698" spans="1:72" x14ac:dyDescent="0.15">
      <c r="A698" t="s">
        <v>72</v>
      </c>
      <c r="B698" t="s">
        <v>12256</v>
      </c>
      <c r="C698" t="s">
        <v>74</v>
      </c>
      <c r="D698" t="s">
        <v>74</v>
      </c>
      <c r="E698" t="s">
        <v>74</v>
      </c>
      <c r="F698" t="s">
        <v>12257</v>
      </c>
      <c r="G698" t="s">
        <v>74</v>
      </c>
      <c r="H698" t="s">
        <v>74</v>
      </c>
      <c r="I698" t="s">
        <v>12258</v>
      </c>
      <c r="J698" t="s">
        <v>4369</v>
      </c>
      <c r="K698" t="s">
        <v>74</v>
      </c>
      <c r="L698" t="s">
        <v>74</v>
      </c>
      <c r="M698" t="s">
        <v>78</v>
      </c>
      <c r="N698" t="s">
        <v>79</v>
      </c>
      <c r="O698" t="s">
        <v>74</v>
      </c>
      <c r="P698" t="s">
        <v>74</v>
      </c>
      <c r="Q698" t="s">
        <v>74</v>
      </c>
      <c r="R698" t="s">
        <v>74</v>
      </c>
      <c r="S698" t="s">
        <v>74</v>
      </c>
      <c r="T698" t="s">
        <v>12259</v>
      </c>
      <c r="U698" t="s">
        <v>12260</v>
      </c>
      <c r="V698" t="s">
        <v>12261</v>
      </c>
      <c r="W698" t="s">
        <v>12262</v>
      </c>
      <c r="X698" t="s">
        <v>12263</v>
      </c>
      <c r="Y698" t="s">
        <v>12233</v>
      </c>
      <c r="Z698" t="s">
        <v>12264</v>
      </c>
      <c r="AA698" t="s">
        <v>12265</v>
      </c>
      <c r="AB698" t="s">
        <v>12266</v>
      </c>
      <c r="AC698" t="s">
        <v>12267</v>
      </c>
      <c r="AD698" t="s">
        <v>12238</v>
      </c>
      <c r="AE698" t="s">
        <v>12268</v>
      </c>
      <c r="AF698" t="s">
        <v>74</v>
      </c>
      <c r="AG698">
        <v>31</v>
      </c>
      <c r="AH698">
        <v>12</v>
      </c>
      <c r="AI698">
        <v>14</v>
      </c>
      <c r="AJ698">
        <v>0</v>
      </c>
      <c r="AK698">
        <v>11</v>
      </c>
      <c r="AL698" t="s">
        <v>12269</v>
      </c>
      <c r="AM698" t="s">
        <v>4380</v>
      </c>
      <c r="AN698" t="s">
        <v>12270</v>
      </c>
      <c r="AO698" t="s">
        <v>4382</v>
      </c>
      <c r="AP698" t="s">
        <v>4383</v>
      </c>
      <c r="AQ698" t="s">
        <v>74</v>
      </c>
      <c r="AR698" t="s">
        <v>4384</v>
      </c>
      <c r="AS698" t="s">
        <v>4385</v>
      </c>
      <c r="AT698" t="s">
        <v>74</v>
      </c>
      <c r="AU698">
        <v>2011</v>
      </c>
      <c r="AV698">
        <v>32</v>
      </c>
      <c r="AW698">
        <v>3</v>
      </c>
      <c r="AX698" t="s">
        <v>74</v>
      </c>
      <c r="AY698" t="s">
        <v>74</v>
      </c>
      <c r="AZ698" t="s">
        <v>74</v>
      </c>
      <c r="BA698" t="s">
        <v>74</v>
      </c>
      <c r="BB698">
        <v>269</v>
      </c>
      <c r="BC698">
        <v>277</v>
      </c>
      <c r="BD698" t="s">
        <v>74</v>
      </c>
      <c r="BE698" t="s">
        <v>12271</v>
      </c>
      <c r="BF698" t="str">
        <f>HYPERLINK("http://dx.doi.org/10.2478/v10183-011-0020-x","http://dx.doi.org/10.2478/v10183-011-0020-x")</f>
        <v>http://dx.doi.org/10.2478/v10183-011-0020-x</v>
      </c>
      <c r="BG698" t="s">
        <v>74</v>
      </c>
      <c r="BH698" t="s">
        <v>74</v>
      </c>
      <c r="BI698">
        <v>9</v>
      </c>
      <c r="BJ698" t="s">
        <v>4387</v>
      </c>
      <c r="BK698" t="s">
        <v>100</v>
      </c>
      <c r="BL698" t="s">
        <v>4388</v>
      </c>
      <c r="BM698" t="s">
        <v>12254</v>
      </c>
      <c r="BN698" t="s">
        <v>74</v>
      </c>
      <c r="BO698" t="s">
        <v>74</v>
      </c>
      <c r="BP698" t="s">
        <v>74</v>
      </c>
      <c r="BQ698" t="s">
        <v>74</v>
      </c>
      <c r="BR698" t="s">
        <v>103</v>
      </c>
      <c r="BS698" t="s">
        <v>12272</v>
      </c>
      <c r="BT698" t="str">
        <f>HYPERLINK("https%3A%2F%2Fwww.webofscience.com%2Fwos%2Fwoscc%2Ffull-record%2FWOS:000295800600005","View Full Record in Web of Science")</f>
        <v>View Full Record in Web of Science</v>
      </c>
    </row>
    <row r="699" spans="1:72" x14ac:dyDescent="0.15">
      <c r="A699" t="s">
        <v>72</v>
      </c>
      <c r="B699" t="s">
        <v>12273</v>
      </c>
      <c r="C699" t="s">
        <v>74</v>
      </c>
      <c r="D699" t="s">
        <v>74</v>
      </c>
      <c r="E699" t="s">
        <v>74</v>
      </c>
      <c r="F699" t="s">
        <v>12274</v>
      </c>
      <c r="G699" t="s">
        <v>74</v>
      </c>
      <c r="H699" t="s">
        <v>74</v>
      </c>
      <c r="I699" t="s">
        <v>12275</v>
      </c>
      <c r="J699" t="s">
        <v>4369</v>
      </c>
      <c r="K699" t="s">
        <v>74</v>
      </c>
      <c r="L699" t="s">
        <v>74</v>
      </c>
      <c r="M699" t="s">
        <v>78</v>
      </c>
      <c r="N699" t="s">
        <v>79</v>
      </c>
      <c r="O699" t="s">
        <v>74</v>
      </c>
      <c r="P699" t="s">
        <v>74</v>
      </c>
      <c r="Q699" t="s">
        <v>74</v>
      </c>
      <c r="R699" t="s">
        <v>74</v>
      </c>
      <c r="S699" t="s">
        <v>74</v>
      </c>
      <c r="T699" t="s">
        <v>12276</v>
      </c>
      <c r="U699" t="s">
        <v>12277</v>
      </c>
      <c r="V699" t="s">
        <v>12278</v>
      </c>
      <c r="W699" t="s">
        <v>12279</v>
      </c>
      <c r="X699" t="s">
        <v>12280</v>
      </c>
      <c r="Y699" t="s">
        <v>12281</v>
      </c>
      <c r="Z699" t="s">
        <v>12282</v>
      </c>
      <c r="AA699" t="s">
        <v>12283</v>
      </c>
      <c r="AB699" t="s">
        <v>74</v>
      </c>
      <c r="AC699" t="s">
        <v>12284</v>
      </c>
      <c r="AD699" t="s">
        <v>12285</v>
      </c>
      <c r="AE699" t="s">
        <v>12286</v>
      </c>
      <c r="AF699" t="s">
        <v>74</v>
      </c>
      <c r="AG699">
        <v>26</v>
      </c>
      <c r="AH699">
        <v>3</v>
      </c>
      <c r="AI699">
        <v>3</v>
      </c>
      <c r="AJ699">
        <v>0</v>
      </c>
      <c r="AK699">
        <v>9</v>
      </c>
      <c r="AL699" t="s">
        <v>4402</v>
      </c>
      <c r="AM699" t="s">
        <v>4403</v>
      </c>
      <c r="AN699" t="s">
        <v>4404</v>
      </c>
      <c r="AO699" t="s">
        <v>4382</v>
      </c>
      <c r="AP699" t="s">
        <v>74</v>
      </c>
      <c r="AQ699" t="s">
        <v>74</v>
      </c>
      <c r="AR699" t="s">
        <v>4384</v>
      </c>
      <c r="AS699" t="s">
        <v>4385</v>
      </c>
      <c r="AT699" t="s">
        <v>74</v>
      </c>
      <c r="AU699">
        <v>2011</v>
      </c>
      <c r="AV699">
        <v>32</v>
      </c>
      <c r="AW699">
        <v>3</v>
      </c>
      <c r="AX699" t="s">
        <v>74</v>
      </c>
      <c r="AY699" t="s">
        <v>74</v>
      </c>
      <c r="AZ699" t="s">
        <v>74</v>
      </c>
      <c r="BA699" t="s">
        <v>74</v>
      </c>
      <c r="BB699">
        <v>279</v>
      </c>
      <c r="BC699">
        <v>287</v>
      </c>
      <c r="BD699" t="s">
        <v>74</v>
      </c>
      <c r="BE699" t="s">
        <v>12287</v>
      </c>
      <c r="BF699" t="str">
        <f>HYPERLINK("http://dx.doi.org/10.2478/v10183-011-0019-3","http://dx.doi.org/10.2478/v10183-011-0019-3")</f>
        <v>http://dx.doi.org/10.2478/v10183-011-0019-3</v>
      </c>
      <c r="BG699" t="s">
        <v>74</v>
      </c>
      <c r="BH699" t="s">
        <v>74</v>
      </c>
      <c r="BI699">
        <v>9</v>
      </c>
      <c r="BJ699" t="s">
        <v>4387</v>
      </c>
      <c r="BK699" t="s">
        <v>100</v>
      </c>
      <c r="BL699" t="s">
        <v>4388</v>
      </c>
      <c r="BM699" t="s">
        <v>12254</v>
      </c>
      <c r="BN699" t="s">
        <v>74</v>
      </c>
      <c r="BO699" t="s">
        <v>74</v>
      </c>
      <c r="BP699" t="s">
        <v>74</v>
      </c>
      <c r="BQ699" t="s">
        <v>74</v>
      </c>
      <c r="BR699" t="s">
        <v>103</v>
      </c>
      <c r="BS699" t="s">
        <v>12288</v>
      </c>
      <c r="BT699" t="str">
        <f>HYPERLINK("https%3A%2F%2Fwww.webofscience.com%2Fwos%2Fwoscc%2Ffull-record%2FWOS:000295800600006","View Full Record in Web of Science")</f>
        <v>View Full Record in Web of Science</v>
      </c>
    </row>
    <row r="700" spans="1:72" x14ac:dyDescent="0.15">
      <c r="A700" t="s">
        <v>72</v>
      </c>
      <c r="B700" t="s">
        <v>12289</v>
      </c>
      <c r="C700" t="s">
        <v>74</v>
      </c>
      <c r="D700" t="s">
        <v>74</v>
      </c>
      <c r="E700" t="s">
        <v>74</v>
      </c>
      <c r="F700" t="s">
        <v>12290</v>
      </c>
      <c r="G700" t="s">
        <v>74</v>
      </c>
      <c r="H700" t="s">
        <v>74</v>
      </c>
      <c r="I700" t="s">
        <v>12291</v>
      </c>
      <c r="J700" t="s">
        <v>4369</v>
      </c>
      <c r="K700" t="s">
        <v>74</v>
      </c>
      <c r="L700" t="s">
        <v>74</v>
      </c>
      <c r="M700" t="s">
        <v>78</v>
      </c>
      <c r="N700" t="s">
        <v>79</v>
      </c>
      <c r="O700" t="s">
        <v>74</v>
      </c>
      <c r="P700" t="s">
        <v>74</v>
      </c>
      <c r="Q700" t="s">
        <v>74</v>
      </c>
      <c r="R700" t="s">
        <v>74</v>
      </c>
      <c r="S700" t="s">
        <v>74</v>
      </c>
      <c r="T700" t="s">
        <v>12292</v>
      </c>
      <c r="U700" t="s">
        <v>12293</v>
      </c>
      <c r="V700" t="s">
        <v>12294</v>
      </c>
      <c r="W700" t="s">
        <v>12295</v>
      </c>
      <c r="X700" t="s">
        <v>4373</v>
      </c>
      <c r="Y700" t="s">
        <v>12296</v>
      </c>
      <c r="Z700" t="s">
        <v>12297</v>
      </c>
      <c r="AA700" t="s">
        <v>12298</v>
      </c>
      <c r="AB700" t="s">
        <v>12299</v>
      </c>
      <c r="AC700" t="s">
        <v>12300</v>
      </c>
      <c r="AD700" t="s">
        <v>4373</v>
      </c>
      <c r="AE700" t="s">
        <v>12301</v>
      </c>
      <c r="AF700" t="s">
        <v>74</v>
      </c>
      <c r="AG700">
        <v>69</v>
      </c>
      <c r="AH700">
        <v>2</v>
      </c>
      <c r="AI700">
        <v>2</v>
      </c>
      <c r="AJ700">
        <v>0</v>
      </c>
      <c r="AK700">
        <v>3</v>
      </c>
      <c r="AL700" t="s">
        <v>4379</v>
      </c>
      <c r="AM700" t="s">
        <v>4380</v>
      </c>
      <c r="AN700" t="s">
        <v>4381</v>
      </c>
      <c r="AO700" t="s">
        <v>4382</v>
      </c>
      <c r="AP700" t="s">
        <v>4383</v>
      </c>
      <c r="AQ700" t="s">
        <v>74</v>
      </c>
      <c r="AR700" t="s">
        <v>4384</v>
      </c>
      <c r="AS700" t="s">
        <v>4385</v>
      </c>
      <c r="AT700" t="s">
        <v>74</v>
      </c>
      <c r="AU700">
        <v>2011</v>
      </c>
      <c r="AV700">
        <v>32</v>
      </c>
      <c r="AW700">
        <v>4</v>
      </c>
      <c r="AX700" t="s">
        <v>74</v>
      </c>
      <c r="AY700" t="s">
        <v>74</v>
      </c>
      <c r="AZ700" t="s">
        <v>74</v>
      </c>
      <c r="BA700" t="s">
        <v>74</v>
      </c>
      <c r="BB700">
        <v>293</v>
      </c>
      <c r="BC700">
        <v>320</v>
      </c>
      <c r="BD700" t="s">
        <v>74</v>
      </c>
      <c r="BE700" t="s">
        <v>12302</v>
      </c>
      <c r="BF700" t="str">
        <f>HYPERLINK("http://dx.doi.org/10.2478/v10183-011-0025-5","http://dx.doi.org/10.2478/v10183-011-0025-5")</f>
        <v>http://dx.doi.org/10.2478/v10183-011-0025-5</v>
      </c>
      <c r="BG700" t="s">
        <v>74</v>
      </c>
      <c r="BH700" t="s">
        <v>74</v>
      </c>
      <c r="BI700">
        <v>28</v>
      </c>
      <c r="BJ700" t="s">
        <v>4387</v>
      </c>
      <c r="BK700" t="s">
        <v>100</v>
      </c>
      <c r="BL700" t="s">
        <v>4388</v>
      </c>
      <c r="BM700" t="s">
        <v>12303</v>
      </c>
      <c r="BN700" t="s">
        <v>74</v>
      </c>
      <c r="BO700" t="s">
        <v>74</v>
      </c>
      <c r="BP700" t="s">
        <v>74</v>
      </c>
      <c r="BQ700" t="s">
        <v>74</v>
      </c>
      <c r="BR700" t="s">
        <v>103</v>
      </c>
      <c r="BS700" t="s">
        <v>12304</v>
      </c>
      <c r="BT700" t="str">
        <f>HYPERLINK("https%3A%2F%2Fwww.webofscience.com%2Fwos%2Fwoscc%2Ffull-record%2FWOS:000299395700001","View Full Record in Web of Science")</f>
        <v>View Full Record in Web of Science</v>
      </c>
    </row>
    <row r="701" spans="1:72" x14ac:dyDescent="0.15">
      <c r="A701" t="s">
        <v>72</v>
      </c>
      <c r="B701" t="s">
        <v>12305</v>
      </c>
      <c r="C701" t="s">
        <v>74</v>
      </c>
      <c r="D701" t="s">
        <v>74</v>
      </c>
      <c r="E701" t="s">
        <v>74</v>
      </c>
      <c r="F701" t="s">
        <v>12306</v>
      </c>
      <c r="G701" t="s">
        <v>74</v>
      </c>
      <c r="H701" t="s">
        <v>74</v>
      </c>
      <c r="I701" t="s">
        <v>12307</v>
      </c>
      <c r="J701" t="s">
        <v>4369</v>
      </c>
      <c r="K701" t="s">
        <v>74</v>
      </c>
      <c r="L701" t="s">
        <v>74</v>
      </c>
      <c r="M701" t="s">
        <v>78</v>
      </c>
      <c r="N701" t="s">
        <v>79</v>
      </c>
      <c r="O701" t="s">
        <v>74</v>
      </c>
      <c r="P701" t="s">
        <v>74</v>
      </c>
      <c r="Q701" t="s">
        <v>74</v>
      </c>
      <c r="R701" t="s">
        <v>74</v>
      </c>
      <c r="S701" t="s">
        <v>74</v>
      </c>
      <c r="T701" t="s">
        <v>12308</v>
      </c>
      <c r="U701" t="s">
        <v>12309</v>
      </c>
      <c r="V701" t="s">
        <v>12310</v>
      </c>
      <c r="W701" t="s">
        <v>12311</v>
      </c>
      <c r="X701" t="s">
        <v>12312</v>
      </c>
      <c r="Y701" t="s">
        <v>12313</v>
      </c>
      <c r="Z701" t="s">
        <v>12314</v>
      </c>
      <c r="AA701" t="s">
        <v>74</v>
      </c>
      <c r="AB701" t="s">
        <v>74</v>
      </c>
      <c r="AC701" t="s">
        <v>12315</v>
      </c>
      <c r="AD701" t="s">
        <v>12315</v>
      </c>
      <c r="AE701" t="s">
        <v>12316</v>
      </c>
      <c r="AF701" t="s">
        <v>74</v>
      </c>
      <c r="AG701">
        <v>29</v>
      </c>
      <c r="AH701">
        <v>3</v>
      </c>
      <c r="AI701">
        <v>3</v>
      </c>
      <c r="AJ701">
        <v>0</v>
      </c>
      <c r="AK701">
        <v>5</v>
      </c>
      <c r="AL701" t="s">
        <v>4379</v>
      </c>
      <c r="AM701" t="s">
        <v>4380</v>
      </c>
      <c r="AN701" t="s">
        <v>4381</v>
      </c>
      <c r="AO701" t="s">
        <v>4382</v>
      </c>
      <c r="AP701" t="s">
        <v>4383</v>
      </c>
      <c r="AQ701" t="s">
        <v>74</v>
      </c>
      <c r="AR701" t="s">
        <v>4384</v>
      </c>
      <c r="AS701" t="s">
        <v>4385</v>
      </c>
      <c r="AT701" t="s">
        <v>74</v>
      </c>
      <c r="AU701">
        <v>2011</v>
      </c>
      <c r="AV701">
        <v>32</v>
      </c>
      <c r="AW701">
        <v>4</v>
      </c>
      <c r="AX701" t="s">
        <v>74</v>
      </c>
      <c r="AY701" t="s">
        <v>74</v>
      </c>
      <c r="AZ701" t="s">
        <v>74</v>
      </c>
      <c r="BA701" t="s">
        <v>74</v>
      </c>
      <c r="BB701">
        <v>321</v>
      </c>
      <c r="BC701">
        <v>340</v>
      </c>
      <c r="BD701" t="s">
        <v>74</v>
      </c>
      <c r="BE701" t="s">
        <v>12317</v>
      </c>
      <c r="BF701" t="str">
        <f>HYPERLINK("http://dx.doi.org/10.2478/v10183-011-0022-8","http://dx.doi.org/10.2478/v10183-011-0022-8")</f>
        <v>http://dx.doi.org/10.2478/v10183-011-0022-8</v>
      </c>
      <c r="BG701" t="s">
        <v>74</v>
      </c>
      <c r="BH701" t="s">
        <v>74</v>
      </c>
      <c r="BI701">
        <v>20</v>
      </c>
      <c r="BJ701" t="s">
        <v>4387</v>
      </c>
      <c r="BK701" t="s">
        <v>100</v>
      </c>
      <c r="BL701" t="s">
        <v>4388</v>
      </c>
      <c r="BM701" t="s">
        <v>12303</v>
      </c>
      <c r="BN701" t="s">
        <v>74</v>
      </c>
      <c r="BO701" t="s">
        <v>74</v>
      </c>
      <c r="BP701" t="s">
        <v>74</v>
      </c>
      <c r="BQ701" t="s">
        <v>74</v>
      </c>
      <c r="BR701" t="s">
        <v>103</v>
      </c>
      <c r="BS701" t="s">
        <v>12318</v>
      </c>
      <c r="BT701" t="str">
        <f>HYPERLINK("https%3A%2F%2Fwww.webofscience.com%2Fwos%2Fwoscc%2Ffull-record%2FWOS:000299395700002","View Full Record in Web of Science")</f>
        <v>View Full Record in Web of Science</v>
      </c>
    </row>
    <row r="702" spans="1:72" x14ac:dyDescent="0.15">
      <c r="A702" t="s">
        <v>72</v>
      </c>
      <c r="B702" t="s">
        <v>12319</v>
      </c>
      <c r="C702" t="s">
        <v>74</v>
      </c>
      <c r="D702" t="s">
        <v>74</v>
      </c>
      <c r="E702" t="s">
        <v>74</v>
      </c>
      <c r="F702" t="s">
        <v>12320</v>
      </c>
      <c r="G702" t="s">
        <v>74</v>
      </c>
      <c r="H702" t="s">
        <v>74</v>
      </c>
      <c r="I702" t="s">
        <v>12321</v>
      </c>
      <c r="J702" t="s">
        <v>4369</v>
      </c>
      <c r="K702" t="s">
        <v>74</v>
      </c>
      <c r="L702" t="s">
        <v>74</v>
      </c>
      <c r="M702" t="s">
        <v>78</v>
      </c>
      <c r="N702" t="s">
        <v>79</v>
      </c>
      <c r="O702" t="s">
        <v>74</v>
      </c>
      <c r="P702" t="s">
        <v>74</v>
      </c>
      <c r="Q702" t="s">
        <v>74</v>
      </c>
      <c r="R702" t="s">
        <v>74</v>
      </c>
      <c r="S702" t="s">
        <v>74</v>
      </c>
      <c r="T702" t="s">
        <v>12322</v>
      </c>
      <c r="U702" t="s">
        <v>12323</v>
      </c>
      <c r="V702" t="s">
        <v>12324</v>
      </c>
      <c r="W702" t="s">
        <v>12325</v>
      </c>
      <c r="X702" t="s">
        <v>4373</v>
      </c>
      <c r="Y702" t="s">
        <v>12326</v>
      </c>
      <c r="Z702" t="s">
        <v>12327</v>
      </c>
      <c r="AA702" t="s">
        <v>12328</v>
      </c>
      <c r="AB702" t="s">
        <v>12329</v>
      </c>
      <c r="AC702" t="s">
        <v>4373</v>
      </c>
      <c r="AD702" t="s">
        <v>4373</v>
      </c>
      <c r="AE702" t="s">
        <v>12330</v>
      </c>
      <c r="AF702" t="s">
        <v>74</v>
      </c>
      <c r="AG702">
        <v>54</v>
      </c>
      <c r="AH702">
        <v>7</v>
      </c>
      <c r="AI702">
        <v>7</v>
      </c>
      <c r="AJ702">
        <v>0</v>
      </c>
      <c r="AK702">
        <v>9</v>
      </c>
      <c r="AL702" t="s">
        <v>4379</v>
      </c>
      <c r="AM702" t="s">
        <v>4380</v>
      </c>
      <c r="AN702" t="s">
        <v>4381</v>
      </c>
      <c r="AO702" t="s">
        <v>4382</v>
      </c>
      <c r="AP702" t="s">
        <v>4383</v>
      </c>
      <c r="AQ702" t="s">
        <v>74</v>
      </c>
      <c r="AR702" t="s">
        <v>4384</v>
      </c>
      <c r="AS702" t="s">
        <v>4385</v>
      </c>
      <c r="AT702" t="s">
        <v>74</v>
      </c>
      <c r="AU702">
        <v>2011</v>
      </c>
      <c r="AV702">
        <v>32</v>
      </c>
      <c r="AW702">
        <v>4</v>
      </c>
      <c r="AX702" t="s">
        <v>74</v>
      </c>
      <c r="AY702" t="s">
        <v>74</v>
      </c>
      <c r="AZ702" t="s">
        <v>74</v>
      </c>
      <c r="BA702" t="s">
        <v>74</v>
      </c>
      <c r="BB702">
        <v>341</v>
      </c>
      <c r="BC702">
        <v>354</v>
      </c>
      <c r="BD702" t="s">
        <v>74</v>
      </c>
      <c r="BE702" t="s">
        <v>12331</v>
      </c>
      <c r="BF702" t="str">
        <f>HYPERLINK("http://dx.doi.org/10.2478/v10183-011-0024-6","http://dx.doi.org/10.2478/v10183-011-0024-6")</f>
        <v>http://dx.doi.org/10.2478/v10183-011-0024-6</v>
      </c>
      <c r="BG702" t="s">
        <v>74</v>
      </c>
      <c r="BH702" t="s">
        <v>74</v>
      </c>
      <c r="BI702">
        <v>14</v>
      </c>
      <c r="BJ702" t="s">
        <v>4387</v>
      </c>
      <c r="BK702" t="s">
        <v>100</v>
      </c>
      <c r="BL702" t="s">
        <v>4388</v>
      </c>
      <c r="BM702" t="s">
        <v>12303</v>
      </c>
      <c r="BN702" t="s">
        <v>74</v>
      </c>
      <c r="BO702" t="s">
        <v>138</v>
      </c>
      <c r="BP702" t="s">
        <v>74</v>
      </c>
      <c r="BQ702" t="s">
        <v>74</v>
      </c>
      <c r="BR702" t="s">
        <v>103</v>
      </c>
      <c r="BS702" t="s">
        <v>12332</v>
      </c>
      <c r="BT702" t="str">
        <f>HYPERLINK("https%3A%2F%2Fwww.webofscience.com%2Fwos%2Fwoscc%2Ffull-record%2FWOS:000299395700003","View Full Record in Web of Science")</f>
        <v>View Full Record in Web of Science</v>
      </c>
    </row>
    <row r="703" spans="1:72" x14ac:dyDescent="0.15">
      <c r="A703" t="s">
        <v>72</v>
      </c>
      <c r="B703" t="s">
        <v>12333</v>
      </c>
      <c r="C703" t="s">
        <v>74</v>
      </c>
      <c r="D703" t="s">
        <v>74</v>
      </c>
      <c r="E703" t="s">
        <v>74</v>
      </c>
      <c r="F703" t="s">
        <v>12334</v>
      </c>
      <c r="G703" t="s">
        <v>74</v>
      </c>
      <c r="H703" t="s">
        <v>74</v>
      </c>
      <c r="I703" t="s">
        <v>12335</v>
      </c>
      <c r="J703" t="s">
        <v>4369</v>
      </c>
      <c r="K703" t="s">
        <v>74</v>
      </c>
      <c r="L703" t="s">
        <v>74</v>
      </c>
      <c r="M703" t="s">
        <v>78</v>
      </c>
      <c r="N703" t="s">
        <v>79</v>
      </c>
      <c r="O703" t="s">
        <v>74</v>
      </c>
      <c r="P703" t="s">
        <v>74</v>
      </c>
      <c r="Q703" t="s">
        <v>74</v>
      </c>
      <c r="R703" t="s">
        <v>74</v>
      </c>
      <c r="S703" t="s">
        <v>74</v>
      </c>
      <c r="T703" t="s">
        <v>12336</v>
      </c>
      <c r="U703" t="s">
        <v>12337</v>
      </c>
      <c r="V703" t="s">
        <v>12338</v>
      </c>
      <c r="W703" t="s">
        <v>12339</v>
      </c>
      <c r="X703" t="s">
        <v>12340</v>
      </c>
      <c r="Y703" t="s">
        <v>12341</v>
      </c>
      <c r="Z703" t="s">
        <v>12342</v>
      </c>
      <c r="AA703" t="s">
        <v>12343</v>
      </c>
      <c r="AB703" t="s">
        <v>12344</v>
      </c>
      <c r="AC703" t="s">
        <v>74</v>
      </c>
      <c r="AD703" t="s">
        <v>74</v>
      </c>
      <c r="AE703" t="s">
        <v>74</v>
      </c>
      <c r="AF703" t="s">
        <v>74</v>
      </c>
      <c r="AG703">
        <v>29</v>
      </c>
      <c r="AH703">
        <v>8</v>
      </c>
      <c r="AI703">
        <v>9</v>
      </c>
      <c r="AJ703">
        <v>0</v>
      </c>
      <c r="AK703">
        <v>7</v>
      </c>
      <c r="AL703" t="s">
        <v>4402</v>
      </c>
      <c r="AM703" t="s">
        <v>4403</v>
      </c>
      <c r="AN703" t="s">
        <v>4404</v>
      </c>
      <c r="AO703" t="s">
        <v>4382</v>
      </c>
      <c r="AP703" t="s">
        <v>74</v>
      </c>
      <c r="AQ703" t="s">
        <v>74</v>
      </c>
      <c r="AR703" t="s">
        <v>4384</v>
      </c>
      <c r="AS703" t="s">
        <v>4385</v>
      </c>
      <c r="AT703" t="s">
        <v>74</v>
      </c>
      <c r="AU703">
        <v>2011</v>
      </c>
      <c r="AV703">
        <v>32</v>
      </c>
      <c r="AW703">
        <v>4</v>
      </c>
      <c r="AX703" t="s">
        <v>74</v>
      </c>
      <c r="AY703" t="s">
        <v>74</v>
      </c>
      <c r="AZ703" t="s">
        <v>74</v>
      </c>
      <c r="BA703" t="s">
        <v>74</v>
      </c>
      <c r="BB703">
        <v>355</v>
      </c>
      <c r="BC703">
        <v>360</v>
      </c>
      <c r="BD703" t="s">
        <v>74</v>
      </c>
      <c r="BE703" t="s">
        <v>12345</v>
      </c>
      <c r="BF703" t="str">
        <f>HYPERLINK("http://dx.doi.org/10.2478/v10183-011-0021-9","http://dx.doi.org/10.2478/v10183-011-0021-9")</f>
        <v>http://dx.doi.org/10.2478/v10183-011-0021-9</v>
      </c>
      <c r="BG703" t="s">
        <v>74</v>
      </c>
      <c r="BH703" t="s">
        <v>74</v>
      </c>
      <c r="BI703">
        <v>6</v>
      </c>
      <c r="BJ703" t="s">
        <v>4387</v>
      </c>
      <c r="BK703" t="s">
        <v>100</v>
      </c>
      <c r="BL703" t="s">
        <v>4388</v>
      </c>
      <c r="BM703" t="s">
        <v>12303</v>
      </c>
      <c r="BN703" t="s">
        <v>74</v>
      </c>
      <c r="BO703" t="s">
        <v>74</v>
      </c>
      <c r="BP703" t="s">
        <v>74</v>
      </c>
      <c r="BQ703" t="s">
        <v>74</v>
      </c>
      <c r="BR703" t="s">
        <v>103</v>
      </c>
      <c r="BS703" t="s">
        <v>12346</v>
      </c>
      <c r="BT703" t="str">
        <f>HYPERLINK("https%3A%2F%2Fwww.webofscience.com%2Fwos%2Fwoscc%2Ffull-record%2FWOS:000299395700004","View Full Record in Web of Science")</f>
        <v>View Full Record in Web of Science</v>
      </c>
    </row>
    <row r="704" spans="1:72" x14ac:dyDescent="0.15">
      <c r="A704" t="s">
        <v>72</v>
      </c>
      <c r="B704" t="s">
        <v>12347</v>
      </c>
      <c r="C704" t="s">
        <v>74</v>
      </c>
      <c r="D704" t="s">
        <v>74</v>
      </c>
      <c r="E704" t="s">
        <v>74</v>
      </c>
      <c r="F704" t="s">
        <v>12348</v>
      </c>
      <c r="G704" t="s">
        <v>74</v>
      </c>
      <c r="H704" t="s">
        <v>74</v>
      </c>
      <c r="I704" t="s">
        <v>12349</v>
      </c>
      <c r="J704" t="s">
        <v>12350</v>
      </c>
      <c r="K704" t="s">
        <v>74</v>
      </c>
      <c r="L704" t="s">
        <v>74</v>
      </c>
      <c r="M704" t="s">
        <v>78</v>
      </c>
      <c r="N704" t="s">
        <v>79</v>
      </c>
      <c r="O704" t="s">
        <v>74</v>
      </c>
      <c r="P704" t="s">
        <v>74</v>
      </c>
      <c r="Q704" t="s">
        <v>74</v>
      </c>
      <c r="R704" t="s">
        <v>74</v>
      </c>
      <c r="S704" t="s">
        <v>74</v>
      </c>
      <c r="T704" t="s">
        <v>12351</v>
      </c>
      <c r="U704" t="s">
        <v>12352</v>
      </c>
      <c r="V704" t="s">
        <v>12353</v>
      </c>
      <c r="W704" t="s">
        <v>12354</v>
      </c>
      <c r="X704" t="s">
        <v>12355</v>
      </c>
      <c r="Y704" t="s">
        <v>12356</v>
      </c>
      <c r="Z704" t="s">
        <v>12357</v>
      </c>
      <c r="AA704" t="s">
        <v>12358</v>
      </c>
      <c r="AB704" t="s">
        <v>12359</v>
      </c>
      <c r="AC704" t="s">
        <v>12360</v>
      </c>
      <c r="AD704" t="s">
        <v>12360</v>
      </c>
      <c r="AE704" t="s">
        <v>12361</v>
      </c>
      <c r="AF704" t="s">
        <v>74</v>
      </c>
      <c r="AG704">
        <v>125</v>
      </c>
      <c r="AH704">
        <v>24</v>
      </c>
      <c r="AI704">
        <v>27</v>
      </c>
      <c r="AJ704">
        <v>0</v>
      </c>
      <c r="AK704">
        <v>9</v>
      </c>
      <c r="AL704" t="s">
        <v>767</v>
      </c>
      <c r="AM704" t="s">
        <v>640</v>
      </c>
      <c r="AN704" t="s">
        <v>768</v>
      </c>
      <c r="AO704" t="s">
        <v>12362</v>
      </c>
      <c r="AP704" t="s">
        <v>12363</v>
      </c>
      <c r="AQ704" t="s">
        <v>74</v>
      </c>
      <c r="AR704" t="s">
        <v>12364</v>
      </c>
      <c r="AS704" t="s">
        <v>12365</v>
      </c>
      <c r="AT704" t="s">
        <v>3935</v>
      </c>
      <c r="AU704">
        <v>2011</v>
      </c>
      <c r="AV704">
        <v>184</v>
      </c>
      <c r="AW704" t="s">
        <v>1350</v>
      </c>
      <c r="AX704" t="s">
        <v>74</v>
      </c>
      <c r="AY704" t="s">
        <v>74</v>
      </c>
      <c r="AZ704" t="s">
        <v>74</v>
      </c>
      <c r="BA704" t="s">
        <v>74</v>
      </c>
      <c r="BB704">
        <v>70</v>
      </c>
      <c r="BC704">
        <v>92</v>
      </c>
      <c r="BD704" t="s">
        <v>74</v>
      </c>
      <c r="BE704" t="s">
        <v>12366</v>
      </c>
      <c r="BF704" t="str">
        <f>HYPERLINK("http://dx.doi.org/10.1016/j.precamres.2010.11.001","http://dx.doi.org/10.1016/j.precamres.2010.11.001")</f>
        <v>http://dx.doi.org/10.1016/j.precamres.2010.11.001</v>
      </c>
      <c r="BG704" t="s">
        <v>74</v>
      </c>
      <c r="BH704" t="s">
        <v>74</v>
      </c>
      <c r="BI704">
        <v>23</v>
      </c>
      <c r="BJ704" t="s">
        <v>396</v>
      </c>
      <c r="BK704" t="s">
        <v>100</v>
      </c>
      <c r="BL704" t="s">
        <v>397</v>
      </c>
      <c r="BM704" t="s">
        <v>12367</v>
      </c>
      <c r="BN704" t="s">
        <v>74</v>
      </c>
      <c r="BO704" t="s">
        <v>74</v>
      </c>
      <c r="BP704" t="s">
        <v>74</v>
      </c>
      <c r="BQ704" t="s">
        <v>74</v>
      </c>
      <c r="BR704" t="s">
        <v>103</v>
      </c>
      <c r="BS704" t="s">
        <v>12368</v>
      </c>
      <c r="BT704" t="str">
        <f>HYPERLINK("https%3A%2F%2Fwww.webofscience.com%2Fwos%2Fwoscc%2Ffull-record%2FWOS:000286541100005","View Full Record in Web of Science")</f>
        <v>View Full Record in Web of Science</v>
      </c>
    </row>
    <row r="705" spans="1:72" x14ac:dyDescent="0.15">
      <c r="A705" t="s">
        <v>2268</v>
      </c>
      <c r="B705" t="s">
        <v>12369</v>
      </c>
      <c r="C705" t="s">
        <v>74</v>
      </c>
      <c r="D705" t="s">
        <v>12370</v>
      </c>
      <c r="E705" t="s">
        <v>74</v>
      </c>
      <c r="F705" t="s">
        <v>12371</v>
      </c>
      <c r="G705" t="s">
        <v>74</v>
      </c>
      <c r="H705" t="s">
        <v>74</v>
      </c>
      <c r="I705" t="s">
        <v>12372</v>
      </c>
      <c r="J705" t="s">
        <v>12373</v>
      </c>
      <c r="K705" t="s">
        <v>74</v>
      </c>
      <c r="L705" t="s">
        <v>74</v>
      </c>
      <c r="M705" t="s">
        <v>78</v>
      </c>
      <c r="N705" t="s">
        <v>2275</v>
      </c>
      <c r="O705" t="s">
        <v>12374</v>
      </c>
      <c r="P705" t="s">
        <v>12375</v>
      </c>
      <c r="Q705" t="s">
        <v>12376</v>
      </c>
      <c r="R705" t="s">
        <v>74</v>
      </c>
      <c r="S705" t="s">
        <v>74</v>
      </c>
      <c r="T705" t="s">
        <v>12377</v>
      </c>
      <c r="U705" t="s">
        <v>74</v>
      </c>
      <c r="V705" t="s">
        <v>12378</v>
      </c>
      <c r="W705" t="s">
        <v>12379</v>
      </c>
      <c r="X705" t="s">
        <v>12380</v>
      </c>
      <c r="Y705" t="s">
        <v>12381</v>
      </c>
      <c r="Z705" t="s">
        <v>74</v>
      </c>
      <c r="AA705" t="s">
        <v>74</v>
      </c>
      <c r="AB705" t="s">
        <v>74</v>
      </c>
      <c r="AC705" t="s">
        <v>12382</v>
      </c>
      <c r="AD705" t="s">
        <v>12383</v>
      </c>
      <c r="AE705" t="s">
        <v>12384</v>
      </c>
      <c r="AF705" t="s">
        <v>74</v>
      </c>
      <c r="AG705">
        <v>7</v>
      </c>
      <c r="AH705">
        <v>0</v>
      </c>
      <c r="AI705">
        <v>0</v>
      </c>
      <c r="AJ705">
        <v>0</v>
      </c>
      <c r="AK705">
        <v>4</v>
      </c>
      <c r="AL705" t="s">
        <v>12385</v>
      </c>
      <c r="AM705" t="s">
        <v>12386</v>
      </c>
      <c r="AN705" t="s">
        <v>12387</v>
      </c>
      <c r="AO705" t="s">
        <v>74</v>
      </c>
      <c r="AP705" t="s">
        <v>74</v>
      </c>
      <c r="AQ705" t="s">
        <v>12388</v>
      </c>
      <c r="AR705" t="s">
        <v>74</v>
      </c>
      <c r="AS705" t="s">
        <v>74</v>
      </c>
      <c r="AT705" t="s">
        <v>74</v>
      </c>
      <c r="AU705">
        <v>2011</v>
      </c>
      <c r="AV705" t="s">
        <v>74</v>
      </c>
      <c r="AW705" t="s">
        <v>74</v>
      </c>
      <c r="AX705" t="s">
        <v>74</v>
      </c>
      <c r="AY705" t="s">
        <v>74</v>
      </c>
      <c r="AZ705" t="s">
        <v>74</v>
      </c>
      <c r="BA705" t="s">
        <v>74</v>
      </c>
      <c r="BB705">
        <v>223</v>
      </c>
      <c r="BC705" t="s">
        <v>1316</v>
      </c>
      <c r="BD705" t="s">
        <v>74</v>
      </c>
      <c r="BE705" t="s">
        <v>74</v>
      </c>
      <c r="BF705" t="s">
        <v>74</v>
      </c>
      <c r="BG705" t="s">
        <v>74</v>
      </c>
      <c r="BH705" t="s">
        <v>74</v>
      </c>
      <c r="BI705">
        <v>2</v>
      </c>
      <c r="BJ705" t="s">
        <v>12389</v>
      </c>
      <c r="BK705" t="s">
        <v>2292</v>
      </c>
      <c r="BL705" t="s">
        <v>12390</v>
      </c>
      <c r="BM705" t="s">
        <v>12391</v>
      </c>
      <c r="BN705" t="s">
        <v>74</v>
      </c>
      <c r="BO705" t="s">
        <v>74</v>
      </c>
      <c r="BP705" t="s">
        <v>74</v>
      </c>
      <c r="BQ705" t="s">
        <v>74</v>
      </c>
      <c r="BR705" t="s">
        <v>103</v>
      </c>
      <c r="BS705" t="s">
        <v>12392</v>
      </c>
      <c r="BT705" t="str">
        <f>HYPERLINK("https%3A%2F%2Fwww.webofscience.com%2Fwos%2Fwoscc%2Ffull-record%2FWOS:000344904800039","View Full Record in Web of Science")</f>
        <v>View Full Record in Web of Science</v>
      </c>
    </row>
    <row r="706" spans="1:72" x14ac:dyDescent="0.15">
      <c r="A706" t="s">
        <v>2268</v>
      </c>
      <c r="B706" t="s">
        <v>12393</v>
      </c>
      <c r="C706" t="s">
        <v>74</v>
      </c>
      <c r="D706" t="s">
        <v>12394</v>
      </c>
      <c r="E706" t="s">
        <v>74</v>
      </c>
      <c r="F706" t="s">
        <v>12395</v>
      </c>
      <c r="G706" t="s">
        <v>74</v>
      </c>
      <c r="H706" t="s">
        <v>74</v>
      </c>
      <c r="I706" t="s">
        <v>12396</v>
      </c>
      <c r="J706" t="s">
        <v>12397</v>
      </c>
      <c r="K706" t="s">
        <v>74</v>
      </c>
      <c r="L706" t="s">
        <v>74</v>
      </c>
      <c r="M706" t="s">
        <v>78</v>
      </c>
      <c r="N706" t="s">
        <v>2275</v>
      </c>
      <c r="O706" t="s">
        <v>12398</v>
      </c>
      <c r="P706" t="s">
        <v>12399</v>
      </c>
      <c r="Q706" t="s">
        <v>12400</v>
      </c>
      <c r="R706" t="s">
        <v>74</v>
      </c>
      <c r="S706" t="s">
        <v>74</v>
      </c>
      <c r="T706" t="s">
        <v>12401</v>
      </c>
      <c r="U706" t="s">
        <v>12402</v>
      </c>
      <c r="V706" t="s">
        <v>12403</v>
      </c>
      <c r="W706" t="s">
        <v>12404</v>
      </c>
      <c r="X706" t="s">
        <v>74</v>
      </c>
      <c r="Y706" t="s">
        <v>12405</v>
      </c>
      <c r="Z706" t="s">
        <v>74</v>
      </c>
      <c r="AA706" t="s">
        <v>74</v>
      </c>
      <c r="AB706" t="s">
        <v>74</v>
      </c>
      <c r="AC706" t="s">
        <v>12406</v>
      </c>
      <c r="AD706" t="s">
        <v>887</v>
      </c>
      <c r="AE706" t="s">
        <v>12407</v>
      </c>
      <c r="AF706" t="s">
        <v>74</v>
      </c>
      <c r="AG706">
        <v>45</v>
      </c>
      <c r="AH706">
        <v>3</v>
      </c>
      <c r="AI706">
        <v>3</v>
      </c>
      <c r="AJ706">
        <v>0</v>
      </c>
      <c r="AK706">
        <v>5</v>
      </c>
      <c r="AL706" t="s">
        <v>12408</v>
      </c>
      <c r="AM706" t="s">
        <v>1578</v>
      </c>
      <c r="AN706" t="s">
        <v>12409</v>
      </c>
      <c r="AO706" t="s">
        <v>74</v>
      </c>
      <c r="AP706" t="s">
        <v>74</v>
      </c>
      <c r="AQ706" t="s">
        <v>12410</v>
      </c>
      <c r="AR706" t="s">
        <v>74</v>
      </c>
      <c r="AS706" t="s">
        <v>74</v>
      </c>
      <c r="AT706" t="s">
        <v>74</v>
      </c>
      <c r="AU706">
        <v>2011</v>
      </c>
      <c r="AV706" t="s">
        <v>74</v>
      </c>
      <c r="AW706" t="s">
        <v>74</v>
      </c>
      <c r="AX706" t="s">
        <v>74</v>
      </c>
      <c r="AY706" t="s">
        <v>74</v>
      </c>
      <c r="AZ706" t="s">
        <v>74</v>
      </c>
      <c r="BA706" t="s">
        <v>74</v>
      </c>
      <c r="BB706">
        <v>60</v>
      </c>
      <c r="BC706">
        <v>65</v>
      </c>
      <c r="BD706" t="s">
        <v>74</v>
      </c>
      <c r="BE706" t="s">
        <v>74</v>
      </c>
      <c r="BF706" t="s">
        <v>74</v>
      </c>
      <c r="BG706" t="s">
        <v>74</v>
      </c>
      <c r="BH706" t="s">
        <v>74</v>
      </c>
      <c r="BI706">
        <v>6</v>
      </c>
      <c r="BJ706" t="s">
        <v>12411</v>
      </c>
      <c r="BK706" t="s">
        <v>2292</v>
      </c>
      <c r="BL706" t="s">
        <v>12412</v>
      </c>
      <c r="BM706" t="s">
        <v>12413</v>
      </c>
      <c r="BN706" t="s">
        <v>74</v>
      </c>
      <c r="BO706" t="s">
        <v>74</v>
      </c>
      <c r="BP706" t="s">
        <v>74</v>
      </c>
      <c r="BQ706" t="s">
        <v>74</v>
      </c>
      <c r="BR706" t="s">
        <v>103</v>
      </c>
      <c r="BS706" t="s">
        <v>12414</v>
      </c>
      <c r="BT706" t="str">
        <f>HYPERLINK("https%3A%2F%2Fwww.webofscience.com%2Fwos%2Fwoscc%2Ffull-record%2FWOS:000392162200010","View Full Record in Web of Science")</f>
        <v>View Full Record in Web of Science</v>
      </c>
    </row>
    <row r="707" spans="1:72" x14ac:dyDescent="0.15">
      <c r="A707" t="s">
        <v>72</v>
      </c>
      <c r="B707" t="s">
        <v>12415</v>
      </c>
      <c r="C707" t="s">
        <v>74</v>
      </c>
      <c r="D707" t="s">
        <v>74</v>
      </c>
      <c r="E707" t="s">
        <v>74</v>
      </c>
      <c r="F707" t="s">
        <v>12416</v>
      </c>
      <c r="G707" t="s">
        <v>74</v>
      </c>
      <c r="H707" t="s">
        <v>74</v>
      </c>
      <c r="I707" t="s">
        <v>12417</v>
      </c>
      <c r="J707" t="s">
        <v>12418</v>
      </c>
      <c r="K707" t="s">
        <v>74</v>
      </c>
      <c r="L707" t="s">
        <v>74</v>
      </c>
      <c r="M707" t="s">
        <v>78</v>
      </c>
      <c r="N707" t="s">
        <v>681</v>
      </c>
      <c r="O707" t="s">
        <v>74</v>
      </c>
      <c r="P707" t="s">
        <v>74</v>
      </c>
      <c r="Q707" t="s">
        <v>74</v>
      </c>
      <c r="R707" t="s">
        <v>74</v>
      </c>
      <c r="S707" t="s">
        <v>74</v>
      </c>
      <c r="T707" t="s">
        <v>74</v>
      </c>
      <c r="U707" t="s">
        <v>12419</v>
      </c>
      <c r="V707" t="s">
        <v>12420</v>
      </c>
      <c r="W707" t="s">
        <v>12421</v>
      </c>
      <c r="X707" t="s">
        <v>12422</v>
      </c>
      <c r="Y707" t="s">
        <v>12423</v>
      </c>
      <c r="Z707" t="s">
        <v>12424</v>
      </c>
      <c r="AA707" t="s">
        <v>12425</v>
      </c>
      <c r="AB707" t="s">
        <v>12426</v>
      </c>
      <c r="AC707" t="s">
        <v>12427</v>
      </c>
      <c r="AD707" t="s">
        <v>12428</v>
      </c>
      <c r="AE707" t="s">
        <v>12429</v>
      </c>
      <c r="AF707" t="s">
        <v>74</v>
      </c>
      <c r="AG707">
        <v>67</v>
      </c>
      <c r="AH707">
        <v>59</v>
      </c>
      <c r="AI707">
        <v>61</v>
      </c>
      <c r="AJ707">
        <v>0</v>
      </c>
      <c r="AK707">
        <v>17</v>
      </c>
      <c r="AL707" t="s">
        <v>718</v>
      </c>
      <c r="AM707" t="s">
        <v>719</v>
      </c>
      <c r="AN707" t="s">
        <v>720</v>
      </c>
      <c r="AO707" t="s">
        <v>12430</v>
      </c>
      <c r="AP707" t="s">
        <v>12431</v>
      </c>
      <c r="AQ707" t="s">
        <v>74</v>
      </c>
      <c r="AR707" t="s">
        <v>12432</v>
      </c>
      <c r="AS707" t="s">
        <v>12433</v>
      </c>
      <c r="AT707" t="s">
        <v>3108</v>
      </c>
      <c r="AU707">
        <v>2011</v>
      </c>
      <c r="AV707">
        <v>88</v>
      </c>
      <c r="AW707" t="s">
        <v>1350</v>
      </c>
      <c r="AX707" t="s">
        <v>74</v>
      </c>
      <c r="AY707" t="s">
        <v>74</v>
      </c>
      <c r="AZ707" t="s">
        <v>74</v>
      </c>
      <c r="BA707" t="s">
        <v>74</v>
      </c>
      <c r="BB707">
        <v>116</v>
      </c>
      <c r="BC707">
        <v>130</v>
      </c>
      <c r="BD707" t="s">
        <v>74</v>
      </c>
      <c r="BE707" t="s">
        <v>12434</v>
      </c>
      <c r="BF707" t="str">
        <f>HYPERLINK("http://dx.doi.org/10.1016/j.pocean.2010.12.015","http://dx.doi.org/10.1016/j.pocean.2010.12.015")</f>
        <v>http://dx.doi.org/10.1016/j.pocean.2010.12.015</v>
      </c>
      <c r="BG707" t="s">
        <v>74</v>
      </c>
      <c r="BH707" t="s">
        <v>74</v>
      </c>
      <c r="BI707">
        <v>15</v>
      </c>
      <c r="BJ707" t="s">
        <v>250</v>
      </c>
      <c r="BK707" t="s">
        <v>100</v>
      </c>
      <c r="BL707" t="s">
        <v>250</v>
      </c>
      <c r="BM707" t="s">
        <v>12435</v>
      </c>
      <c r="BN707" t="s">
        <v>74</v>
      </c>
      <c r="BO707" t="s">
        <v>74</v>
      </c>
      <c r="BP707" t="s">
        <v>74</v>
      </c>
      <c r="BQ707" t="s">
        <v>74</v>
      </c>
      <c r="BR707" t="s">
        <v>103</v>
      </c>
      <c r="BS707" t="s">
        <v>12436</v>
      </c>
      <c r="BT707" t="str">
        <f>HYPERLINK("https%3A%2F%2Fwww.webofscience.com%2Fwos%2Fwoscc%2Ffull-record%2FWOS:000287830400007","View Full Record in Web of Science")</f>
        <v>View Full Record in Web of Science</v>
      </c>
    </row>
    <row r="708" spans="1:72" x14ac:dyDescent="0.15">
      <c r="A708" t="s">
        <v>72</v>
      </c>
      <c r="B708" t="s">
        <v>12437</v>
      </c>
      <c r="C708" t="s">
        <v>74</v>
      </c>
      <c r="D708" t="s">
        <v>74</v>
      </c>
      <c r="E708" t="s">
        <v>74</v>
      </c>
      <c r="F708" t="s">
        <v>12438</v>
      </c>
      <c r="G708" t="s">
        <v>74</v>
      </c>
      <c r="H708" t="s">
        <v>74</v>
      </c>
      <c r="I708" t="s">
        <v>12439</v>
      </c>
      <c r="J708" t="s">
        <v>12440</v>
      </c>
      <c r="K708" t="s">
        <v>74</v>
      </c>
      <c r="L708" t="s">
        <v>74</v>
      </c>
      <c r="M708" t="s">
        <v>78</v>
      </c>
      <c r="N708" t="s">
        <v>681</v>
      </c>
      <c r="O708" t="s">
        <v>74</v>
      </c>
      <c r="P708" t="s">
        <v>74</v>
      </c>
      <c r="Q708" t="s">
        <v>74</v>
      </c>
      <c r="R708" t="s">
        <v>74</v>
      </c>
      <c r="S708" t="s">
        <v>74</v>
      </c>
      <c r="T708" t="s">
        <v>12441</v>
      </c>
      <c r="U708" t="s">
        <v>12442</v>
      </c>
      <c r="V708" t="s">
        <v>12443</v>
      </c>
      <c r="W708" t="s">
        <v>12444</v>
      </c>
      <c r="X708" t="s">
        <v>12445</v>
      </c>
      <c r="Y708" t="s">
        <v>12446</v>
      </c>
      <c r="Z708" t="s">
        <v>12447</v>
      </c>
      <c r="AA708" t="s">
        <v>12448</v>
      </c>
      <c r="AB708" t="s">
        <v>12449</v>
      </c>
      <c r="AC708" t="s">
        <v>12450</v>
      </c>
      <c r="AD708" t="s">
        <v>12451</v>
      </c>
      <c r="AE708" t="s">
        <v>12452</v>
      </c>
      <c r="AF708" t="s">
        <v>74</v>
      </c>
      <c r="AG708">
        <v>146</v>
      </c>
      <c r="AH708">
        <v>2634</v>
      </c>
      <c r="AI708">
        <v>2857</v>
      </c>
      <c r="AJ708">
        <v>5</v>
      </c>
      <c r="AK708">
        <v>456</v>
      </c>
      <c r="AL708" t="s">
        <v>214</v>
      </c>
      <c r="AM708" t="s">
        <v>215</v>
      </c>
      <c r="AN708" t="s">
        <v>216</v>
      </c>
      <c r="AO708" t="s">
        <v>12453</v>
      </c>
      <c r="AP708" t="s">
        <v>12454</v>
      </c>
      <c r="AQ708" t="s">
        <v>74</v>
      </c>
      <c r="AR708" t="s">
        <v>12455</v>
      </c>
      <c r="AS708" t="s">
        <v>12456</v>
      </c>
      <c r="AT708" t="s">
        <v>3935</v>
      </c>
      <c r="AU708">
        <v>2011</v>
      </c>
      <c r="AV708">
        <v>137</v>
      </c>
      <c r="AW708">
        <v>654</v>
      </c>
      <c r="AX708" t="s">
        <v>12457</v>
      </c>
      <c r="AY708" t="s">
        <v>74</v>
      </c>
      <c r="AZ708" t="s">
        <v>74</v>
      </c>
      <c r="BA708" t="s">
        <v>74</v>
      </c>
      <c r="BB708">
        <v>1</v>
      </c>
      <c r="BC708">
        <v>28</v>
      </c>
      <c r="BD708" t="s">
        <v>74</v>
      </c>
      <c r="BE708" t="s">
        <v>12458</v>
      </c>
      <c r="BF708" t="str">
        <f>HYPERLINK("http://dx.doi.org/10.1002/qj.776","http://dx.doi.org/10.1002/qj.776")</f>
        <v>http://dx.doi.org/10.1002/qj.776</v>
      </c>
      <c r="BG708" t="s">
        <v>74</v>
      </c>
      <c r="BH708" t="s">
        <v>74</v>
      </c>
      <c r="BI708">
        <v>28</v>
      </c>
      <c r="BJ708" t="s">
        <v>603</v>
      </c>
      <c r="BK708" t="s">
        <v>100</v>
      </c>
      <c r="BL708" t="s">
        <v>603</v>
      </c>
      <c r="BM708" t="s">
        <v>12459</v>
      </c>
      <c r="BN708" t="s">
        <v>74</v>
      </c>
      <c r="BO708" t="s">
        <v>923</v>
      </c>
      <c r="BP708" t="s">
        <v>74</v>
      </c>
      <c r="BQ708" t="s">
        <v>74</v>
      </c>
      <c r="BR708" t="s">
        <v>103</v>
      </c>
      <c r="BS708" t="s">
        <v>12460</v>
      </c>
      <c r="BT708" t="str">
        <f>HYPERLINK("https%3A%2F%2Fwww.webofscience.com%2Fwos%2Fwoscc%2Ffull-record%2FWOS:000287592400001","View Full Record in Web of Science")</f>
        <v>View Full Record in Web of Science</v>
      </c>
    </row>
    <row r="709" spans="1:72" x14ac:dyDescent="0.15">
      <c r="A709" t="s">
        <v>72</v>
      </c>
      <c r="B709" t="s">
        <v>12461</v>
      </c>
      <c r="C709" t="s">
        <v>74</v>
      </c>
      <c r="D709" t="s">
        <v>74</v>
      </c>
      <c r="E709" t="s">
        <v>74</v>
      </c>
      <c r="F709" t="s">
        <v>12462</v>
      </c>
      <c r="G709" t="s">
        <v>74</v>
      </c>
      <c r="H709" t="s">
        <v>74</v>
      </c>
      <c r="I709" t="s">
        <v>12463</v>
      </c>
      <c r="J709" t="s">
        <v>12440</v>
      </c>
      <c r="K709" t="s">
        <v>74</v>
      </c>
      <c r="L709" t="s">
        <v>74</v>
      </c>
      <c r="M709" t="s">
        <v>78</v>
      </c>
      <c r="N709" t="s">
        <v>79</v>
      </c>
      <c r="O709" t="s">
        <v>74</v>
      </c>
      <c r="P709" t="s">
        <v>74</v>
      </c>
      <c r="Q709" t="s">
        <v>74</v>
      </c>
      <c r="R709" t="s">
        <v>74</v>
      </c>
      <c r="S709" t="s">
        <v>74</v>
      </c>
      <c r="T709" t="s">
        <v>12464</v>
      </c>
      <c r="U709" t="s">
        <v>12465</v>
      </c>
      <c r="V709" t="s">
        <v>12466</v>
      </c>
      <c r="W709" t="s">
        <v>12467</v>
      </c>
      <c r="X709" t="s">
        <v>12468</v>
      </c>
      <c r="Y709" t="s">
        <v>12469</v>
      </c>
      <c r="Z709" t="s">
        <v>12470</v>
      </c>
      <c r="AA709" t="s">
        <v>12471</v>
      </c>
      <c r="AB709" t="s">
        <v>12472</v>
      </c>
      <c r="AC709" t="s">
        <v>12473</v>
      </c>
      <c r="AD709" t="s">
        <v>12474</v>
      </c>
      <c r="AE709" t="s">
        <v>12475</v>
      </c>
      <c r="AF709" t="s">
        <v>74</v>
      </c>
      <c r="AG709">
        <v>26</v>
      </c>
      <c r="AH709">
        <v>6</v>
      </c>
      <c r="AI709">
        <v>6</v>
      </c>
      <c r="AJ709">
        <v>0</v>
      </c>
      <c r="AK709">
        <v>4</v>
      </c>
      <c r="AL709" t="s">
        <v>214</v>
      </c>
      <c r="AM709" t="s">
        <v>215</v>
      </c>
      <c r="AN709" t="s">
        <v>216</v>
      </c>
      <c r="AO709" t="s">
        <v>12453</v>
      </c>
      <c r="AP709" t="s">
        <v>12454</v>
      </c>
      <c r="AQ709" t="s">
        <v>74</v>
      </c>
      <c r="AR709" t="s">
        <v>12455</v>
      </c>
      <c r="AS709" t="s">
        <v>12456</v>
      </c>
      <c r="AT709" t="s">
        <v>3935</v>
      </c>
      <c r="AU709">
        <v>2011</v>
      </c>
      <c r="AV709">
        <v>137</v>
      </c>
      <c r="AW709">
        <v>654</v>
      </c>
      <c r="AX709" t="s">
        <v>12457</v>
      </c>
      <c r="AY709" t="s">
        <v>74</v>
      </c>
      <c r="AZ709" t="s">
        <v>74</v>
      </c>
      <c r="BA709" t="s">
        <v>74</v>
      </c>
      <c r="BB709">
        <v>58</v>
      </c>
      <c r="BC709">
        <v>69</v>
      </c>
      <c r="BD709" t="s">
        <v>74</v>
      </c>
      <c r="BE709" t="s">
        <v>12476</v>
      </c>
      <c r="BF709" t="str">
        <f>HYPERLINK("http://dx.doi.org/10.1002/qj.718","http://dx.doi.org/10.1002/qj.718")</f>
        <v>http://dx.doi.org/10.1002/qj.718</v>
      </c>
      <c r="BG709" t="s">
        <v>74</v>
      </c>
      <c r="BH709" t="s">
        <v>74</v>
      </c>
      <c r="BI709">
        <v>12</v>
      </c>
      <c r="BJ709" t="s">
        <v>603</v>
      </c>
      <c r="BK709" t="s">
        <v>100</v>
      </c>
      <c r="BL709" t="s">
        <v>603</v>
      </c>
      <c r="BM709" t="s">
        <v>12459</v>
      </c>
      <c r="BN709" t="s">
        <v>74</v>
      </c>
      <c r="BO709" t="s">
        <v>74</v>
      </c>
      <c r="BP709" t="s">
        <v>74</v>
      </c>
      <c r="BQ709" t="s">
        <v>74</v>
      </c>
      <c r="BR709" t="s">
        <v>103</v>
      </c>
      <c r="BS709" t="s">
        <v>12477</v>
      </c>
      <c r="BT709" t="str">
        <f>HYPERLINK("https%3A%2F%2Fwww.webofscience.com%2Fwos%2Fwoscc%2Ffull-record%2FWOS:000287592400004","View Full Record in Web of Science")</f>
        <v>View Full Record in Web of Science</v>
      </c>
    </row>
    <row r="710" spans="1:72" x14ac:dyDescent="0.15">
      <c r="A710" t="s">
        <v>72</v>
      </c>
      <c r="B710" t="s">
        <v>12478</v>
      </c>
      <c r="C710" t="s">
        <v>74</v>
      </c>
      <c r="D710" t="s">
        <v>74</v>
      </c>
      <c r="E710" t="s">
        <v>74</v>
      </c>
      <c r="F710" t="s">
        <v>12479</v>
      </c>
      <c r="G710" t="s">
        <v>74</v>
      </c>
      <c r="H710" t="s">
        <v>74</v>
      </c>
      <c r="I710" t="s">
        <v>12480</v>
      </c>
      <c r="J710" t="s">
        <v>12440</v>
      </c>
      <c r="K710" t="s">
        <v>74</v>
      </c>
      <c r="L710" t="s">
        <v>74</v>
      </c>
      <c r="M710" t="s">
        <v>78</v>
      </c>
      <c r="N710" t="s">
        <v>79</v>
      </c>
      <c r="O710" t="s">
        <v>74</v>
      </c>
      <c r="P710" t="s">
        <v>74</v>
      </c>
      <c r="Q710" t="s">
        <v>74</v>
      </c>
      <c r="R710" t="s">
        <v>74</v>
      </c>
      <c r="S710" t="s">
        <v>74</v>
      </c>
      <c r="T710" t="s">
        <v>12481</v>
      </c>
      <c r="U710" t="s">
        <v>12482</v>
      </c>
      <c r="V710" t="s">
        <v>12483</v>
      </c>
      <c r="W710" t="s">
        <v>12484</v>
      </c>
      <c r="X710" t="s">
        <v>12485</v>
      </c>
      <c r="Y710" t="s">
        <v>1925</v>
      </c>
      <c r="Z710" t="s">
        <v>1926</v>
      </c>
      <c r="AA710" t="s">
        <v>12486</v>
      </c>
      <c r="AB710" t="s">
        <v>12487</v>
      </c>
      <c r="AC710" t="s">
        <v>12488</v>
      </c>
      <c r="AD710" t="s">
        <v>12489</v>
      </c>
      <c r="AE710" t="s">
        <v>12490</v>
      </c>
      <c r="AF710" t="s">
        <v>74</v>
      </c>
      <c r="AG710">
        <v>62</v>
      </c>
      <c r="AH710">
        <v>86</v>
      </c>
      <c r="AI710">
        <v>99</v>
      </c>
      <c r="AJ710">
        <v>1</v>
      </c>
      <c r="AK710">
        <v>50</v>
      </c>
      <c r="AL710" t="s">
        <v>366</v>
      </c>
      <c r="AM710" t="s">
        <v>367</v>
      </c>
      <c r="AN710" t="s">
        <v>368</v>
      </c>
      <c r="AO710" t="s">
        <v>12453</v>
      </c>
      <c r="AP710" t="s">
        <v>74</v>
      </c>
      <c r="AQ710" t="s">
        <v>74</v>
      </c>
      <c r="AR710" t="s">
        <v>12455</v>
      </c>
      <c r="AS710" t="s">
        <v>12456</v>
      </c>
      <c r="AT710" t="s">
        <v>3935</v>
      </c>
      <c r="AU710">
        <v>2011</v>
      </c>
      <c r="AV710">
        <v>137</v>
      </c>
      <c r="AW710">
        <v>655</v>
      </c>
      <c r="AX710" t="s">
        <v>2363</v>
      </c>
      <c r="AY710" t="s">
        <v>74</v>
      </c>
      <c r="AZ710" t="s">
        <v>74</v>
      </c>
      <c r="BA710" t="s">
        <v>74</v>
      </c>
      <c r="BB710">
        <v>329</v>
      </c>
      <c r="BC710">
        <v>346</v>
      </c>
      <c r="BD710" t="s">
        <v>74</v>
      </c>
      <c r="BE710" t="s">
        <v>12491</v>
      </c>
      <c r="BF710" t="str">
        <f>HYPERLINK("http://dx.doi.org/10.1002/qj.768","http://dx.doi.org/10.1002/qj.768")</f>
        <v>http://dx.doi.org/10.1002/qj.768</v>
      </c>
      <c r="BG710" t="s">
        <v>74</v>
      </c>
      <c r="BH710" t="s">
        <v>74</v>
      </c>
      <c r="BI710">
        <v>18</v>
      </c>
      <c r="BJ710" t="s">
        <v>603</v>
      </c>
      <c r="BK710" t="s">
        <v>100</v>
      </c>
      <c r="BL710" t="s">
        <v>603</v>
      </c>
      <c r="BM710" t="s">
        <v>12492</v>
      </c>
      <c r="BN710" t="s">
        <v>74</v>
      </c>
      <c r="BO710" t="s">
        <v>74</v>
      </c>
      <c r="BP710" t="s">
        <v>74</v>
      </c>
      <c r="BQ710" t="s">
        <v>74</v>
      </c>
      <c r="BR710" t="s">
        <v>103</v>
      </c>
      <c r="BS710" t="s">
        <v>12493</v>
      </c>
      <c r="BT710" t="str">
        <f>HYPERLINK("https%3A%2F%2Fwww.webofscience.com%2Fwos%2Fwoscc%2Ffull-record%2FWOS:000288134800005","View Full Record in Web of Science")</f>
        <v>View Full Record in Web of Science</v>
      </c>
    </row>
    <row r="711" spans="1:72" x14ac:dyDescent="0.15">
      <c r="A711" t="s">
        <v>2017</v>
      </c>
      <c r="B711" t="s">
        <v>12494</v>
      </c>
      <c r="C711" t="s">
        <v>74</v>
      </c>
      <c r="D711" t="s">
        <v>12495</v>
      </c>
      <c r="E711" t="s">
        <v>74</v>
      </c>
      <c r="F711" t="s">
        <v>12496</v>
      </c>
      <c r="G711" t="s">
        <v>74</v>
      </c>
      <c r="H711" t="s">
        <v>74</v>
      </c>
      <c r="I711" t="s">
        <v>12497</v>
      </c>
      <c r="J711" t="s">
        <v>12498</v>
      </c>
      <c r="K711" t="s">
        <v>12499</v>
      </c>
      <c r="L711" t="s">
        <v>74</v>
      </c>
      <c r="M711" t="s">
        <v>78</v>
      </c>
      <c r="N711" t="s">
        <v>2370</v>
      </c>
      <c r="O711" t="s">
        <v>74</v>
      </c>
      <c r="P711" t="s">
        <v>74</v>
      </c>
      <c r="Q711" t="s">
        <v>74</v>
      </c>
      <c r="R711" t="s">
        <v>74</v>
      </c>
      <c r="S711" t="s">
        <v>74</v>
      </c>
      <c r="T711" t="s">
        <v>74</v>
      </c>
      <c r="U711" t="s">
        <v>12500</v>
      </c>
      <c r="V711" t="s">
        <v>74</v>
      </c>
      <c r="W711" t="s">
        <v>12501</v>
      </c>
      <c r="X711" t="s">
        <v>12502</v>
      </c>
      <c r="Y711" t="s">
        <v>7706</v>
      </c>
      <c r="Z711" t="s">
        <v>7707</v>
      </c>
      <c r="AA711" t="s">
        <v>12503</v>
      </c>
      <c r="AB711" t="s">
        <v>12504</v>
      </c>
      <c r="AC711" t="s">
        <v>74</v>
      </c>
      <c r="AD711" t="s">
        <v>74</v>
      </c>
      <c r="AE711" t="s">
        <v>74</v>
      </c>
      <c r="AF711" t="s">
        <v>74</v>
      </c>
      <c r="AG711">
        <v>99</v>
      </c>
      <c r="AH711">
        <v>70</v>
      </c>
      <c r="AI711">
        <v>75</v>
      </c>
      <c r="AJ711">
        <v>0</v>
      </c>
      <c r="AK711">
        <v>6</v>
      </c>
      <c r="AL711" t="s">
        <v>639</v>
      </c>
      <c r="AM711" t="s">
        <v>640</v>
      </c>
      <c r="AN711" t="s">
        <v>3533</v>
      </c>
      <c r="AO711" t="s">
        <v>12505</v>
      </c>
      <c r="AP711" t="s">
        <v>74</v>
      </c>
      <c r="AQ711" t="s">
        <v>12506</v>
      </c>
      <c r="AR711" t="s">
        <v>12507</v>
      </c>
      <c r="AS711" t="s">
        <v>74</v>
      </c>
      <c r="AT711" t="s">
        <v>74</v>
      </c>
      <c r="AU711">
        <v>2011</v>
      </c>
      <c r="AV711">
        <v>15</v>
      </c>
      <c r="AW711" t="s">
        <v>74</v>
      </c>
      <c r="AX711" t="s">
        <v>74</v>
      </c>
      <c r="AY711" t="s">
        <v>74</v>
      </c>
      <c r="AZ711" t="s">
        <v>74</v>
      </c>
      <c r="BA711" t="s">
        <v>74</v>
      </c>
      <c r="BB711">
        <v>261</v>
      </c>
      <c r="BC711">
        <v>278</v>
      </c>
      <c r="BD711" t="s">
        <v>74</v>
      </c>
      <c r="BE711" t="s">
        <v>12508</v>
      </c>
      <c r="BF711" t="str">
        <f>HYPERLINK("http://dx.doi.org/10.1016/B978-0-444-53447-7.00021-0","http://dx.doi.org/10.1016/B978-0-444-53447-7.00021-0")</f>
        <v>http://dx.doi.org/10.1016/B978-0-444-53447-7.00021-0</v>
      </c>
      <c r="BG711" t="s">
        <v>74</v>
      </c>
      <c r="BH711" t="s">
        <v>74</v>
      </c>
      <c r="BI711">
        <v>18</v>
      </c>
      <c r="BJ711" t="s">
        <v>397</v>
      </c>
      <c r="BK711" t="s">
        <v>2384</v>
      </c>
      <c r="BL711" t="s">
        <v>397</v>
      </c>
      <c r="BM711" t="s">
        <v>12509</v>
      </c>
      <c r="BN711" t="s">
        <v>74</v>
      </c>
      <c r="BO711" t="s">
        <v>172</v>
      </c>
      <c r="BP711" t="s">
        <v>74</v>
      </c>
      <c r="BQ711" t="s">
        <v>74</v>
      </c>
      <c r="BR711" t="s">
        <v>103</v>
      </c>
      <c r="BS711" t="s">
        <v>12510</v>
      </c>
      <c r="BT711" t="str">
        <f>HYPERLINK("https%3A%2F%2Fwww.webofscience.com%2Fwos%2Fwoscc%2Ffull-record%2FWOS:000310976900022","View Full Record in Web of Science")</f>
        <v>View Full Record in Web of Science</v>
      </c>
    </row>
    <row r="712" spans="1:72" x14ac:dyDescent="0.15">
      <c r="A712" t="s">
        <v>2017</v>
      </c>
      <c r="B712" t="s">
        <v>12511</v>
      </c>
      <c r="C712" t="s">
        <v>74</v>
      </c>
      <c r="D712" t="s">
        <v>12495</v>
      </c>
      <c r="E712" t="s">
        <v>74</v>
      </c>
      <c r="F712" t="s">
        <v>12512</v>
      </c>
      <c r="G712" t="s">
        <v>74</v>
      </c>
      <c r="H712" t="s">
        <v>74</v>
      </c>
      <c r="I712" t="s">
        <v>12513</v>
      </c>
      <c r="J712" t="s">
        <v>12498</v>
      </c>
      <c r="K712" t="s">
        <v>12499</v>
      </c>
      <c r="L712" t="s">
        <v>74</v>
      </c>
      <c r="M712" t="s">
        <v>78</v>
      </c>
      <c r="N712" t="s">
        <v>2370</v>
      </c>
      <c r="O712" t="s">
        <v>74</v>
      </c>
      <c r="P712" t="s">
        <v>74</v>
      </c>
      <c r="Q712" t="s">
        <v>74</v>
      </c>
      <c r="R712" t="s">
        <v>74</v>
      </c>
      <c r="S712" t="s">
        <v>74</v>
      </c>
      <c r="T712" t="s">
        <v>74</v>
      </c>
      <c r="U712" t="s">
        <v>12514</v>
      </c>
      <c r="V712" t="s">
        <v>74</v>
      </c>
      <c r="W712" t="s">
        <v>12515</v>
      </c>
      <c r="X712" t="s">
        <v>12516</v>
      </c>
      <c r="Y712" t="s">
        <v>12517</v>
      </c>
      <c r="Z712" t="s">
        <v>12518</v>
      </c>
      <c r="AA712" t="s">
        <v>74</v>
      </c>
      <c r="AB712" t="s">
        <v>12519</v>
      </c>
      <c r="AC712" t="s">
        <v>74</v>
      </c>
      <c r="AD712" t="s">
        <v>74</v>
      </c>
      <c r="AE712" t="s">
        <v>74</v>
      </c>
      <c r="AF712" t="s">
        <v>74</v>
      </c>
      <c r="AG712">
        <v>130</v>
      </c>
      <c r="AH712">
        <v>19</v>
      </c>
      <c r="AI712">
        <v>19</v>
      </c>
      <c r="AJ712">
        <v>0</v>
      </c>
      <c r="AK712">
        <v>6</v>
      </c>
      <c r="AL712" t="s">
        <v>639</v>
      </c>
      <c r="AM712" t="s">
        <v>640</v>
      </c>
      <c r="AN712" t="s">
        <v>3533</v>
      </c>
      <c r="AO712" t="s">
        <v>12505</v>
      </c>
      <c r="AP712" t="s">
        <v>74</v>
      </c>
      <c r="AQ712" t="s">
        <v>12506</v>
      </c>
      <c r="AR712" t="s">
        <v>12507</v>
      </c>
      <c r="AS712" t="s">
        <v>74</v>
      </c>
      <c r="AT712" t="s">
        <v>74</v>
      </c>
      <c r="AU712">
        <v>2011</v>
      </c>
      <c r="AV712">
        <v>15</v>
      </c>
      <c r="AW712" t="s">
        <v>74</v>
      </c>
      <c r="AX712" t="s">
        <v>74</v>
      </c>
      <c r="AY712" t="s">
        <v>74</v>
      </c>
      <c r="AZ712" t="s">
        <v>74</v>
      </c>
      <c r="BA712" t="s">
        <v>74</v>
      </c>
      <c r="BB712">
        <v>739</v>
      </c>
      <c r="BC712">
        <v>756</v>
      </c>
      <c r="BD712" t="s">
        <v>74</v>
      </c>
      <c r="BE712" t="s">
        <v>12520</v>
      </c>
      <c r="BF712" t="str">
        <f>HYPERLINK("http://dx.doi.org/10.1016/B978-0-444-53447-7.00054-4","http://dx.doi.org/10.1016/B978-0-444-53447-7.00054-4")</f>
        <v>http://dx.doi.org/10.1016/B978-0-444-53447-7.00054-4</v>
      </c>
      <c r="BG712" t="s">
        <v>74</v>
      </c>
      <c r="BH712" t="s">
        <v>74</v>
      </c>
      <c r="BI712">
        <v>18</v>
      </c>
      <c r="BJ712" t="s">
        <v>397</v>
      </c>
      <c r="BK712" t="s">
        <v>2384</v>
      </c>
      <c r="BL712" t="s">
        <v>397</v>
      </c>
      <c r="BM712" t="s">
        <v>12509</v>
      </c>
      <c r="BN712" t="s">
        <v>74</v>
      </c>
      <c r="BO712" t="s">
        <v>74</v>
      </c>
      <c r="BP712" t="s">
        <v>74</v>
      </c>
      <c r="BQ712" t="s">
        <v>74</v>
      </c>
      <c r="BR712" t="s">
        <v>103</v>
      </c>
      <c r="BS712" t="s">
        <v>12521</v>
      </c>
      <c r="BT712" t="str">
        <f>HYPERLINK("https%3A%2F%2Fwww.webofscience.com%2Fwos%2Fwoscc%2Ffull-record%2FWOS:000310976900055","View Full Record in Web of Science")</f>
        <v>View Full Record in Web of Science</v>
      </c>
    </row>
    <row r="713" spans="1:72" x14ac:dyDescent="0.15">
      <c r="A713" t="s">
        <v>2017</v>
      </c>
      <c r="B713" t="s">
        <v>12522</v>
      </c>
      <c r="C713" t="s">
        <v>74</v>
      </c>
      <c r="D713" t="s">
        <v>12495</v>
      </c>
      <c r="E713" t="s">
        <v>74</v>
      </c>
      <c r="F713" t="s">
        <v>12523</v>
      </c>
      <c r="G713" t="s">
        <v>74</v>
      </c>
      <c r="H713" t="s">
        <v>74</v>
      </c>
      <c r="I713" t="s">
        <v>12524</v>
      </c>
      <c r="J713" t="s">
        <v>12498</v>
      </c>
      <c r="K713" t="s">
        <v>12499</v>
      </c>
      <c r="L713" t="s">
        <v>74</v>
      </c>
      <c r="M713" t="s">
        <v>78</v>
      </c>
      <c r="N713" t="s">
        <v>2370</v>
      </c>
      <c r="O713" t="s">
        <v>74</v>
      </c>
      <c r="P713" t="s">
        <v>74</v>
      </c>
      <c r="Q713" t="s">
        <v>74</v>
      </c>
      <c r="R713" t="s">
        <v>74</v>
      </c>
      <c r="S713" t="s">
        <v>74</v>
      </c>
      <c r="T713" t="s">
        <v>74</v>
      </c>
      <c r="U713" t="s">
        <v>12525</v>
      </c>
      <c r="V713" t="s">
        <v>74</v>
      </c>
      <c r="W713" t="s">
        <v>12526</v>
      </c>
      <c r="X713" t="s">
        <v>12527</v>
      </c>
      <c r="Y713" t="s">
        <v>12528</v>
      </c>
      <c r="Z713" t="s">
        <v>5097</v>
      </c>
      <c r="AA713" t="s">
        <v>12529</v>
      </c>
      <c r="AB713" t="s">
        <v>12530</v>
      </c>
      <c r="AC713" t="s">
        <v>74</v>
      </c>
      <c r="AD713" t="s">
        <v>74</v>
      </c>
      <c r="AE713" t="s">
        <v>74</v>
      </c>
      <c r="AF713" t="s">
        <v>74</v>
      </c>
      <c r="AG713">
        <v>37</v>
      </c>
      <c r="AH713">
        <v>5</v>
      </c>
      <c r="AI713">
        <v>7</v>
      </c>
      <c r="AJ713">
        <v>0</v>
      </c>
      <c r="AK713">
        <v>3</v>
      </c>
      <c r="AL713" t="s">
        <v>639</v>
      </c>
      <c r="AM713" t="s">
        <v>640</v>
      </c>
      <c r="AN713" t="s">
        <v>3533</v>
      </c>
      <c r="AO713" t="s">
        <v>12505</v>
      </c>
      <c r="AP713" t="s">
        <v>74</v>
      </c>
      <c r="AQ713" t="s">
        <v>12506</v>
      </c>
      <c r="AR713" t="s">
        <v>12507</v>
      </c>
      <c r="AS713" t="s">
        <v>74</v>
      </c>
      <c r="AT713" t="s">
        <v>74</v>
      </c>
      <c r="AU713">
        <v>2011</v>
      </c>
      <c r="AV713">
        <v>15</v>
      </c>
      <c r="AW713" t="s">
        <v>74</v>
      </c>
      <c r="AX713" t="s">
        <v>74</v>
      </c>
      <c r="AY713" t="s">
        <v>74</v>
      </c>
      <c r="AZ713" t="s">
        <v>74</v>
      </c>
      <c r="BA713" t="s">
        <v>74</v>
      </c>
      <c r="BB713">
        <v>1081</v>
      </c>
      <c r="BC713">
        <v>1085</v>
      </c>
      <c r="BD713" t="s">
        <v>74</v>
      </c>
      <c r="BE713" t="s">
        <v>12531</v>
      </c>
      <c r="BF713" t="str">
        <f>HYPERLINK("http://dx.doi.org/10.1016/B978-0-444-53447-7.00078-7","http://dx.doi.org/10.1016/B978-0-444-53447-7.00078-7")</f>
        <v>http://dx.doi.org/10.1016/B978-0-444-53447-7.00078-7</v>
      </c>
      <c r="BG713" t="s">
        <v>74</v>
      </c>
      <c r="BH713" t="s">
        <v>74</v>
      </c>
      <c r="BI713">
        <v>5</v>
      </c>
      <c r="BJ713" t="s">
        <v>397</v>
      </c>
      <c r="BK713" t="s">
        <v>2384</v>
      </c>
      <c r="BL713" t="s">
        <v>397</v>
      </c>
      <c r="BM713" t="s">
        <v>12509</v>
      </c>
      <c r="BN713" t="s">
        <v>74</v>
      </c>
      <c r="BO713" t="s">
        <v>74</v>
      </c>
      <c r="BP713" t="s">
        <v>74</v>
      </c>
      <c r="BQ713" t="s">
        <v>74</v>
      </c>
      <c r="BR713" t="s">
        <v>103</v>
      </c>
      <c r="BS713" t="s">
        <v>12532</v>
      </c>
      <c r="BT713" t="str">
        <f>HYPERLINK("https%3A%2F%2Fwww.webofscience.com%2Fwos%2Fwoscc%2Ffull-record%2FWOS:000310976900079","View Full Record in Web of Science")</f>
        <v>View Full Record in Web of Science</v>
      </c>
    </row>
    <row r="714" spans="1:72" x14ac:dyDescent="0.15">
      <c r="A714" t="s">
        <v>72</v>
      </c>
      <c r="B714" t="s">
        <v>12533</v>
      </c>
      <c r="C714" t="s">
        <v>74</v>
      </c>
      <c r="D714" t="s">
        <v>74</v>
      </c>
      <c r="E714" t="s">
        <v>74</v>
      </c>
      <c r="F714" t="s">
        <v>12534</v>
      </c>
      <c r="G714" t="s">
        <v>74</v>
      </c>
      <c r="H714" t="s">
        <v>74</v>
      </c>
      <c r="I714" t="s">
        <v>12535</v>
      </c>
      <c r="J714" t="s">
        <v>12536</v>
      </c>
      <c r="K714" t="s">
        <v>74</v>
      </c>
      <c r="L714" t="s">
        <v>74</v>
      </c>
      <c r="M714" t="s">
        <v>78</v>
      </c>
      <c r="N714" t="s">
        <v>681</v>
      </c>
      <c r="O714" t="s">
        <v>74</v>
      </c>
      <c r="P714" t="s">
        <v>74</v>
      </c>
      <c r="Q714" t="s">
        <v>74</v>
      </c>
      <c r="R714" t="s">
        <v>74</v>
      </c>
      <c r="S714" t="s">
        <v>74</v>
      </c>
      <c r="T714" t="s">
        <v>74</v>
      </c>
      <c r="U714" t="s">
        <v>12537</v>
      </c>
      <c r="V714" t="s">
        <v>12538</v>
      </c>
      <c r="W714" t="s">
        <v>12539</v>
      </c>
      <c r="X714" t="s">
        <v>12540</v>
      </c>
      <c r="Y714" t="s">
        <v>12541</v>
      </c>
      <c r="Z714" t="s">
        <v>12542</v>
      </c>
      <c r="AA714" t="s">
        <v>74</v>
      </c>
      <c r="AB714" t="s">
        <v>74</v>
      </c>
      <c r="AC714" t="s">
        <v>74</v>
      </c>
      <c r="AD714" t="s">
        <v>74</v>
      </c>
      <c r="AE714" t="s">
        <v>74</v>
      </c>
      <c r="AF714" t="s">
        <v>74</v>
      </c>
      <c r="AG714">
        <v>134</v>
      </c>
      <c r="AH714">
        <v>289</v>
      </c>
      <c r="AI714">
        <v>350</v>
      </c>
      <c r="AJ714">
        <v>1</v>
      </c>
      <c r="AK714">
        <v>63</v>
      </c>
      <c r="AL714" t="s">
        <v>718</v>
      </c>
      <c r="AM714" t="s">
        <v>719</v>
      </c>
      <c r="AN714" t="s">
        <v>720</v>
      </c>
      <c r="AO714" t="s">
        <v>12543</v>
      </c>
      <c r="AP714" t="s">
        <v>74</v>
      </c>
      <c r="AQ714" t="s">
        <v>74</v>
      </c>
      <c r="AR714" t="s">
        <v>12544</v>
      </c>
      <c r="AS714" t="s">
        <v>12545</v>
      </c>
      <c r="AT714" t="s">
        <v>3935</v>
      </c>
      <c r="AU714">
        <v>2011</v>
      </c>
      <c r="AV714">
        <v>30</v>
      </c>
      <c r="AW714" t="s">
        <v>2089</v>
      </c>
      <c r="AX714" t="s">
        <v>74</v>
      </c>
      <c r="AY714" t="s">
        <v>74</v>
      </c>
      <c r="AZ714" t="s">
        <v>74</v>
      </c>
      <c r="BA714" t="s">
        <v>74</v>
      </c>
      <c r="BB714">
        <v>3</v>
      </c>
      <c r="BC714">
        <v>27</v>
      </c>
      <c r="BD714" t="s">
        <v>74</v>
      </c>
      <c r="BE714" t="s">
        <v>12546</v>
      </c>
      <c r="BF714" t="str">
        <f>HYPERLINK("http://dx.doi.org/10.1016/j.quascirev.2010.11.003","http://dx.doi.org/10.1016/j.quascirev.2010.11.003")</f>
        <v>http://dx.doi.org/10.1016/j.quascirev.2010.11.003</v>
      </c>
      <c r="BG714" t="s">
        <v>74</v>
      </c>
      <c r="BH714" t="s">
        <v>74</v>
      </c>
      <c r="BI714">
        <v>25</v>
      </c>
      <c r="BJ714" t="s">
        <v>222</v>
      </c>
      <c r="BK714" t="s">
        <v>100</v>
      </c>
      <c r="BL714" t="s">
        <v>223</v>
      </c>
      <c r="BM714" t="s">
        <v>12547</v>
      </c>
      <c r="BN714" t="s">
        <v>74</v>
      </c>
      <c r="BO714" t="s">
        <v>74</v>
      </c>
      <c r="BP714" t="s">
        <v>74</v>
      </c>
      <c r="BQ714" t="s">
        <v>74</v>
      </c>
      <c r="BR714" t="s">
        <v>103</v>
      </c>
      <c r="BS714" t="s">
        <v>12548</v>
      </c>
      <c r="BT714" t="str">
        <f>HYPERLINK("https%3A%2F%2Fwww.webofscience.com%2Fwos%2Fwoscc%2Ffull-record%2FWOS:000287067200002","View Full Record in Web of Science")</f>
        <v>View Full Record in Web of Science</v>
      </c>
    </row>
    <row r="715" spans="1:72" x14ac:dyDescent="0.15">
      <c r="A715" t="s">
        <v>72</v>
      </c>
      <c r="B715" t="s">
        <v>12549</v>
      </c>
      <c r="C715" t="s">
        <v>74</v>
      </c>
      <c r="D715" t="s">
        <v>74</v>
      </c>
      <c r="E715" t="s">
        <v>74</v>
      </c>
      <c r="F715" t="s">
        <v>12550</v>
      </c>
      <c r="G715" t="s">
        <v>74</v>
      </c>
      <c r="H715" t="s">
        <v>74</v>
      </c>
      <c r="I715" t="s">
        <v>12551</v>
      </c>
      <c r="J715" t="s">
        <v>12536</v>
      </c>
      <c r="K715" t="s">
        <v>74</v>
      </c>
      <c r="L715" t="s">
        <v>74</v>
      </c>
      <c r="M715" t="s">
        <v>78</v>
      </c>
      <c r="N715" t="s">
        <v>79</v>
      </c>
      <c r="O715" t="s">
        <v>74</v>
      </c>
      <c r="P715" t="s">
        <v>74</v>
      </c>
      <c r="Q715" t="s">
        <v>74</v>
      </c>
      <c r="R715" t="s">
        <v>74</v>
      </c>
      <c r="S715" t="s">
        <v>74</v>
      </c>
      <c r="T715" t="s">
        <v>74</v>
      </c>
      <c r="U715" t="s">
        <v>12552</v>
      </c>
      <c r="V715" t="s">
        <v>12553</v>
      </c>
      <c r="W715" t="s">
        <v>12554</v>
      </c>
      <c r="X715" t="s">
        <v>12555</v>
      </c>
      <c r="Y715" t="s">
        <v>12556</v>
      </c>
      <c r="Z715" t="s">
        <v>12557</v>
      </c>
      <c r="AA715" t="s">
        <v>12558</v>
      </c>
      <c r="AB715" t="s">
        <v>12559</v>
      </c>
      <c r="AC715" t="s">
        <v>12560</v>
      </c>
      <c r="AD715" t="s">
        <v>12561</v>
      </c>
      <c r="AE715" t="s">
        <v>12562</v>
      </c>
      <c r="AF715" t="s">
        <v>74</v>
      </c>
      <c r="AG715">
        <v>101</v>
      </c>
      <c r="AH715">
        <v>213</v>
      </c>
      <c r="AI715">
        <v>223</v>
      </c>
      <c r="AJ715">
        <v>2</v>
      </c>
      <c r="AK715">
        <v>95</v>
      </c>
      <c r="AL715" t="s">
        <v>718</v>
      </c>
      <c r="AM715" t="s">
        <v>719</v>
      </c>
      <c r="AN715" t="s">
        <v>720</v>
      </c>
      <c r="AO715" t="s">
        <v>12543</v>
      </c>
      <c r="AP715" t="s">
        <v>74</v>
      </c>
      <c r="AQ715" t="s">
        <v>74</v>
      </c>
      <c r="AR715" t="s">
        <v>12544</v>
      </c>
      <c r="AS715" t="s">
        <v>12545</v>
      </c>
      <c r="AT715" t="s">
        <v>3935</v>
      </c>
      <c r="AU715">
        <v>2011</v>
      </c>
      <c r="AV715">
        <v>30</v>
      </c>
      <c r="AW715" t="s">
        <v>2089</v>
      </c>
      <c r="AX715" t="s">
        <v>74</v>
      </c>
      <c r="AY715" t="s">
        <v>74</v>
      </c>
      <c r="AZ715" t="s">
        <v>74</v>
      </c>
      <c r="BA715" t="s">
        <v>74</v>
      </c>
      <c r="BB715">
        <v>28</v>
      </c>
      <c r="BC715">
        <v>46</v>
      </c>
      <c r="BD715" t="s">
        <v>74</v>
      </c>
      <c r="BE715" t="s">
        <v>12563</v>
      </c>
      <c r="BF715" t="str">
        <f>HYPERLINK("http://dx.doi.org/10.1016/j.quascirev.2010.10.010","http://dx.doi.org/10.1016/j.quascirev.2010.10.010")</f>
        <v>http://dx.doi.org/10.1016/j.quascirev.2010.10.010</v>
      </c>
      <c r="BG715" t="s">
        <v>74</v>
      </c>
      <c r="BH715" t="s">
        <v>74</v>
      </c>
      <c r="BI715">
        <v>19</v>
      </c>
      <c r="BJ715" t="s">
        <v>222</v>
      </c>
      <c r="BK715" t="s">
        <v>3082</v>
      </c>
      <c r="BL715" t="s">
        <v>223</v>
      </c>
      <c r="BM715" t="s">
        <v>12547</v>
      </c>
      <c r="BN715" t="s">
        <v>74</v>
      </c>
      <c r="BO715" t="s">
        <v>1051</v>
      </c>
      <c r="BP715" t="s">
        <v>74</v>
      </c>
      <c r="BQ715" t="s">
        <v>74</v>
      </c>
      <c r="BR715" t="s">
        <v>103</v>
      </c>
      <c r="BS715" t="s">
        <v>12564</v>
      </c>
      <c r="BT715" t="str">
        <f>HYPERLINK("https%3A%2F%2Fwww.webofscience.com%2Fwos%2Fwoscc%2Ffull-record%2FWOS:000287067200003","View Full Record in Web of Science")</f>
        <v>View Full Record in Web of Science</v>
      </c>
    </row>
    <row r="716" spans="1:72" x14ac:dyDescent="0.15">
      <c r="A716" t="s">
        <v>72</v>
      </c>
      <c r="B716" t="s">
        <v>12565</v>
      </c>
      <c r="C716" t="s">
        <v>74</v>
      </c>
      <c r="D716" t="s">
        <v>74</v>
      </c>
      <c r="E716" t="s">
        <v>74</v>
      </c>
      <c r="F716" t="s">
        <v>12566</v>
      </c>
      <c r="G716" t="s">
        <v>74</v>
      </c>
      <c r="H716" t="s">
        <v>74</v>
      </c>
      <c r="I716" t="s">
        <v>12567</v>
      </c>
      <c r="J716" t="s">
        <v>12536</v>
      </c>
      <c r="K716" t="s">
        <v>74</v>
      </c>
      <c r="L716" t="s">
        <v>74</v>
      </c>
      <c r="M716" t="s">
        <v>78</v>
      </c>
      <c r="N716" t="s">
        <v>79</v>
      </c>
      <c r="O716" t="s">
        <v>74</v>
      </c>
      <c r="P716" t="s">
        <v>74</v>
      </c>
      <c r="Q716" t="s">
        <v>74</v>
      </c>
      <c r="R716" t="s">
        <v>74</v>
      </c>
      <c r="S716" t="s">
        <v>74</v>
      </c>
      <c r="T716" t="s">
        <v>74</v>
      </c>
      <c r="U716" t="s">
        <v>12568</v>
      </c>
      <c r="V716" t="s">
        <v>12569</v>
      </c>
      <c r="W716" t="s">
        <v>12570</v>
      </c>
      <c r="X716" t="s">
        <v>12571</v>
      </c>
      <c r="Y716" t="s">
        <v>12572</v>
      </c>
      <c r="Z716" t="s">
        <v>12573</v>
      </c>
      <c r="AA716" t="s">
        <v>12574</v>
      </c>
      <c r="AB716" t="s">
        <v>12575</v>
      </c>
      <c r="AC716" t="s">
        <v>12576</v>
      </c>
      <c r="AD716" t="s">
        <v>12577</v>
      </c>
      <c r="AE716" t="s">
        <v>12578</v>
      </c>
      <c r="AF716" t="s">
        <v>74</v>
      </c>
      <c r="AG716">
        <v>69</v>
      </c>
      <c r="AH716">
        <v>17</v>
      </c>
      <c r="AI716">
        <v>17</v>
      </c>
      <c r="AJ716">
        <v>1</v>
      </c>
      <c r="AK716">
        <v>26</v>
      </c>
      <c r="AL716" t="s">
        <v>718</v>
      </c>
      <c r="AM716" t="s">
        <v>719</v>
      </c>
      <c r="AN716" t="s">
        <v>720</v>
      </c>
      <c r="AO716" t="s">
        <v>12543</v>
      </c>
      <c r="AP716" t="s">
        <v>74</v>
      </c>
      <c r="AQ716" t="s">
        <v>74</v>
      </c>
      <c r="AR716" t="s">
        <v>12544</v>
      </c>
      <c r="AS716" t="s">
        <v>12545</v>
      </c>
      <c r="AT716" t="s">
        <v>3935</v>
      </c>
      <c r="AU716">
        <v>2011</v>
      </c>
      <c r="AV716">
        <v>30</v>
      </c>
      <c r="AW716" t="s">
        <v>2089</v>
      </c>
      <c r="AX716" t="s">
        <v>74</v>
      </c>
      <c r="AY716" t="s">
        <v>74</v>
      </c>
      <c r="AZ716" t="s">
        <v>74</v>
      </c>
      <c r="BA716" t="s">
        <v>74</v>
      </c>
      <c r="BB716">
        <v>192</v>
      </c>
      <c r="BC716">
        <v>209</v>
      </c>
      <c r="BD716" t="s">
        <v>74</v>
      </c>
      <c r="BE716" t="s">
        <v>12579</v>
      </c>
      <c r="BF716" t="str">
        <f>HYPERLINK("http://dx.doi.org/10.1016/j.quascirev.2010.10.011","http://dx.doi.org/10.1016/j.quascirev.2010.10.011")</f>
        <v>http://dx.doi.org/10.1016/j.quascirev.2010.10.011</v>
      </c>
      <c r="BG716" t="s">
        <v>74</v>
      </c>
      <c r="BH716" t="s">
        <v>74</v>
      </c>
      <c r="BI716">
        <v>18</v>
      </c>
      <c r="BJ716" t="s">
        <v>222</v>
      </c>
      <c r="BK716" t="s">
        <v>100</v>
      </c>
      <c r="BL716" t="s">
        <v>223</v>
      </c>
      <c r="BM716" t="s">
        <v>12547</v>
      </c>
      <c r="BN716" t="s">
        <v>74</v>
      </c>
      <c r="BO716" t="s">
        <v>74</v>
      </c>
      <c r="BP716" t="s">
        <v>74</v>
      </c>
      <c r="BQ716" t="s">
        <v>74</v>
      </c>
      <c r="BR716" t="s">
        <v>103</v>
      </c>
      <c r="BS716" t="s">
        <v>12580</v>
      </c>
      <c r="BT716" t="str">
        <f>HYPERLINK("https%3A%2F%2Fwww.webofscience.com%2Fwos%2Fwoscc%2Ffull-record%2FWOS:000287067200013","View Full Record in Web of Science")</f>
        <v>View Full Record in Web of Science</v>
      </c>
    </row>
    <row r="717" spans="1:72" x14ac:dyDescent="0.15">
      <c r="A717" t="s">
        <v>72</v>
      </c>
      <c r="B717" t="s">
        <v>12581</v>
      </c>
      <c r="C717" t="s">
        <v>74</v>
      </c>
      <c r="D717" t="s">
        <v>74</v>
      </c>
      <c r="E717" t="s">
        <v>74</v>
      </c>
      <c r="F717" t="s">
        <v>12582</v>
      </c>
      <c r="G717" t="s">
        <v>74</v>
      </c>
      <c r="H717" t="s">
        <v>74</v>
      </c>
      <c r="I717" t="s">
        <v>12583</v>
      </c>
      <c r="J717" t="s">
        <v>12536</v>
      </c>
      <c r="K717" t="s">
        <v>74</v>
      </c>
      <c r="L717" t="s">
        <v>74</v>
      </c>
      <c r="M717" t="s">
        <v>78</v>
      </c>
      <c r="N717" t="s">
        <v>79</v>
      </c>
      <c r="O717" t="s">
        <v>74</v>
      </c>
      <c r="P717" t="s">
        <v>74</v>
      </c>
      <c r="Q717" t="s">
        <v>74</v>
      </c>
      <c r="R717" t="s">
        <v>74</v>
      </c>
      <c r="S717" t="s">
        <v>74</v>
      </c>
      <c r="T717" t="s">
        <v>74</v>
      </c>
      <c r="U717" t="s">
        <v>12584</v>
      </c>
      <c r="V717" t="s">
        <v>12585</v>
      </c>
      <c r="W717" t="s">
        <v>12586</v>
      </c>
      <c r="X717" t="s">
        <v>12587</v>
      </c>
      <c r="Y717" t="s">
        <v>12588</v>
      </c>
      <c r="Z717" t="s">
        <v>12589</v>
      </c>
      <c r="AA717" t="s">
        <v>74</v>
      </c>
      <c r="AB717" t="s">
        <v>12590</v>
      </c>
      <c r="AC717" t="s">
        <v>12591</v>
      </c>
      <c r="AD717" t="s">
        <v>12592</v>
      </c>
      <c r="AE717" t="s">
        <v>12593</v>
      </c>
      <c r="AF717" t="s">
        <v>74</v>
      </c>
      <c r="AG717">
        <v>117</v>
      </c>
      <c r="AH717">
        <v>41</v>
      </c>
      <c r="AI717">
        <v>49</v>
      </c>
      <c r="AJ717">
        <v>2</v>
      </c>
      <c r="AK717">
        <v>52</v>
      </c>
      <c r="AL717" t="s">
        <v>718</v>
      </c>
      <c r="AM717" t="s">
        <v>719</v>
      </c>
      <c r="AN717" t="s">
        <v>720</v>
      </c>
      <c r="AO717" t="s">
        <v>12543</v>
      </c>
      <c r="AP717" t="s">
        <v>12594</v>
      </c>
      <c r="AQ717" t="s">
        <v>74</v>
      </c>
      <c r="AR717" t="s">
        <v>12544</v>
      </c>
      <c r="AS717" t="s">
        <v>12545</v>
      </c>
      <c r="AT717" t="s">
        <v>3935</v>
      </c>
      <c r="AU717">
        <v>2011</v>
      </c>
      <c r="AV717">
        <v>30</v>
      </c>
      <c r="AW717" t="s">
        <v>2089</v>
      </c>
      <c r="AX717" t="s">
        <v>74</v>
      </c>
      <c r="AY717" t="s">
        <v>74</v>
      </c>
      <c r="AZ717" t="s">
        <v>74</v>
      </c>
      <c r="BA717" t="s">
        <v>74</v>
      </c>
      <c r="BB717">
        <v>210</v>
      </c>
      <c r="BC717">
        <v>223</v>
      </c>
      <c r="BD717" t="s">
        <v>74</v>
      </c>
      <c r="BE717" t="s">
        <v>12595</v>
      </c>
      <c r="BF717" t="str">
        <f>HYPERLINK("http://dx.doi.org/10.1016/j.quascirev.2010.10.012","http://dx.doi.org/10.1016/j.quascirev.2010.10.012")</f>
        <v>http://dx.doi.org/10.1016/j.quascirev.2010.10.012</v>
      </c>
      <c r="BG717" t="s">
        <v>74</v>
      </c>
      <c r="BH717" t="s">
        <v>74</v>
      </c>
      <c r="BI717">
        <v>14</v>
      </c>
      <c r="BJ717" t="s">
        <v>222</v>
      </c>
      <c r="BK717" t="s">
        <v>100</v>
      </c>
      <c r="BL717" t="s">
        <v>223</v>
      </c>
      <c r="BM717" t="s">
        <v>12547</v>
      </c>
      <c r="BN717" t="s">
        <v>74</v>
      </c>
      <c r="BO717" t="s">
        <v>74</v>
      </c>
      <c r="BP717" t="s">
        <v>74</v>
      </c>
      <c r="BQ717" t="s">
        <v>74</v>
      </c>
      <c r="BR717" t="s">
        <v>103</v>
      </c>
      <c r="BS717" t="s">
        <v>12596</v>
      </c>
      <c r="BT717" t="str">
        <f>HYPERLINK("https%3A%2F%2Fwww.webofscience.com%2Fwos%2Fwoscc%2Ffull-record%2FWOS:000287067200014","View Full Record in Web of Science")</f>
        <v>View Full Record in Web of Science</v>
      </c>
    </row>
    <row r="718" spans="1:72" x14ac:dyDescent="0.15">
      <c r="A718" t="s">
        <v>72</v>
      </c>
      <c r="B718" t="s">
        <v>12597</v>
      </c>
      <c r="C718" t="s">
        <v>74</v>
      </c>
      <c r="D718" t="s">
        <v>74</v>
      </c>
      <c r="E718" t="s">
        <v>74</v>
      </c>
      <c r="F718" t="s">
        <v>12598</v>
      </c>
      <c r="G718" t="s">
        <v>74</v>
      </c>
      <c r="H718" t="s">
        <v>74</v>
      </c>
      <c r="I718" t="s">
        <v>12599</v>
      </c>
      <c r="J718" t="s">
        <v>12600</v>
      </c>
      <c r="K718" t="s">
        <v>74</v>
      </c>
      <c r="L718" t="s">
        <v>74</v>
      </c>
      <c r="M718" t="s">
        <v>78</v>
      </c>
      <c r="N718" t="s">
        <v>79</v>
      </c>
      <c r="O718" t="s">
        <v>74</v>
      </c>
      <c r="P718" t="s">
        <v>74</v>
      </c>
      <c r="Q718" t="s">
        <v>74</v>
      </c>
      <c r="R718" t="s">
        <v>74</v>
      </c>
      <c r="S718" t="s">
        <v>74</v>
      </c>
      <c r="T718" t="s">
        <v>74</v>
      </c>
      <c r="U718" t="s">
        <v>74</v>
      </c>
      <c r="V718" t="s">
        <v>12601</v>
      </c>
      <c r="W718" t="s">
        <v>12602</v>
      </c>
      <c r="X718" t="s">
        <v>12603</v>
      </c>
      <c r="Y718" t="s">
        <v>12604</v>
      </c>
      <c r="Z718" t="s">
        <v>74</v>
      </c>
      <c r="AA718" t="s">
        <v>74</v>
      </c>
      <c r="AB718" t="s">
        <v>74</v>
      </c>
      <c r="AC718" t="s">
        <v>74</v>
      </c>
      <c r="AD718" t="s">
        <v>74</v>
      </c>
      <c r="AE718" t="s">
        <v>74</v>
      </c>
      <c r="AF718" t="s">
        <v>74</v>
      </c>
      <c r="AG718">
        <v>13</v>
      </c>
      <c r="AH718">
        <v>0</v>
      </c>
      <c r="AI718">
        <v>0</v>
      </c>
      <c r="AJ718">
        <v>0</v>
      </c>
      <c r="AK718">
        <v>0</v>
      </c>
      <c r="AL718" t="s">
        <v>12605</v>
      </c>
      <c r="AM718" t="s">
        <v>12606</v>
      </c>
      <c r="AN718" t="s">
        <v>12607</v>
      </c>
      <c r="AO718" t="s">
        <v>12608</v>
      </c>
      <c r="AP718" t="s">
        <v>12609</v>
      </c>
      <c r="AQ718" t="s">
        <v>74</v>
      </c>
      <c r="AR718" t="s">
        <v>12600</v>
      </c>
      <c r="AS718" t="s">
        <v>12610</v>
      </c>
      <c r="AT718" t="s">
        <v>74</v>
      </c>
      <c r="AU718">
        <v>2011</v>
      </c>
      <c r="AV718">
        <v>46</v>
      </c>
      <c r="AW718">
        <v>6</v>
      </c>
      <c r="AX718" t="s">
        <v>74</v>
      </c>
      <c r="AY718" t="s">
        <v>2017</v>
      </c>
      <c r="AZ718" t="s">
        <v>967</v>
      </c>
      <c r="BA718" t="s">
        <v>74</v>
      </c>
      <c r="BB718" t="s">
        <v>12611</v>
      </c>
      <c r="BC718" t="s">
        <v>12612</v>
      </c>
      <c r="BD718" t="s">
        <v>74</v>
      </c>
      <c r="BE718" t="s">
        <v>12613</v>
      </c>
      <c r="BF718" t="str">
        <f>HYPERLINK("http://dx.doi.org/10.1051/radiopro/20116467s","http://dx.doi.org/10.1051/radiopro/20116467s")</f>
        <v>http://dx.doi.org/10.1051/radiopro/20116467s</v>
      </c>
      <c r="BG718" t="s">
        <v>74</v>
      </c>
      <c r="BH718" t="s">
        <v>74</v>
      </c>
      <c r="BI718">
        <v>7</v>
      </c>
      <c r="BJ718" t="s">
        <v>12614</v>
      </c>
      <c r="BK718" t="s">
        <v>100</v>
      </c>
      <c r="BL718" t="s">
        <v>12615</v>
      </c>
      <c r="BM718" t="s">
        <v>12616</v>
      </c>
      <c r="BN718" t="s">
        <v>74</v>
      </c>
      <c r="BO718" t="s">
        <v>3320</v>
      </c>
      <c r="BP718" t="s">
        <v>74</v>
      </c>
      <c r="BQ718" t="s">
        <v>74</v>
      </c>
      <c r="BR718" t="s">
        <v>103</v>
      </c>
      <c r="BS718" t="s">
        <v>12617</v>
      </c>
      <c r="BT718" t="str">
        <f>HYPERLINK("https%3A%2F%2Fwww.webofscience.com%2Fwos%2Fwoscc%2Ffull-record%2FWOS:000485696700056","View Full Record in Web of Science")</f>
        <v>View Full Record in Web of Science</v>
      </c>
    </row>
    <row r="719" spans="1:72" x14ac:dyDescent="0.15">
      <c r="A719" t="s">
        <v>2363</v>
      </c>
      <c r="B719" t="s">
        <v>12618</v>
      </c>
      <c r="C719" t="s">
        <v>74</v>
      </c>
      <c r="D719" t="s">
        <v>74</v>
      </c>
      <c r="E719" t="s">
        <v>74</v>
      </c>
      <c r="F719" t="s">
        <v>12619</v>
      </c>
      <c r="G719" t="s">
        <v>74</v>
      </c>
      <c r="H719" t="s">
        <v>74</v>
      </c>
      <c r="I719" t="s">
        <v>12620</v>
      </c>
      <c r="J719" t="s">
        <v>12621</v>
      </c>
      <c r="K719" t="s">
        <v>12622</v>
      </c>
      <c r="L719" t="s">
        <v>74</v>
      </c>
      <c r="M719" t="s">
        <v>78</v>
      </c>
      <c r="N719" t="s">
        <v>12623</v>
      </c>
      <c r="O719" t="s">
        <v>74</v>
      </c>
      <c r="P719" t="s">
        <v>74</v>
      </c>
      <c r="Q719" t="s">
        <v>74</v>
      </c>
      <c r="R719" t="s">
        <v>74</v>
      </c>
      <c r="S719" t="s">
        <v>74</v>
      </c>
      <c r="T719" t="s">
        <v>74</v>
      </c>
      <c r="U719" t="s">
        <v>12624</v>
      </c>
      <c r="V719" t="s">
        <v>74</v>
      </c>
      <c r="W719" t="s">
        <v>74</v>
      </c>
      <c r="X719" t="s">
        <v>74</v>
      </c>
      <c r="Y719" t="s">
        <v>74</v>
      </c>
      <c r="Z719" t="s">
        <v>74</v>
      </c>
      <c r="AA719" t="s">
        <v>12625</v>
      </c>
      <c r="AB719" t="s">
        <v>12626</v>
      </c>
      <c r="AC719" t="s">
        <v>74</v>
      </c>
      <c r="AD719" t="s">
        <v>74</v>
      </c>
      <c r="AE719" t="s">
        <v>74</v>
      </c>
      <c r="AF719" t="s">
        <v>74</v>
      </c>
      <c r="AG719">
        <v>95</v>
      </c>
      <c r="AH719">
        <v>0</v>
      </c>
      <c r="AI719">
        <v>0</v>
      </c>
      <c r="AJ719">
        <v>0</v>
      </c>
      <c r="AK719">
        <v>0</v>
      </c>
      <c r="AL719" t="s">
        <v>12627</v>
      </c>
      <c r="AM719" t="s">
        <v>12628</v>
      </c>
      <c r="AN719" t="s">
        <v>12629</v>
      </c>
      <c r="AO719" t="s">
        <v>74</v>
      </c>
      <c r="AP719" t="s">
        <v>74</v>
      </c>
      <c r="AQ719" t="s">
        <v>12630</v>
      </c>
      <c r="AR719" t="s">
        <v>12631</v>
      </c>
      <c r="AS719" t="s">
        <v>74</v>
      </c>
      <c r="AT719" t="s">
        <v>74</v>
      </c>
      <c r="AU719">
        <v>2011</v>
      </c>
      <c r="AV719" t="s">
        <v>74</v>
      </c>
      <c r="AW719" t="s">
        <v>74</v>
      </c>
      <c r="AX719" t="s">
        <v>74</v>
      </c>
      <c r="AY719" t="s">
        <v>74</v>
      </c>
      <c r="AZ719" t="s">
        <v>74</v>
      </c>
      <c r="BA719" t="s">
        <v>74</v>
      </c>
      <c r="BB719">
        <v>1</v>
      </c>
      <c r="BC719">
        <v>94</v>
      </c>
      <c r="BD719" t="s">
        <v>74</v>
      </c>
      <c r="BE719" t="s">
        <v>74</v>
      </c>
      <c r="BF719" t="s">
        <v>74</v>
      </c>
      <c r="BG719" t="s">
        <v>74</v>
      </c>
      <c r="BH719" t="s">
        <v>74</v>
      </c>
      <c r="BI719">
        <v>94</v>
      </c>
      <c r="BJ719" t="s">
        <v>12632</v>
      </c>
      <c r="BK719" t="s">
        <v>2384</v>
      </c>
      <c r="BL719" t="s">
        <v>12633</v>
      </c>
      <c r="BM719" t="s">
        <v>12634</v>
      </c>
      <c r="BN719" t="s">
        <v>74</v>
      </c>
      <c r="BO719" t="s">
        <v>74</v>
      </c>
      <c r="BP719" t="s">
        <v>74</v>
      </c>
      <c r="BQ719" t="s">
        <v>74</v>
      </c>
      <c r="BR719" t="s">
        <v>103</v>
      </c>
      <c r="BS719" t="s">
        <v>12635</v>
      </c>
      <c r="BT719" t="str">
        <f>HYPERLINK("https%3A%2F%2Fwww.webofscience.com%2Fwos%2Fwoscc%2Ffull-record%2FWOS:000286641400001","View Full Record in Web of Science")</f>
        <v>View Full Record in Web of Science</v>
      </c>
    </row>
    <row r="720" spans="1:72" x14ac:dyDescent="0.15">
      <c r="A720" t="s">
        <v>2268</v>
      </c>
      <c r="B720" t="s">
        <v>12636</v>
      </c>
      <c r="C720" t="s">
        <v>74</v>
      </c>
      <c r="D720" t="s">
        <v>12637</v>
      </c>
      <c r="E720" t="s">
        <v>74</v>
      </c>
      <c r="F720" t="s">
        <v>12638</v>
      </c>
      <c r="G720" t="s">
        <v>74</v>
      </c>
      <c r="H720" t="s">
        <v>74</v>
      </c>
      <c r="I720" t="s">
        <v>12639</v>
      </c>
      <c r="J720" t="s">
        <v>12640</v>
      </c>
      <c r="K720" t="s">
        <v>4204</v>
      </c>
      <c r="L720" t="s">
        <v>74</v>
      </c>
      <c r="M720" t="s">
        <v>78</v>
      </c>
      <c r="N720" t="s">
        <v>2275</v>
      </c>
      <c r="O720" t="s">
        <v>12641</v>
      </c>
      <c r="P720" t="s">
        <v>12642</v>
      </c>
      <c r="Q720" t="s">
        <v>12643</v>
      </c>
      <c r="R720" t="s">
        <v>74</v>
      </c>
      <c r="S720" t="s">
        <v>74</v>
      </c>
      <c r="T720" t="s">
        <v>12644</v>
      </c>
      <c r="U720" t="s">
        <v>12645</v>
      </c>
      <c r="V720" t="s">
        <v>12646</v>
      </c>
      <c r="W720" t="s">
        <v>12647</v>
      </c>
      <c r="X720" t="s">
        <v>12648</v>
      </c>
      <c r="Y720" t="s">
        <v>12649</v>
      </c>
      <c r="Z720" t="s">
        <v>12650</v>
      </c>
      <c r="AA720" t="s">
        <v>74</v>
      </c>
      <c r="AB720" t="s">
        <v>74</v>
      </c>
      <c r="AC720" t="s">
        <v>74</v>
      </c>
      <c r="AD720" t="s">
        <v>74</v>
      </c>
      <c r="AE720" t="s">
        <v>74</v>
      </c>
      <c r="AF720" t="s">
        <v>74</v>
      </c>
      <c r="AG720">
        <v>10</v>
      </c>
      <c r="AH720">
        <v>3</v>
      </c>
      <c r="AI720">
        <v>3</v>
      </c>
      <c r="AJ720">
        <v>0</v>
      </c>
      <c r="AK720">
        <v>3</v>
      </c>
      <c r="AL720" t="s">
        <v>4214</v>
      </c>
      <c r="AM720" t="s">
        <v>4215</v>
      </c>
      <c r="AN720" t="s">
        <v>4216</v>
      </c>
      <c r="AO720" t="s">
        <v>4217</v>
      </c>
      <c r="AP720" t="s">
        <v>74</v>
      </c>
      <c r="AQ720" t="s">
        <v>12651</v>
      </c>
      <c r="AR720" t="s">
        <v>4219</v>
      </c>
      <c r="AS720" t="s">
        <v>74</v>
      </c>
      <c r="AT720" t="s">
        <v>74</v>
      </c>
      <c r="AU720">
        <v>2011</v>
      </c>
      <c r="AV720">
        <v>8175</v>
      </c>
      <c r="AW720" t="s">
        <v>74</v>
      </c>
      <c r="AX720" t="s">
        <v>74</v>
      </c>
      <c r="AY720" t="s">
        <v>74</v>
      </c>
      <c r="AZ720" t="s">
        <v>74</v>
      </c>
      <c r="BA720" t="s">
        <v>74</v>
      </c>
      <c r="BB720" t="s">
        <v>74</v>
      </c>
      <c r="BC720" t="s">
        <v>74</v>
      </c>
      <c r="BD720">
        <v>817511</v>
      </c>
      <c r="BE720" t="s">
        <v>12652</v>
      </c>
      <c r="BF720" t="str">
        <f>HYPERLINK("http://dx.doi.org/10.1117/12.897387","http://dx.doi.org/10.1117/12.897387")</f>
        <v>http://dx.doi.org/10.1117/12.897387</v>
      </c>
      <c r="BG720" t="s">
        <v>74</v>
      </c>
      <c r="BH720" t="s">
        <v>74</v>
      </c>
      <c r="BI720">
        <v>8</v>
      </c>
      <c r="BJ720" t="s">
        <v>12653</v>
      </c>
      <c r="BK720" t="s">
        <v>2292</v>
      </c>
      <c r="BL720" t="s">
        <v>12653</v>
      </c>
      <c r="BM720" t="s">
        <v>12654</v>
      </c>
      <c r="BN720" t="s">
        <v>74</v>
      </c>
      <c r="BO720" t="s">
        <v>74</v>
      </c>
      <c r="BP720" t="s">
        <v>74</v>
      </c>
      <c r="BQ720" t="s">
        <v>74</v>
      </c>
      <c r="BR720" t="s">
        <v>103</v>
      </c>
      <c r="BS720" t="s">
        <v>12655</v>
      </c>
      <c r="BT720" t="str">
        <f>HYPERLINK("https%3A%2F%2Fwww.webofscience.com%2Fwos%2Fwoscc%2Ffull-record%2FWOS:000302739200029","View Full Record in Web of Science")</f>
        <v>View Full Record in Web of Science</v>
      </c>
    </row>
    <row r="721" spans="1:72" x14ac:dyDescent="0.15">
      <c r="A721" t="s">
        <v>72</v>
      </c>
      <c r="B721" t="s">
        <v>12656</v>
      </c>
      <c r="C721" t="s">
        <v>74</v>
      </c>
      <c r="D721" t="s">
        <v>74</v>
      </c>
      <c r="E721" t="s">
        <v>74</v>
      </c>
      <c r="F721" t="s">
        <v>12657</v>
      </c>
      <c r="G721" t="s">
        <v>74</v>
      </c>
      <c r="H721" t="s">
        <v>74</v>
      </c>
      <c r="I721" t="s">
        <v>12658</v>
      </c>
      <c r="J721" t="s">
        <v>12659</v>
      </c>
      <c r="K721" t="s">
        <v>74</v>
      </c>
      <c r="L721" t="s">
        <v>74</v>
      </c>
      <c r="M721" t="s">
        <v>78</v>
      </c>
      <c r="N721" t="s">
        <v>79</v>
      </c>
      <c r="O721" t="s">
        <v>74</v>
      </c>
      <c r="P721" t="s">
        <v>74</v>
      </c>
      <c r="Q721" t="s">
        <v>74</v>
      </c>
      <c r="R721" t="s">
        <v>74</v>
      </c>
      <c r="S721" t="s">
        <v>74</v>
      </c>
      <c r="T721" t="s">
        <v>12660</v>
      </c>
      <c r="U721" t="s">
        <v>12661</v>
      </c>
      <c r="V721" t="s">
        <v>12662</v>
      </c>
      <c r="W721" t="s">
        <v>12663</v>
      </c>
      <c r="X721" t="s">
        <v>12664</v>
      </c>
      <c r="Y721" t="s">
        <v>12665</v>
      </c>
      <c r="Z721" t="s">
        <v>12666</v>
      </c>
      <c r="AA721" t="s">
        <v>74</v>
      </c>
      <c r="AB721" t="s">
        <v>74</v>
      </c>
      <c r="AC721" t="s">
        <v>12667</v>
      </c>
      <c r="AD721" t="s">
        <v>12668</v>
      </c>
      <c r="AE721" t="s">
        <v>12669</v>
      </c>
      <c r="AF721" t="s">
        <v>74</v>
      </c>
      <c r="AG721">
        <v>54</v>
      </c>
      <c r="AH721">
        <v>21</v>
      </c>
      <c r="AI721">
        <v>27</v>
      </c>
      <c r="AJ721">
        <v>2</v>
      </c>
      <c r="AK721">
        <v>11</v>
      </c>
      <c r="AL721" t="s">
        <v>12670</v>
      </c>
      <c r="AM721" t="s">
        <v>12671</v>
      </c>
      <c r="AN721" t="s">
        <v>12672</v>
      </c>
      <c r="AO721" t="s">
        <v>12673</v>
      </c>
      <c r="AP721" t="s">
        <v>74</v>
      </c>
      <c r="AQ721" t="s">
        <v>74</v>
      </c>
      <c r="AR721" t="s">
        <v>12659</v>
      </c>
      <c r="AS721" t="s">
        <v>12674</v>
      </c>
      <c r="AT721" t="s">
        <v>3935</v>
      </c>
      <c r="AU721">
        <v>2011</v>
      </c>
      <c r="AV721">
        <v>82</v>
      </c>
      <c r="AW721">
        <v>1</v>
      </c>
      <c r="AX721" t="s">
        <v>74</v>
      </c>
      <c r="AY721" t="s">
        <v>74</v>
      </c>
      <c r="AZ721" t="s">
        <v>74</v>
      </c>
      <c r="BA721" t="s">
        <v>74</v>
      </c>
      <c r="BB721">
        <v>122</v>
      </c>
      <c r="BC721">
        <v>125</v>
      </c>
      <c r="BD721" t="s">
        <v>74</v>
      </c>
      <c r="BE721" t="s">
        <v>12675</v>
      </c>
      <c r="BF721" t="str">
        <f>HYPERLINK("http://dx.doi.org/10.1016/j.resuscitation.2010.09.465","http://dx.doi.org/10.1016/j.resuscitation.2010.09.465")</f>
        <v>http://dx.doi.org/10.1016/j.resuscitation.2010.09.465</v>
      </c>
      <c r="BG721" t="s">
        <v>74</v>
      </c>
      <c r="BH721" t="s">
        <v>74</v>
      </c>
      <c r="BI721">
        <v>4</v>
      </c>
      <c r="BJ721" t="s">
        <v>12676</v>
      </c>
      <c r="BK721" t="s">
        <v>100</v>
      </c>
      <c r="BL721" t="s">
        <v>12677</v>
      </c>
      <c r="BM721" t="s">
        <v>12678</v>
      </c>
      <c r="BN721">
        <v>21036455</v>
      </c>
      <c r="BO721" t="s">
        <v>12679</v>
      </c>
      <c r="BP721" t="s">
        <v>74</v>
      </c>
      <c r="BQ721" t="s">
        <v>74</v>
      </c>
      <c r="BR721" t="s">
        <v>103</v>
      </c>
      <c r="BS721" t="s">
        <v>12680</v>
      </c>
      <c r="BT721" t="str">
        <f>HYPERLINK("https%3A%2F%2Fwww.webofscience.com%2Fwos%2Fwoscc%2Ffull-record%2FWOS:000286720500022","View Full Record in Web of Science")</f>
        <v>View Full Record in Web of Science</v>
      </c>
    </row>
    <row r="722" spans="1:72" x14ac:dyDescent="0.15">
      <c r="A722" t="s">
        <v>72</v>
      </c>
      <c r="B722" t="s">
        <v>12681</v>
      </c>
      <c r="C722" t="s">
        <v>74</v>
      </c>
      <c r="D722" t="s">
        <v>74</v>
      </c>
      <c r="E722" t="s">
        <v>74</v>
      </c>
      <c r="F722" t="s">
        <v>12682</v>
      </c>
      <c r="G722" t="s">
        <v>74</v>
      </c>
      <c r="H722" t="s">
        <v>74</v>
      </c>
      <c r="I722" t="s">
        <v>12683</v>
      </c>
      <c r="J722" t="s">
        <v>12684</v>
      </c>
      <c r="K722" t="s">
        <v>74</v>
      </c>
      <c r="L722" t="s">
        <v>74</v>
      </c>
      <c r="M722" t="s">
        <v>78</v>
      </c>
      <c r="N722" t="s">
        <v>79</v>
      </c>
      <c r="O722" t="s">
        <v>74</v>
      </c>
      <c r="P722" t="s">
        <v>74</v>
      </c>
      <c r="Q722" t="s">
        <v>74</v>
      </c>
      <c r="R722" t="s">
        <v>74</v>
      </c>
      <c r="S722" t="s">
        <v>74</v>
      </c>
      <c r="T722" t="s">
        <v>12685</v>
      </c>
      <c r="U722" t="s">
        <v>12686</v>
      </c>
      <c r="V722" t="s">
        <v>12687</v>
      </c>
      <c r="W722" t="s">
        <v>12688</v>
      </c>
      <c r="X722" t="s">
        <v>12689</v>
      </c>
      <c r="Y722" t="s">
        <v>12690</v>
      </c>
      <c r="Z722" t="s">
        <v>12691</v>
      </c>
      <c r="AA722" t="s">
        <v>74</v>
      </c>
      <c r="AB722" t="s">
        <v>12692</v>
      </c>
      <c r="AC722" t="s">
        <v>12693</v>
      </c>
      <c r="AD722" t="s">
        <v>1687</v>
      </c>
      <c r="AE722" t="s">
        <v>74</v>
      </c>
      <c r="AF722" t="s">
        <v>74</v>
      </c>
      <c r="AG722">
        <v>79</v>
      </c>
      <c r="AH722">
        <v>15</v>
      </c>
      <c r="AI722">
        <v>16</v>
      </c>
      <c r="AJ722">
        <v>0</v>
      </c>
      <c r="AK722">
        <v>1</v>
      </c>
      <c r="AL722" t="s">
        <v>767</v>
      </c>
      <c r="AM722" t="s">
        <v>640</v>
      </c>
      <c r="AN722" t="s">
        <v>768</v>
      </c>
      <c r="AO722" t="s">
        <v>12694</v>
      </c>
      <c r="AP722" t="s">
        <v>12695</v>
      </c>
      <c r="AQ722" t="s">
        <v>74</v>
      </c>
      <c r="AR722" t="s">
        <v>12696</v>
      </c>
      <c r="AS722" t="s">
        <v>12697</v>
      </c>
      <c r="AT722" t="s">
        <v>3935</v>
      </c>
      <c r="AU722">
        <v>2011</v>
      </c>
      <c r="AV722">
        <v>163</v>
      </c>
      <c r="AW722" t="s">
        <v>601</v>
      </c>
      <c r="AX722" t="s">
        <v>74</v>
      </c>
      <c r="AY722" t="s">
        <v>74</v>
      </c>
      <c r="AZ722" t="s">
        <v>74</v>
      </c>
      <c r="BA722" t="s">
        <v>74</v>
      </c>
      <c r="BB722">
        <v>227</v>
      </c>
      <c r="BC722">
        <v>236</v>
      </c>
      <c r="BD722" t="s">
        <v>74</v>
      </c>
      <c r="BE722" t="s">
        <v>12698</v>
      </c>
      <c r="BF722" t="str">
        <f>HYPERLINK("http://dx.doi.org/10.1016/j.revpalbo.2010.10.009","http://dx.doi.org/10.1016/j.revpalbo.2010.10.009")</f>
        <v>http://dx.doi.org/10.1016/j.revpalbo.2010.10.009</v>
      </c>
      <c r="BG722" t="s">
        <v>74</v>
      </c>
      <c r="BH722" t="s">
        <v>74</v>
      </c>
      <c r="BI722">
        <v>10</v>
      </c>
      <c r="BJ722" t="s">
        <v>12699</v>
      </c>
      <c r="BK722" t="s">
        <v>100</v>
      </c>
      <c r="BL722" t="s">
        <v>12699</v>
      </c>
      <c r="BM722" t="s">
        <v>12700</v>
      </c>
      <c r="BN722" t="s">
        <v>74</v>
      </c>
      <c r="BO722" t="s">
        <v>12701</v>
      </c>
      <c r="BP722" t="s">
        <v>74</v>
      </c>
      <c r="BQ722" t="s">
        <v>74</v>
      </c>
      <c r="BR722" t="s">
        <v>103</v>
      </c>
      <c r="BS722" t="s">
        <v>12702</v>
      </c>
      <c r="BT722" t="str">
        <f>HYPERLINK("https%3A%2F%2Fwww.webofscience.com%2Fwos%2Fwoscc%2Ffull-record%2FWOS:000286685800004","View Full Record in Web of Science")</f>
        <v>View Full Record in Web of Science</v>
      </c>
    </row>
    <row r="723" spans="1:72" x14ac:dyDescent="0.15">
      <c r="A723" t="s">
        <v>72</v>
      </c>
      <c r="B723" t="s">
        <v>12703</v>
      </c>
      <c r="C723" t="s">
        <v>74</v>
      </c>
      <c r="D723" t="s">
        <v>74</v>
      </c>
      <c r="E723" t="s">
        <v>74</v>
      </c>
      <c r="F723" t="s">
        <v>12704</v>
      </c>
      <c r="G723" t="s">
        <v>74</v>
      </c>
      <c r="H723" t="s">
        <v>74</v>
      </c>
      <c r="I723" t="s">
        <v>12705</v>
      </c>
      <c r="J723" t="s">
        <v>12706</v>
      </c>
      <c r="K723" t="s">
        <v>74</v>
      </c>
      <c r="L723" t="s">
        <v>74</v>
      </c>
      <c r="M723" t="s">
        <v>12707</v>
      </c>
      <c r="N723" t="s">
        <v>79</v>
      </c>
      <c r="O723" t="s">
        <v>74</v>
      </c>
      <c r="P723" t="s">
        <v>74</v>
      </c>
      <c r="Q723" t="s">
        <v>74</v>
      </c>
      <c r="R723" t="s">
        <v>74</v>
      </c>
      <c r="S723" t="s">
        <v>74</v>
      </c>
      <c r="T723" t="s">
        <v>12708</v>
      </c>
      <c r="U723" t="s">
        <v>74</v>
      </c>
      <c r="V723" t="s">
        <v>12709</v>
      </c>
      <c r="W723" t="s">
        <v>12710</v>
      </c>
      <c r="X723" t="s">
        <v>12711</v>
      </c>
      <c r="Y723" t="s">
        <v>12712</v>
      </c>
      <c r="Z723" t="s">
        <v>12713</v>
      </c>
      <c r="AA723" t="s">
        <v>12714</v>
      </c>
      <c r="AB723" t="s">
        <v>12715</v>
      </c>
      <c r="AC723" t="s">
        <v>74</v>
      </c>
      <c r="AD723" t="s">
        <v>74</v>
      </c>
      <c r="AE723" t="s">
        <v>74</v>
      </c>
      <c r="AF723" t="s">
        <v>74</v>
      </c>
      <c r="AG723">
        <v>30</v>
      </c>
      <c r="AH723">
        <v>5</v>
      </c>
      <c r="AI723">
        <v>5</v>
      </c>
      <c r="AJ723">
        <v>0</v>
      </c>
      <c r="AK723">
        <v>0</v>
      </c>
      <c r="AL723" t="s">
        <v>12716</v>
      </c>
      <c r="AM723" t="s">
        <v>12717</v>
      </c>
      <c r="AN723" t="s">
        <v>12718</v>
      </c>
      <c r="AO723" t="s">
        <v>12719</v>
      </c>
      <c r="AP723" t="s">
        <v>12720</v>
      </c>
      <c r="AQ723" t="s">
        <v>74</v>
      </c>
      <c r="AR723" t="s">
        <v>12721</v>
      </c>
      <c r="AS723" t="s">
        <v>12722</v>
      </c>
      <c r="AT723" t="s">
        <v>12723</v>
      </c>
      <c r="AU723">
        <v>2011</v>
      </c>
      <c r="AV723">
        <v>12</v>
      </c>
      <c r="AW723">
        <v>1</v>
      </c>
      <c r="AX723" t="s">
        <v>74</v>
      </c>
      <c r="AY723" t="s">
        <v>74</v>
      </c>
      <c r="AZ723" t="s">
        <v>74</v>
      </c>
      <c r="BA723" t="s">
        <v>74</v>
      </c>
      <c r="BB723">
        <v>45</v>
      </c>
      <c r="BC723">
        <v>58</v>
      </c>
      <c r="BD723" t="s">
        <v>74</v>
      </c>
      <c r="BE723" t="s">
        <v>74</v>
      </c>
      <c r="BF723" t="s">
        <v>74</v>
      </c>
      <c r="BG723" t="s">
        <v>74</v>
      </c>
      <c r="BH723" t="s">
        <v>74</v>
      </c>
      <c r="BI723">
        <v>14</v>
      </c>
      <c r="BJ723" t="s">
        <v>12724</v>
      </c>
      <c r="BK723" t="s">
        <v>6441</v>
      </c>
      <c r="BL723" t="s">
        <v>12725</v>
      </c>
      <c r="BM723" t="s">
        <v>12726</v>
      </c>
      <c r="BN723" t="s">
        <v>74</v>
      </c>
      <c r="BO723" t="s">
        <v>74</v>
      </c>
      <c r="BP723" t="s">
        <v>74</v>
      </c>
      <c r="BQ723" t="s">
        <v>74</v>
      </c>
      <c r="BR723" t="s">
        <v>103</v>
      </c>
      <c r="BS723" t="s">
        <v>12727</v>
      </c>
      <c r="BT723" t="str">
        <f>HYPERLINK("https%3A%2F%2Fwww.webofscience.com%2Fwos%2Fwoscc%2Ffull-record%2FWOS:000216932100006","View Full Record in Web of Science")</f>
        <v>View Full Record in Web of Science</v>
      </c>
    </row>
    <row r="724" spans="1:72" x14ac:dyDescent="0.15">
      <c r="A724" t="s">
        <v>72</v>
      </c>
      <c r="B724" t="s">
        <v>12728</v>
      </c>
      <c r="C724" t="s">
        <v>74</v>
      </c>
      <c r="D724" t="s">
        <v>74</v>
      </c>
      <c r="E724" t="s">
        <v>74</v>
      </c>
      <c r="F724" t="s">
        <v>12729</v>
      </c>
      <c r="G724" t="s">
        <v>74</v>
      </c>
      <c r="H724" t="s">
        <v>74</v>
      </c>
      <c r="I724" t="s">
        <v>12730</v>
      </c>
      <c r="J724" t="s">
        <v>3730</v>
      </c>
      <c r="K724" t="s">
        <v>74</v>
      </c>
      <c r="L724" t="s">
        <v>74</v>
      </c>
      <c r="M724" t="s">
        <v>7904</v>
      </c>
      <c r="N724" t="s">
        <v>79</v>
      </c>
      <c r="O724" t="s">
        <v>74</v>
      </c>
      <c r="P724" t="s">
        <v>74</v>
      </c>
      <c r="Q724" t="s">
        <v>74</v>
      </c>
      <c r="R724" t="s">
        <v>74</v>
      </c>
      <c r="S724" t="s">
        <v>74</v>
      </c>
      <c r="T724" t="s">
        <v>12731</v>
      </c>
      <c r="U724" t="s">
        <v>12732</v>
      </c>
      <c r="V724" t="s">
        <v>12733</v>
      </c>
      <c r="W724" t="s">
        <v>12734</v>
      </c>
      <c r="X724" t="s">
        <v>466</v>
      </c>
      <c r="Y724" t="s">
        <v>12735</v>
      </c>
      <c r="Z724" t="s">
        <v>12736</v>
      </c>
      <c r="AA724" t="s">
        <v>74</v>
      </c>
      <c r="AB724" t="s">
        <v>12737</v>
      </c>
      <c r="AC724" t="s">
        <v>74</v>
      </c>
      <c r="AD724" t="s">
        <v>74</v>
      </c>
      <c r="AE724" t="s">
        <v>74</v>
      </c>
      <c r="AF724" t="s">
        <v>74</v>
      </c>
      <c r="AG724">
        <v>35</v>
      </c>
      <c r="AH724">
        <v>6</v>
      </c>
      <c r="AI724">
        <v>6</v>
      </c>
      <c r="AJ724">
        <v>0</v>
      </c>
      <c r="AK724">
        <v>2</v>
      </c>
      <c r="AL724" t="s">
        <v>12738</v>
      </c>
      <c r="AM724" t="s">
        <v>3744</v>
      </c>
      <c r="AN724" t="s">
        <v>12739</v>
      </c>
      <c r="AO724" t="s">
        <v>3746</v>
      </c>
      <c r="AP724" t="s">
        <v>3747</v>
      </c>
      <c r="AQ724" t="s">
        <v>74</v>
      </c>
      <c r="AR724" t="s">
        <v>3748</v>
      </c>
      <c r="AS724" t="s">
        <v>3749</v>
      </c>
      <c r="AT724" t="s">
        <v>74</v>
      </c>
      <c r="AU724">
        <v>2011</v>
      </c>
      <c r="AV724">
        <v>46</v>
      </c>
      <c r="AW724">
        <v>2</v>
      </c>
      <c r="AX724" t="s">
        <v>74</v>
      </c>
      <c r="AY724" t="s">
        <v>74</v>
      </c>
      <c r="AZ724" t="s">
        <v>74</v>
      </c>
      <c r="BA724" t="s">
        <v>74</v>
      </c>
      <c r="BB724">
        <v>141</v>
      </c>
      <c r="BC724">
        <v>155</v>
      </c>
      <c r="BD724" t="s">
        <v>74</v>
      </c>
      <c r="BE724" t="s">
        <v>12740</v>
      </c>
      <c r="BF724" t="str">
        <f>HYPERLINK("http://dx.doi.org/10.4067/S0718-19572011000200005","http://dx.doi.org/10.4067/S0718-19572011000200005")</f>
        <v>http://dx.doi.org/10.4067/S0718-19572011000200005</v>
      </c>
      <c r="BG724" t="s">
        <v>74</v>
      </c>
      <c r="BH724" t="s">
        <v>74</v>
      </c>
      <c r="BI724">
        <v>15</v>
      </c>
      <c r="BJ724" t="s">
        <v>3751</v>
      </c>
      <c r="BK724" t="s">
        <v>100</v>
      </c>
      <c r="BL724" t="s">
        <v>3751</v>
      </c>
      <c r="BM724" t="s">
        <v>3752</v>
      </c>
      <c r="BN724" t="s">
        <v>74</v>
      </c>
      <c r="BO724" t="s">
        <v>1672</v>
      </c>
      <c r="BP724" t="s">
        <v>74</v>
      </c>
      <c r="BQ724" t="s">
        <v>74</v>
      </c>
      <c r="BR724" t="s">
        <v>103</v>
      </c>
      <c r="BS724" t="s">
        <v>12741</v>
      </c>
      <c r="BT724" t="str">
        <f>HYPERLINK("https%3A%2F%2Fwww.webofscience.com%2Fwos%2Fwoscc%2Ffull-record%2FWOS:000294420600005","View Full Record in Web of Science")</f>
        <v>View Full Record in Web of Science</v>
      </c>
    </row>
    <row r="725" spans="1:72" x14ac:dyDescent="0.15">
      <c r="A725" t="s">
        <v>72</v>
      </c>
      <c r="B725" t="s">
        <v>12742</v>
      </c>
      <c r="C725" t="s">
        <v>74</v>
      </c>
      <c r="D725" t="s">
        <v>74</v>
      </c>
      <c r="E725" t="s">
        <v>74</v>
      </c>
      <c r="F725" t="s">
        <v>12743</v>
      </c>
      <c r="G725" t="s">
        <v>74</v>
      </c>
      <c r="H725" t="s">
        <v>74</v>
      </c>
      <c r="I725" t="s">
        <v>12744</v>
      </c>
      <c r="J725" t="s">
        <v>12745</v>
      </c>
      <c r="K725" t="s">
        <v>74</v>
      </c>
      <c r="L725" t="s">
        <v>74</v>
      </c>
      <c r="M725" t="s">
        <v>78</v>
      </c>
      <c r="N725" t="s">
        <v>79</v>
      </c>
      <c r="O725" t="s">
        <v>74</v>
      </c>
      <c r="P725" t="s">
        <v>74</v>
      </c>
      <c r="Q725" t="s">
        <v>74</v>
      </c>
      <c r="R725" t="s">
        <v>74</v>
      </c>
      <c r="S725" t="s">
        <v>74</v>
      </c>
      <c r="T725" t="s">
        <v>74</v>
      </c>
      <c r="U725" t="s">
        <v>74</v>
      </c>
      <c r="V725" t="s">
        <v>12746</v>
      </c>
      <c r="W725" t="s">
        <v>12747</v>
      </c>
      <c r="X725" t="s">
        <v>12748</v>
      </c>
      <c r="Y725" t="s">
        <v>12749</v>
      </c>
      <c r="Z725" t="s">
        <v>12750</v>
      </c>
      <c r="AA725" t="s">
        <v>74</v>
      </c>
      <c r="AB725" t="s">
        <v>74</v>
      </c>
      <c r="AC725" t="s">
        <v>12751</v>
      </c>
      <c r="AD725" t="s">
        <v>12751</v>
      </c>
      <c r="AE725" t="s">
        <v>12752</v>
      </c>
      <c r="AF725" t="s">
        <v>74</v>
      </c>
      <c r="AG725">
        <v>9</v>
      </c>
      <c r="AH725">
        <v>0</v>
      </c>
      <c r="AI725">
        <v>0</v>
      </c>
      <c r="AJ725">
        <v>0</v>
      </c>
      <c r="AK725">
        <v>0</v>
      </c>
      <c r="AL725" t="s">
        <v>12753</v>
      </c>
      <c r="AM725" t="s">
        <v>12754</v>
      </c>
      <c r="AN725" t="s">
        <v>12755</v>
      </c>
      <c r="AO725" t="s">
        <v>12756</v>
      </c>
      <c r="AP725" t="s">
        <v>12757</v>
      </c>
      <c r="AQ725" t="s">
        <v>74</v>
      </c>
      <c r="AR725" t="s">
        <v>12758</v>
      </c>
      <c r="AS725" t="s">
        <v>12759</v>
      </c>
      <c r="AT725" t="s">
        <v>74</v>
      </c>
      <c r="AU725">
        <v>2011</v>
      </c>
      <c r="AV725">
        <v>4</v>
      </c>
      <c r="AW725">
        <v>1</v>
      </c>
      <c r="AX725" t="s">
        <v>74</v>
      </c>
      <c r="AY725" t="s">
        <v>74</v>
      </c>
      <c r="AZ725" t="s">
        <v>74</v>
      </c>
      <c r="BA725" t="s">
        <v>74</v>
      </c>
      <c r="BB725">
        <v>108</v>
      </c>
      <c r="BC725">
        <v>129</v>
      </c>
      <c r="BD725" t="s">
        <v>74</v>
      </c>
      <c r="BE725" t="s">
        <v>12760</v>
      </c>
      <c r="BF725" t="str">
        <f>HYPERLINK("http://dx.doi.org/10.4271/2009-01-2369","http://dx.doi.org/10.4271/2009-01-2369")</f>
        <v>http://dx.doi.org/10.4271/2009-01-2369</v>
      </c>
      <c r="BG725" t="s">
        <v>74</v>
      </c>
      <c r="BH725" t="s">
        <v>74</v>
      </c>
      <c r="BI725">
        <v>22</v>
      </c>
      <c r="BJ725" t="s">
        <v>5445</v>
      </c>
      <c r="BK725" t="s">
        <v>6441</v>
      </c>
      <c r="BL725" t="s">
        <v>2927</v>
      </c>
      <c r="BM725" t="s">
        <v>12761</v>
      </c>
      <c r="BN725" t="s">
        <v>74</v>
      </c>
      <c r="BO725" t="s">
        <v>74</v>
      </c>
      <c r="BP725" t="s">
        <v>74</v>
      </c>
      <c r="BQ725" t="s">
        <v>74</v>
      </c>
      <c r="BR725" t="s">
        <v>103</v>
      </c>
      <c r="BS725" t="s">
        <v>12762</v>
      </c>
      <c r="BT725" t="str">
        <f>HYPERLINK("https%3A%2F%2Fwww.webofscience.com%2Fwos%2Fwoscc%2Ffull-record%2FWOS:000450078900012","View Full Record in Web of Science")</f>
        <v>View Full Record in Web of Science</v>
      </c>
    </row>
    <row r="726" spans="1:72" x14ac:dyDescent="0.15">
      <c r="A726" t="s">
        <v>72</v>
      </c>
      <c r="B726" t="s">
        <v>12763</v>
      </c>
      <c r="C726" t="s">
        <v>74</v>
      </c>
      <c r="D726" t="s">
        <v>74</v>
      </c>
      <c r="E726" t="s">
        <v>74</v>
      </c>
      <c r="F726" t="s">
        <v>12764</v>
      </c>
      <c r="G726" t="s">
        <v>74</v>
      </c>
      <c r="H726" t="s">
        <v>74</v>
      </c>
      <c r="I726" t="s">
        <v>12765</v>
      </c>
      <c r="J726" t="s">
        <v>12766</v>
      </c>
      <c r="K726" t="s">
        <v>74</v>
      </c>
      <c r="L726" t="s">
        <v>74</v>
      </c>
      <c r="M726" t="s">
        <v>78</v>
      </c>
      <c r="N726" t="s">
        <v>79</v>
      </c>
      <c r="O726" t="s">
        <v>74</v>
      </c>
      <c r="P726" t="s">
        <v>74</v>
      </c>
      <c r="Q726" t="s">
        <v>74</v>
      </c>
      <c r="R726" t="s">
        <v>74</v>
      </c>
      <c r="S726" t="s">
        <v>74</v>
      </c>
      <c r="T726" t="s">
        <v>12767</v>
      </c>
      <c r="U726" t="s">
        <v>74</v>
      </c>
      <c r="V726" t="s">
        <v>12768</v>
      </c>
      <c r="W726" t="s">
        <v>12769</v>
      </c>
      <c r="X726" t="s">
        <v>12770</v>
      </c>
      <c r="Y726" t="s">
        <v>12771</v>
      </c>
      <c r="Z726" t="s">
        <v>12772</v>
      </c>
      <c r="AA726" t="s">
        <v>12773</v>
      </c>
      <c r="AB726" t="s">
        <v>12774</v>
      </c>
      <c r="AC726" t="s">
        <v>74</v>
      </c>
      <c r="AD726" t="s">
        <v>74</v>
      </c>
      <c r="AE726" t="s">
        <v>74</v>
      </c>
      <c r="AF726" t="s">
        <v>74</v>
      </c>
      <c r="AG726">
        <v>7</v>
      </c>
      <c r="AH726">
        <v>0</v>
      </c>
      <c r="AI726">
        <v>0</v>
      </c>
      <c r="AJ726">
        <v>0</v>
      </c>
      <c r="AK726">
        <v>0</v>
      </c>
      <c r="AL726" t="s">
        <v>4239</v>
      </c>
      <c r="AM726" t="s">
        <v>475</v>
      </c>
      <c r="AN726" t="s">
        <v>4240</v>
      </c>
      <c r="AO726" t="s">
        <v>12775</v>
      </c>
      <c r="AP726" t="s">
        <v>12776</v>
      </c>
      <c r="AQ726" t="s">
        <v>74</v>
      </c>
      <c r="AR726" t="s">
        <v>12777</v>
      </c>
      <c r="AS726" t="s">
        <v>12778</v>
      </c>
      <c r="AT726" t="s">
        <v>74</v>
      </c>
      <c r="AU726">
        <v>2011</v>
      </c>
      <c r="AV726">
        <v>48</v>
      </c>
      <c r="AW726">
        <v>3</v>
      </c>
      <c r="AX726" t="s">
        <v>74</v>
      </c>
      <c r="AY726" t="s">
        <v>74</v>
      </c>
      <c r="AZ726" t="s">
        <v>74</v>
      </c>
      <c r="BA726" t="s">
        <v>74</v>
      </c>
      <c r="BB726">
        <v>71</v>
      </c>
      <c r="BC726">
        <v>80</v>
      </c>
      <c r="BD726" t="s">
        <v>74</v>
      </c>
      <c r="BE726" t="s">
        <v>12779</v>
      </c>
      <c r="BF726" t="str">
        <f>HYPERLINK("http://dx.doi.org/10.1080/00368121.2010.532836","http://dx.doi.org/10.1080/00368121.2010.532836")</f>
        <v>http://dx.doi.org/10.1080/00368121.2010.532836</v>
      </c>
      <c r="BG726" t="s">
        <v>74</v>
      </c>
      <c r="BH726" t="s">
        <v>74</v>
      </c>
      <c r="BI726">
        <v>10</v>
      </c>
      <c r="BJ726" t="s">
        <v>12780</v>
      </c>
      <c r="BK726" t="s">
        <v>6441</v>
      </c>
      <c r="BL726" t="s">
        <v>12780</v>
      </c>
      <c r="BM726" t="s">
        <v>12781</v>
      </c>
      <c r="BN726" t="s">
        <v>74</v>
      </c>
      <c r="BO726" t="s">
        <v>74</v>
      </c>
      <c r="BP726" t="s">
        <v>74</v>
      </c>
      <c r="BQ726" t="s">
        <v>74</v>
      </c>
      <c r="BR726" t="s">
        <v>103</v>
      </c>
      <c r="BS726" t="s">
        <v>12782</v>
      </c>
      <c r="BT726" t="str">
        <f>HYPERLINK("https%3A%2F%2Fwww.webofscience.com%2Fwos%2Fwoscc%2Ffull-record%2FWOS:000218389500001","View Full Record in Web of Science")</f>
        <v>View Full Record in Web of Science</v>
      </c>
    </row>
    <row r="727" spans="1:72" x14ac:dyDescent="0.15">
      <c r="A727" t="s">
        <v>2363</v>
      </c>
      <c r="B727" t="s">
        <v>11486</v>
      </c>
      <c r="C727" t="s">
        <v>74</v>
      </c>
      <c r="D727" t="s">
        <v>12783</v>
      </c>
      <c r="E727" t="s">
        <v>74</v>
      </c>
      <c r="F727" t="s">
        <v>11487</v>
      </c>
      <c r="G727" t="s">
        <v>74</v>
      </c>
      <c r="H727" t="s">
        <v>74</v>
      </c>
      <c r="I727" t="s">
        <v>12784</v>
      </c>
      <c r="J727" t="s">
        <v>12785</v>
      </c>
      <c r="K727" t="s">
        <v>12786</v>
      </c>
      <c r="L727" t="s">
        <v>74</v>
      </c>
      <c r="M727" t="s">
        <v>78</v>
      </c>
      <c r="N727" t="s">
        <v>2370</v>
      </c>
      <c r="O727" t="s">
        <v>74</v>
      </c>
      <c r="P727" t="s">
        <v>74</v>
      </c>
      <c r="Q727" t="s">
        <v>74</v>
      </c>
      <c r="R727" t="s">
        <v>74</v>
      </c>
      <c r="S727" t="s">
        <v>74</v>
      </c>
      <c r="T727" t="s">
        <v>74</v>
      </c>
      <c r="U727" t="s">
        <v>74</v>
      </c>
      <c r="V727" t="s">
        <v>74</v>
      </c>
      <c r="W727" t="s">
        <v>12787</v>
      </c>
      <c r="X727" t="s">
        <v>11492</v>
      </c>
      <c r="Y727" t="s">
        <v>12788</v>
      </c>
      <c r="Z727" t="s">
        <v>74</v>
      </c>
      <c r="AA727" t="s">
        <v>74</v>
      </c>
      <c r="AB727" t="s">
        <v>74</v>
      </c>
      <c r="AC727" t="s">
        <v>74</v>
      </c>
      <c r="AD727" t="s">
        <v>74</v>
      </c>
      <c r="AE727" t="s">
        <v>74</v>
      </c>
      <c r="AF727" t="s">
        <v>74</v>
      </c>
      <c r="AG727">
        <v>47</v>
      </c>
      <c r="AH727">
        <v>1</v>
      </c>
      <c r="AI727">
        <v>1</v>
      </c>
      <c r="AJ727">
        <v>0</v>
      </c>
      <c r="AK727">
        <v>1</v>
      </c>
      <c r="AL727" t="s">
        <v>8592</v>
      </c>
      <c r="AM727" t="s">
        <v>8593</v>
      </c>
      <c r="AN727" t="s">
        <v>8594</v>
      </c>
      <c r="AO727" t="s">
        <v>74</v>
      </c>
      <c r="AP727" t="s">
        <v>74</v>
      </c>
      <c r="AQ727" t="s">
        <v>12789</v>
      </c>
      <c r="AR727" t="s">
        <v>12790</v>
      </c>
      <c r="AS727" t="s">
        <v>74</v>
      </c>
      <c r="AT727" t="s">
        <v>74</v>
      </c>
      <c r="AU727">
        <v>2011</v>
      </c>
      <c r="AV727" t="s">
        <v>74</v>
      </c>
      <c r="AW727" t="s">
        <v>74</v>
      </c>
      <c r="AX727" t="s">
        <v>74</v>
      </c>
      <c r="AY727" t="s">
        <v>74</v>
      </c>
      <c r="AZ727" t="s">
        <v>74</v>
      </c>
      <c r="BA727" t="s">
        <v>74</v>
      </c>
      <c r="BB727">
        <v>232</v>
      </c>
      <c r="BC727">
        <v>252</v>
      </c>
      <c r="BD727" t="s">
        <v>74</v>
      </c>
      <c r="BE727" t="s">
        <v>74</v>
      </c>
      <c r="BF727" t="s">
        <v>74</v>
      </c>
      <c r="BG727" t="s">
        <v>12791</v>
      </c>
      <c r="BH727" t="s">
        <v>74</v>
      </c>
      <c r="BI727">
        <v>21</v>
      </c>
      <c r="BJ727" t="s">
        <v>12792</v>
      </c>
      <c r="BK727" t="s">
        <v>3058</v>
      </c>
      <c r="BL727" t="s">
        <v>12793</v>
      </c>
      <c r="BM727" t="s">
        <v>12794</v>
      </c>
      <c r="BN727" t="s">
        <v>74</v>
      </c>
      <c r="BO727" t="s">
        <v>74</v>
      </c>
      <c r="BP727" t="s">
        <v>74</v>
      </c>
      <c r="BQ727" t="s">
        <v>74</v>
      </c>
      <c r="BR727" t="s">
        <v>103</v>
      </c>
      <c r="BS727" t="s">
        <v>12795</v>
      </c>
      <c r="BT727" t="str">
        <f>HYPERLINK("https%3A%2F%2Fwww.webofscience.com%2Fwos%2Fwoscc%2Ffull-record%2FWOS:000306859300012","View Full Record in Web of Science")</f>
        <v>View Full Record in Web of Science</v>
      </c>
    </row>
    <row r="728" spans="1:72" x14ac:dyDescent="0.15">
      <c r="A728" t="s">
        <v>2268</v>
      </c>
      <c r="B728" t="s">
        <v>12796</v>
      </c>
      <c r="C728" t="s">
        <v>74</v>
      </c>
      <c r="D728" t="s">
        <v>12797</v>
      </c>
      <c r="E728" t="s">
        <v>74</v>
      </c>
      <c r="F728" t="s">
        <v>12798</v>
      </c>
      <c r="G728" t="s">
        <v>74</v>
      </c>
      <c r="H728" t="s">
        <v>74</v>
      </c>
      <c r="I728" t="s">
        <v>12799</v>
      </c>
      <c r="J728" t="s">
        <v>12800</v>
      </c>
      <c r="K728" t="s">
        <v>12801</v>
      </c>
      <c r="L728" t="s">
        <v>74</v>
      </c>
      <c r="M728" t="s">
        <v>78</v>
      </c>
      <c r="N728" t="s">
        <v>2275</v>
      </c>
      <c r="O728" t="s">
        <v>12802</v>
      </c>
      <c r="P728" t="s">
        <v>12803</v>
      </c>
      <c r="Q728" t="s">
        <v>12804</v>
      </c>
      <c r="R728" t="s">
        <v>74</v>
      </c>
      <c r="S728" t="s">
        <v>74</v>
      </c>
      <c r="T728" t="s">
        <v>74</v>
      </c>
      <c r="U728" t="s">
        <v>74</v>
      </c>
      <c r="V728" t="s">
        <v>12805</v>
      </c>
      <c r="W728" t="s">
        <v>12806</v>
      </c>
      <c r="X728" t="s">
        <v>12807</v>
      </c>
      <c r="Y728" t="s">
        <v>12808</v>
      </c>
      <c r="Z728" t="s">
        <v>12809</v>
      </c>
      <c r="AA728" t="s">
        <v>12810</v>
      </c>
      <c r="AB728" t="s">
        <v>12811</v>
      </c>
      <c r="AC728" t="s">
        <v>74</v>
      </c>
      <c r="AD728" t="s">
        <v>74</v>
      </c>
      <c r="AE728" t="s">
        <v>74</v>
      </c>
      <c r="AF728" t="s">
        <v>74</v>
      </c>
      <c r="AG728">
        <v>15</v>
      </c>
      <c r="AH728">
        <v>3</v>
      </c>
      <c r="AI728">
        <v>3</v>
      </c>
      <c r="AJ728">
        <v>0</v>
      </c>
      <c r="AK728">
        <v>6</v>
      </c>
      <c r="AL728" t="s">
        <v>12812</v>
      </c>
      <c r="AM728" t="s">
        <v>12813</v>
      </c>
      <c r="AN728" t="s">
        <v>12814</v>
      </c>
      <c r="AO728" t="s">
        <v>12815</v>
      </c>
      <c r="AP728" t="s">
        <v>74</v>
      </c>
      <c r="AQ728" t="s">
        <v>74</v>
      </c>
      <c r="AR728" t="s">
        <v>12816</v>
      </c>
      <c r="AS728" t="s">
        <v>12817</v>
      </c>
      <c r="AT728" t="s">
        <v>74</v>
      </c>
      <c r="AU728">
        <v>2011</v>
      </c>
      <c r="AV728">
        <v>64</v>
      </c>
      <c r="AW728" t="s">
        <v>74</v>
      </c>
      <c r="AX728" t="s">
        <v>74</v>
      </c>
      <c r="AY728" t="s">
        <v>74</v>
      </c>
      <c r="AZ728" t="s">
        <v>74</v>
      </c>
      <c r="BA728" t="s">
        <v>74</v>
      </c>
      <c r="BB728">
        <v>109</v>
      </c>
      <c r="BC728">
        <v>117</v>
      </c>
      <c r="BD728" t="s">
        <v>74</v>
      </c>
      <c r="BE728" t="s">
        <v>74</v>
      </c>
      <c r="BF728" t="s">
        <v>74</v>
      </c>
      <c r="BG728" t="s">
        <v>74</v>
      </c>
      <c r="BH728" t="s">
        <v>74</v>
      </c>
      <c r="BI728">
        <v>9</v>
      </c>
      <c r="BJ728" t="s">
        <v>12818</v>
      </c>
      <c r="BK728" t="s">
        <v>12819</v>
      </c>
      <c r="BL728" t="s">
        <v>870</v>
      </c>
      <c r="BM728" t="s">
        <v>12820</v>
      </c>
      <c r="BN728" t="s">
        <v>74</v>
      </c>
      <c r="BO728" t="s">
        <v>74</v>
      </c>
      <c r="BP728" t="s">
        <v>74</v>
      </c>
      <c r="BQ728" t="s">
        <v>74</v>
      </c>
      <c r="BR728" t="s">
        <v>103</v>
      </c>
      <c r="BS728" t="s">
        <v>12821</v>
      </c>
      <c r="BT728" t="str">
        <f>HYPERLINK("https%3A%2F%2Fwww.webofscience.com%2Fwos%2Fwoscc%2Ffull-record%2FWOS:000398977000015","View Full Record in Web of Science")</f>
        <v>View Full Record in Web of Science</v>
      </c>
    </row>
    <row r="729" spans="1:72" x14ac:dyDescent="0.15">
      <c r="A729" t="s">
        <v>2268</v>
      </c>
      <c r="B729" t="s">
        <v>12822</v>
      </c>
      <c r="C729" t="s">
        <v>74</v>
      </c>
      <c r="D729" t="s">
        <v>12797</v>
      </c>
      <c r="E729" t="s">
        <v>74</v>
      </c>
      <c r="F729" t="s">
        <v>12823</v>
      </c>
      <c r="G729" t="s">
        <v>74</v>
      </c>
      <c r="H729" t="s">
        <v>74</v>
      </c>
      <c r="I729" t="s">
        <v>12824</v>
      </c>
      <c r="J729" t="s">
        <v>12800</v>
      </c>
      <c r="K729" t="s">
        <v>12801</v>
      </c>
      <c r="L729" t="s">
        <v>74</v>
      </c>
      <c r="M729" t="s">
        <v>78</v>
      </c>
      <c r="N729" t="s">
        <v>2275</v>
      </c>
      <c r="O729" t="s">
        <v>12802</v>
      </c>
      <c r="P729" t="s">
        <v>12803</v>
      </c>
      <c r="Q729" t="s">
        <v>12804</v>
      </c>
      <c r="R729" t="s">
        <v>74</v>
      </c>
      <c r="S729" t="s">
        <v>74</v>
      </c>
      <c r="T729" t="s">
        <v>74</v>
      </c>
      <c r="U729" t="s">
        <v>74</v>
      </c>
      <c r="V729" t="s">
        <v>12825</v>
      </c>
      <c r="W729" t="s">
        <v>12826</v>
      </c>
      <c r="X729" t="s">
        <v>12827</v>
      </c>
      <c r="Y729" t="s">
        <v>12808</v>
      </c>
      <c r="Z729" t="s">
        <v>12828</v>
      </c>
      <c r="AA729" t="s">
        <v>74</v>
      </c>
      <c r="AB729" t="s">
        <v>74</v>
      </c>
      <c r="AC729" t="s">
        <v>74</v>
      </c>
      <c r="AD729" t="s">
        <v>74</v>
      </c>
      <c r="AE729" t="s">
        <v>74</v>
      </c>
      <c r="AF729" t="s">
        <v>74</v>
      </c>
      <c r="AG729">
        <v>18</v>
      </c>
      <c r="AH729">
        <v>2</v>
      </c>
      <c r="AI729">
        <v>2</v>
      </c>
      <c r="AJ729">
        <v>1</v>
      </c>
      <c r="AK729">
        <v>5</v>
      </c>
      <c r="AL729" t="s">
        <v>12812</v>
      </c>
      <c r="AM729" t="s">
        <v>12813</v>
      </c>
      <c r="AN729" t="s">
        <v>12814</v>
      </c>
      <c r="AO729" t="s">
        <v>12815</v>
      </c>
      <c r="AP729" t="s">
        <v>74</v>
      </c>
      <c r="AQ729" t="s">
        <v>74</v>
      </c>
      <c r="AR729" t="s">
        <v>12816</v>
      </c>
      <c r="AS729" t="s">
        <v>12817</v>
      </c>
      <c r="AT729" t="s">
        <v>74</v>
      </c>
      <c r="AU729">
        <v>2011</v>
      </c>
      <c r="AV729">
        <v>64</v>
      </c>
      <c r="AW729" t="s">
        <v>74</v>
      </c>
      <c r="AX729" t="s">
        <v>74</v>
      </c>
      <c r="AY729" t="s">
        <v>74</v>
      </c>
      <c r="AZ729" t="s">
        <v>74</v>
      </c>
      <c r="BA729" t="s">
        <v>74</v>
      </c>
      <c r="BB729">
        <v>147</v>
      </c>
      <c r="BC729">
        <v>152</v>
      </c>
      <c r="BD729" t="s">
        <v>74</v>
      </c>
      <c r="BE729" t="s">
        <v>74</v>
      </c>
      <c r="BF729" t="s">
        <v>74</v>
      </c>
      <c r="BG729" t="s">
        <v>74</v>
      </c>
      <c r="BH729" t="s">
        <v>74</v>
      </c>
      <c r="BI729">
        <v>6</v>
      </c>
      <c r="BJ729" t="s">
        <v>12818</v>
      </c>
      <c r="BK729" t="s">
        <v>12819</v>
      </c>
      <c r="BL729" t="s">
        <v>870</v>
      </c>
      <c r="BM729" t="s">
        <v>12820</v>
      </c>
      <c r="BN729" t="s">
        <v>74</v>
      </c>
      <c r="BO729" t="s">
        <v>74</v>
      </c>
      <c r="BP729" t="s">
        <v>74</v>
      </c>
      <c r="BQ729" t="s">
        <v>74</v>
      </c>
      <c r="BR729" t="s">
        <v>103</v>
      </c>
      <c r="BS729" t="s">
        <v>12829</v>
      </c>
      <c r="BT729" t="str">
        <f>HYPERLINK("https%3A%2F%2Fwww.webofscience.com%2Fwos%2Fwoscc%2Ffull-record%2FWOS:000398977000021","View Full Record in Web of Science")</f>
        <v>View Full Record in Web of Science</v>
      </c>
    </row>
    <row r="730" spans="1:72" x14ac:dyDescent="0.15">
      <c r="A730" t="s">
        <v>2268</v>
      </c>
      <c r="B730" t="s">
        <v>12830</v>
      </c>
      <c r="C730" t="s">
        <v>74</v>
      </c>
      <c r="D730" t="s">
        <v>12797</v>
      </c>
      <c r="E730" t="s">
        <v>74</v>
      </c>
      <c r="F730" t="s">
        <v>12831</v>
      </c>
      <c r="G730" t="s">
        <v>74</v>
      </c>
      <c r="H730" t="s">
        <v>74</v>
      </c>
      <c r="I730" t="s">
        <v>12832</v>
      </c>
      <c r="J730" t="s">
        <v>12800</v>
      </c>
      <c r="K730" t="s">
        <v>12801</v>
      </c>
      <c r="L730" t="s">
        <v>74</v>
      </c>
      <c r="M730" t="s">
        <v>78</v>
      </c>
      <c r="N730" t="s">
        <v>2275</v>
      </c>
      <c r="O730" t="s">
        <v>12802</v>
      </c>
      <c r="P730" t="s">
        <v>12803</v>
      </c>
      <c r="Q730" t="s">
        <v>12804</v>
      </c>
      <c r="R730" t="s">
        <v>74</v>
      </c>
      <c r="S730" t="s">
        <v>74</v>
      </c>
      <c r="T730" t="s">
        <v>74</v>
      </c>
      <c r="U730" t="s">
        <v>74</v>
      </c>
      <c r="V730" t="s">
        <v>12833</v>
      </c>
      <c r="W730" t="s">
        <v>12834</v>
      </c>
      <c r="X730" t="s">
        <v>12835</v>
      </c>
      <c r="Y730" t="s">
        <v>12836</v>
      </c>
      <c r="Z730" t="s">
        <v>12837</v>
      </c>
      <c r="AA730" t="s">
        <v>74</v>
      </c>
      <c r="AB730" t="s">
        <v>74</v>
      </c>
      <c r="AC730" t="s">
        <v>74</v>
      </c>
      <c r="AD730" t="s">
        <v>74</v>
      </c>
      <c r="AE730" t="s">
        <v>74</v>
      </c>
      <c r="AF730" t="s">
        <v>74</v>
      </c>
      <c r="AG730">
        <v>6</v>
      </c>
      <c r="AH730">
        <v>1</v>
      </c>
      <c r="AI730">
        <v>1</v>
      </c>
      <c r="AJ730">
        <v>0</v>
      </c>
      <c r="AK730">
        <v>7</v>
      </c>
      <c r="AL730" t="s">
        <v>12812</v>
      </c>
      <c r="AM730" t="s">
        <v>12813</v>
      </c>
      <c r="AN730" t="s">
        <v>12814</v>
      </c>
      <c r="AO730" t="s">
        <v>12815</v>
      </c>
      <c r="AP730" t="s">
        <v>74</v>
      </c>
      <c r="AQ730" t="s">
        <v>74</v>
      </c>
      <c r="AR730" t="s">
        <v>12816</v>
      </c>
      <c r="AS730" t="s">
        <v>12817</v>
      </c>
      <c r="AT730" t="s">
        <v>74</v>
      </c>
      <c r="AU730">
        <v>2011</v>
      </c>
      <c r="AV730">
        <v>64</v>
      </c>
      <c r="AW730" t="s">
        <v>74</v>
      </c>
      <c r="AX730" t="s">
        <v>74</v>
      </c>
      <c r="AY730" t="s">
        <v>74</v>
      </c>
      <c r="AZ730" t="s">
        <v>74</v>
      </c>
      <c r="BA730" t="s">
        <v>74</v>
      </c>
      <c r="BB730">
        <v>178</v>
      </c>
      <c r="BC730">
        <v>181</v>
      </c>
      <c r="BD730" t="s">
        <v>74</v>
      </c>
      <c r="BE730" t="s">
        <v>74</v>
      </c>
      <c r="BF730" t="s">
        <v>74</v>
      </c>
      <c r="BG730" t="s">
        <v>74</v>
      </c>
      <c r="BH730" t="s">
        <v>74</v>
      </c>
      <c r="BI730">
        <v>4</v>
      </c>
      <c r="BJ730" t="s">
        <v>12818</v>
      </c>
      <c r="BK730" t="s">
        <v>12819</v>
      </c>
      <c r="BL730" t="s">
        <v>870</v>
      </c>
      <c r="BM730" t="s">
        <v>12820</v>
      </c>
      <c r="BN730" t="s">
        <v>74</v>
      </c>
      <c r="BO730" t="s">
        <v>74</v>
      </c>
      <c r="BP730" t="s">
        <v>74</v>
      </c>
      <c r="BQ730" t="s">
        <v>74</v>
      </c>
      <c r="BR730" t="s">
        <v>103</v>
      </c>
      <c r="BS730" t="s">
        <v>12838</v>
      </c>
      <c r="BT730" t="str">
        <f>HYPERLINK("https%3A%2F%2Fwww.webofscience.com%2Fwos%2Fwoscc%2Ffull-record%2FWOS:000398977000025","View Full Record in Web of Science")</f>
        <v>View Full Record in Web of Science</v>
      </c>
    </row>
    <row r="731" spans="1:72" x14ac:dyDescent="0.15">
      <c r="A731" t="s">
        <v>2268</v>
      </c>
      <c r="B731" t="s">
        <v>12839</v>
      </c>
      <c r="C731" t="s">
        <v>74</v>
      </c>
      <c r="D731" t="s">
        <v>2670</v>
      </c>
      <c r="E731" t="s">
        <v>74</v>
      </c>
      <c r="F731" t="s">
        <v>12840</v>
      </c>
      <c r="G731" t="s">
        <v>74</v>
      </c>
      <c r="H731" t="s">
        <v>74</v>
      </c>
      <c r="I731" t="s">
        <v>12841</v>
      </c>
      <c r="J731" t="s">
        <v>2673</v>
      </c>
      <c r="K731" t="s">
        <v>74</v>
      </c>
      <c r="L731" t="s">
        <v>74</v>
      </c>
      <c r="M731" t="s">
        <v>78</v>
      </c>
      <c r="N731" t="s">
        <v>2275</v>
      </c>
      <c r="O731" t="s">
        <v>2674</v>
      </c>
      <c r="P731" t="s">
        <v>2675</v>
      </c>
      <c r="Q731" t="s">
        <v>2676</v>
      </c>
      <c r="R731" t="s">
        <v>74</v>
      </c>
      <c r="S731" t="s">
        <v>2677</v>
      </c>
      <c r="T731" t="s">
        <v>74</v>
      </c>
      <c r="U731" t="s">
        <v>74</v>
      </c>
      <c r="V731" t="s">
        <v>74</v>
      </c>
      <c r="W731" t="s">
        <v>12842</v>
      </c>
      <c r="X731" t="s">
        <v>74</v>
      </c>
      <c r="Y731" t="s">
        <v>74</v>
      </c>
      <c r="Z731" t="s">
        <v>12843</v>
      </c>
      <c r="AA731" t="s">
        <v>74</v>
      </c>
      <c r="AB731" t="s">
        <v>74</v>
      </c>
      <c r="AC731" t="s">
        <v>74</v>
      </c>
      <c r="AD731" t="s">
        <v>74</v>
      </c>
      <c r="AE731" t="s">
        <v>74</v>
      </c>
      <c r="AF731" t="s">
        <v>74</v>
      </c>
      <c r="AG731">
        <v>33</v>
      </c>
      <c r="AH731">
        <v>9</v>
      </c>
      <c r="AI731">
        <v>12</v>
      </c>
      <c r="AJ731">
        <v>0</v>
      </c>
      <c r="AK731">
        <v>4</v>
      </c>
      <c r="AL731" t="s">
        <v>2682</v>
      </c>
      <c r="AM731" t="s">
        <v>241</v>
      </c>
      <c r="AN731" t="s">
        <v>2683</v>
      </c>
      <c r="AO731" t="s">
        <v>74</v>
      </c>
      <c r="AP731" t="s">
        <v>74</v>
      </c>
      <c r="AQ731" t="s">
        <v>2684</v>
      </c>
      <c r="AR731" t="s">
        <v>74</v>
      </c>
      <c r="AS731" t="s">
        <v>74</v>
      </c>
      <c r="AT731" t="s">
        <v>74</v>
      </c>
      <c r="AU731">
        <v>2011</v>
      </c>
      <c r="AV731" t="s">
        <v>74</v>
      </c>
      <c r="AW731" t="s">
        <v>74</v>
      </c>
      <c r="AX731" t="s">
        <v>74</v>
      </c>
      <c r="AY731" t="s">
        <v>74</v>
      </c>
      <c r="AZ731" t="s">
        <v>74</v>
      </c>
      <c r="BA731" t="s">
        <v>74</v>
      </c>
      <c r="BB731">
        <v>1</v>
      </c>
      <c r="BC731">
        <v>15</v>
      </c>
      <c r="BD731" t="s">
        <v>74</v>
      </c>
      <c r="BE731" t="s">
        <v>74</v>
      </c>
      <c r="BF731" t="s">
        <v>74</v>
      </c>
      <c r="BG731" t="s">
        <v>74</v>
      </c>
      <c r="BH731" t="s">
        <v>74</v>
      </c>
      <c r="BI731">
        <v>15</v>
      </c>
      <c r="BJ731" t="s">
        <v>2685</v>
      </c>
      <c r="BK731" t="s">
        <v>2686</v>
      </c>
      <c r="BL731" t="s">
        <v>2687</v>
      </c>
      <c r="BM731" t="s">
        <v>2688</v>
      </c>
      <c r="BN731" t="s">
        <v>74</v>
      </c>
      <c r="BO731" t="s">
        <v>74</v>
      </c>
      <c r="BP731" t="s">
        <v>74</v>
      </c>
      <c r="BQ731" t="s">
        <v>74</v>
      </c>
      <c r="BR731" t="s">
        <v>103</v>
      </c>
      <c r="BS731" t="s">
        <v>12844</v>
      </c>
      <c r="BT731" t="str">
        <f>HYPERLINK("https%3A%2F%2Fwww.webofscience.com%2Fwos%2Fwoscc%2Ffull-record%2FWOS:000301091500001","View Full Record in Web of Science")</f>
        <v>View Full Record in Web of Science</v>
      </c>
    </row>
    <row r="732" spans="1:72" x14ac:dyDescent="0.15">
      <c r="A732" t="s">
        <v>2268</v>
      </c>
      <c r="B732" t="s">
        <v>12845</v>
      </c>
      <c r="C732" t="s">
        <v>74</v>
      </c>
      <c r="D732" t="s">
        <v>2670</v>
      </c>
      <c r="E732" t="s">
        <v>74</v>
      </c>
      <c r="F732" t="s">
        <v>12846</v>
      </c>
      <c r="G732" t="s">
        <v>74</v>
      </c>
      <c r="H732" t="s">
        <v>74</v>
      </c>
      <c r="I732" t="s">
        <v>12847</v>
      </c>
      <c r="J732" t="s">
        <v>2673</v>
      </c>
      <c r="K732" t="s">
        <v>74</v>
      </c>
      <c r="L732" t="s">
        <v>74</v>
      </c>
      <c r="M732" t="s">
        <v>78</v>
      </c>
      <c r="N732" t="s">
        <v>2275</v>
      </c>
      <c r="O732" t="s">
        <v>2674</v>
      </c>
      <c r="P732" t="s">
        <v>2675</v>
      </c>
      <c r="Q732" t="s">
        <v>2676</v>
      </c>
      <c r="R732" t="s">
        <v>74</v>
      </c>
      <c r="S732" t="s">
        <v>2677</v>
      </c>
      <c r="T732" t="s">
        <v>74</v>
      </c>
      <c r="U732" t="s">
        <v>74</v>
      </c>
      <c r="V732" t="s">
        <v>12848</v>
      </c>
      <c r="W732" t="s">
        <v>12849</v>
      </c>
      <c r="X732" t="s">
        <v>74</v>
      </c>
      <c r="Y732" t="s">
        <v>74</v>
      </c>
      <c r="Z732" t="s">
        <v>12850</v>
      </c>
      <c r="AA732" t="s">
        <v>74</v>
      </c>
      <c r="AB732" t="s">
        <v>74</v>
      </c>
      <c r="AC732" t="s">
        <v>74</v>
      </c>
      <c r="AD732" t="s">
        <v>74</v>
      </c>
      <c r="AE732" t="s">
        <v>74</v>
      </c>
      <c r="AF732" t="s">
        <v>74</v>
      </c>
      <c r="AG732">
        <v>0</v>
      </c>
      <c r="AH732">
        <v>13</v>
      </c>
      <c r="AI732">
        <v>17</v>
      </c>
      <c r="AJ732">
        <v>0</v>
      </c>
      <c r="AK732">
        <v>13</v>
      </c>
      <c r="AL732" t="s">
        <v>2682</v>
      </c>
      <c r="AM732" t="s">
        <v>241</v>
      </c>
      <c r="AN732" t="s">
        <v>2683</v>
      </c>
      <c r="AO732" t="s">
        <v>74</v>
      </c>
      <c r="AP732" t="s">
        <v>74</v>
      </c>
      <c r="AQ732" t="s">
        <v>2684</v>
      </c>
      <c r="AR732" t="s">
        <v>74</v>
      </c>
      <c r="AS732" t="s">
        <v>74</v>
      </c>
      <c r="AT732" t="s">
        <v>74</v>
      </c>
      <c r="AU732">
        <v>2011</v>
      </c>
      <c r="AV732" t="s">
        <v>74</v>
      </c>
      <c r="AW732" t="s">
        <v>74</v>
      </c>
      <c r="AX732" t="s">
        <v>74</v>
      </c>
      <c r="AY732" t="s">
        <v>74</v>
      </c>
      <c r="AZ732" t="s">
        <v>74</v>
      </c>
      <c r="BA732" t="s">
        <v>74</v>
      </c>
      <c r="BB732">
        <v>29</v>
      </c>
      <c r="BC732">
        <v>38</v>
      </c>
      <c r="BD732" t="s">
        <v>74</v>
      </c>
      <c r="BE732" t="s">
        <v>74</v>
      </c>
      <c r="BF732" t="s">
        <v>74</v>
      </c>
      <c r="BG732" t="s">
        <v>74</v>
      </c>
      <c r="BH732" t="s">
        <v>74</v>
      </c>
      <c r="BI732">
        <v>10</v>
      </c>
      <c r="BJ732" t="s">
        <v>2685</v>
      </c>
      <c r="BK732" t="s">
        <v>2686</v>
      </c>
      <c r="BL732" t="s">
        <v>2687</v>
      </c>
      <c r="BM732" t="s">
        <v>2688</v>
      </c>
      <c r="BN732" t="s">
        <v>74</v>
      </c>
      <c r="BO732" t="s">
        <v>74</v>
      </c>
      <c r="BP732" t="s">
        <v>74</v>
      </c>
      <c r="BQ732" t="s">
        <v>74</v>
      </c>
      <c r="BR732" t="s">
        <v>103</v>
      </c>
      <c r="BS732" t="s">
        <v>12851</v>
      </c>
      <c r="BT732" t="str">
        <f>HYPERLINK("https%3A%2F%2Fwww.webofscience.com%2Fwos%2Fwoscc%2Ffull-record%2FWOS:000301091500003","View Full Record in Web of Science")</f>
        <v>View Full Record in Web of Science</v>
      </c>
    </row>
    <row r="733" spans="1:72" x14ac:dyDescent="0.15">
      <c r="A733" t="s">
        <v>2268</v>
      </c>
      <c r="B733" t="s">
        <v>12852</v>
      </c>
      <c r="C733" t="s">
        <v>74</v>
      </c>
      <c r="D733" t="s">
        <v>2670</v>
      </c>
      <c r="E733" t="s">
        <v>74</v>
      </c>
      <c r="F733" t="s">
        <v>12853</v>
      </c>
      <c r="G733" t="s">
        <v>74</v>
      </c>
      <c r="H733" t="s">
        <v>74</v>
      </c>
      <c r="I733" t="s">
        <v>12854</v>
      </c>
      <c r="J733" t="s">
        <v>2673</v>
      </c>
      <c r="K733" t="s">
        <v>74</v>
      </c>
      <c r="L733" t="s">
        <v>74</v>
      </c>
      <c r="M733" t="s">
        <v>78</v>
      </c>
      <c r="N733" t="s">
        <v>2275</v>
      </c>
      <c r="O733" t="s">
        <v>2674</v>
      </c>
      <c r="P733" t="s">
        <v>2675</v>
      </c>
      <c r="Q733" t="s">
        <v>2676</v>
      </c>
      <c r="R733" t="s">
        <v>74</v>
      </c>
      <c r="S733" t="s">
        <v>2677</v>
      </c>
      <c r="T733" t="s">
        <v>74</v>
      </c>
      <c r="U733" t="s">
        <v>74</v>
      </c>
      <c r="V733" t="s">
        <v>74</v>
      </c>
      <c r="W733" t="s">
        <v>12855</v>
      </c>
      <c r="X733" t="s">
        <v>74</v>
      </c>
      <c r="Y733" t="s">
        <v>74</v>
      </c>
      <c r="Z733" t="s">
        <v>12856</v>
      </c>
      <c r="AA733" t="s">
        <v>74</v>
      </c>
      <c r="AB733" t="s">
        <v>74</v>
      </c>
      <c r="AC733" t="s">
        <v>74</v>
      </c>
      <c r="AD733" t="s">
        <v>74</v>
      </c>
      <c r="AE733" t="s">
        <v>74</v>
      </c>
      <c r="AF733" t="s">
        <v>74</v>
      </c>
      <c r="AG733">
        <v>0</v>
      </c>
      <c r="AH733">
        <v>1</v>
      </c>
      <c r="AI733">
        <v>1</v>
      </c>
      <c r="AJ733">
        <v>0</v>
      </c>
      <c r="AK733">
        <v>1</v>
      </c>
      <c r="AL733" t="s">
        <v>2682</v>
      </c>
      <c r="AM733" t="s">
        <v>241</v>
      </c>
      <c r="AN733" t="s">
        <v>2683</v>
      </c>
      <c r="AO733" t="s">
        <v>74</v>
      </c>
      <c r="AP733" t="s">
        <v>74</v>
      </c>
      <c r="AQ733" t="s">
        <v>2684</v>
      </c>
      <c r="AR733" t="s">
        <v>74</v>
      </c>
      <c r="AS733" t="s">
        <v>74</v>
      </c>
      <c r="AT733" t="s">
        <v>74</v>
      </c>
      <c r="AU733">
        <v>2011</v>
      </c>
      <c r="AV733" t="s">
        <v>74</v>
      </c>
      <c r="AW733" t="s">
        <v>74</v>
      </c>
      <c r="AX733" t="s">
        <v>74</v>
      </c>
      <c r="AY733" t="s">
        <v>74</v>
      </c>
      <c r="AZ733" t="s">
        <v>74</v>
      </c>
      <c r="BA733" t="s">
        <v>74</v>
      </c>
      <c r="BB733">
        <v>51</v>
      </c>
      <c r="BC733">
        <v>58</v>
      </c>
      <c r="BD733" t="s">
        <v>74</v>
      </c>
      <c r="BE733" t="s">
        <v>74</v>
      </c>
      <c r="BF733" t="s">
        <v>74</v>
      </c>
      <c r="BG733" t="s">
        <v>74</v>
      </c>
      <c r="BH733" t="s">
        <v>74</v>
      </c>
      <c r="BI733">
        <v>8</v>
      </c>
      <c r="BJ733" t="s">
        <v>2685</v>
      </c>
      <c r="BK733" t="s">
        <v>2686</v>
      </c>
      <c r="BL733" t="s">
        <v>2687</v>
      </c>
      <c r="BM733" t="s">
        <v>2688</v>
      </c>
      <c r="BN733" t="s">
        <v>74</v>
      </c>
      <c r="BO733" t="s">
        <v>74</v>
      </c>
      <c r="BP733" t="s">
        <v>74</v>
      </c>
      <c r="BQ733" t="s">
        <v>74</v>
      </c>
      <c r="BR733" t="s">
        <v>103</v>
      </c>
      <c r="BS733" t="s">
        <v>12857</v>
      </c>
      <c r="BT733" t="str">
        <f>HYPERLINK("https%3A%2F%2Fwww.webofscience.com%2Fwos%2Fwoscc%2Ffull-record%2FWOS:000301091500005","View Full Record in Web of Science")</f>
        <v>View Full Record in Web of Science</v>
      </c>
    </row>
    <row r="734" spans="1:72" x14ac:dyDescent="0.15">
      <c r="A734" t="s">
        <v>2268</v>
      </c>
      <c r="B734" t="s">
        <v>12858</v>
      </c>
      <c r="C734" t="s">
        <v>74</v>
      </c>
      <c r="D734" t="s">
        <v>2670</v>
      </c>
      <c r="E734" t="s">
        <v>74</v>
      </c>
      <c r="F734" t="s">
        <v>12859</v>
      </c>
      <c r="G734" t="s">
        <v>74</v>
      </c>
      <c r="H734" t="s">
        <v>74</v>
      </c>
      <c r="I734" t="s">
        <v>12860</v>
      </c>
      <c r="J734" t="s">
        <v>2673</v>
      </c>
      <c r="K734" t="s">
        <v>74</v>
      </c>
      <c r="L734" t="s">
        <v>74</v>
      </c>
      <c r="M734" t="s">
        <v>78</v>
      </c>
      <c r="N734" t="s">
        <v>2275</v>
      </c>
      <c r="O734" t="s">
        <v>2674</v>
      </c>
      <c r="P734" t="s">
        <v>2675</v>
      </c>
      <c r="Q734" t="s">
        <v>2676</v>
      </c>
      <c r="R734" t="s">
        <v>74</v>
      </c>
      <c r="S734" t="s">
        <v>2677</v>
      </c>
      <c r="T734" t="s">
        <v>74</v>
      </c>
      <c r="U734" t="s">
        <v>74</v>
      </c>
      <c r="V734" t="s">
        <v>74</v>
      </c>
      <c r="W734" t="s">
        <v>12861</v>
      </c>
      <c r="X734" t="s">
        <v>74</v>
      </c>
      <c r="Y734" t="s">
        <v>74</v>
      </c>
      <c r="Z734" t="s">
        <v>12862</v>
      </c>
      <c r="AA734" t="s">
        <v>74</v>
      </c>
      <c r="AB734" t="s">
        <v>74</v>
      </c>
      <c r="AC734" t="s">
        <v>74</v>
      </c>
      <c r="AD734" t="s">
        <v>74</v>
      </c>
      <c r="AE734" t="s">
        <v>74</v>
      </c>
      <c r="AF734" t="s">
        <v>74</v>
      </c>
      <c r="AG734">
        <v>3</v>
      </c>
      <c r="AH734">
        <v>2</v>
      </c>
      <c r="AI734">
        <v>2</v>
      </c>
      <c r="AJ734">
        <v>0</v>
      </c>
      <c r="AK734">
        <v>0</v>
      </c>
      <c r="AL734" t="s">
        <v>2682</v>
      </c>
      <c r="AM734" t="s">
        <v>241</v>
      </c>
      <c r="AN734" t="s">
        <v>2683</v>
      </c>
      <c r="AO734" t="s">
        <v>74</v>
      </c>
      <c r="AP734" t="s">
        <v>74</v>
      </c>
      <c r="AQ734" t="s">
        <v>2684</v>
      </c>
      <c r="AR734" t="s">
        <v>74</v>
      </c>
      <c r="AS734" t="s">
        <v>74</v>
      </c>
      <c r="AT734" t="s">
        <v>74</v>
      </c>
      <c r="AU734">
        <v>2011</v>
      </c>
      <c r="AV734" t="s">
        <v>74</v>
      </c>
      <c r="AW734" t="s">
        <v>74</v>
      </c>
      <c r="AX734" t="s">
        <v>74</v>
      </c>
      <c r="AY734" t="s">
        <v>74</v>
      </c>
      <c r="AZ734" t="s">
        <v>74</v>
      </c>
      <c r="BA734" t="s">
        <v>74</v>
      </c>
      <c r="BB734">
        <v>73</v>
      </c>
      <c r="BC734">
        <v>74</v>
      </c>
      <c r="BD734" t="s">
        <v>74</v>
      </c>
      <c r="BE734" t="s">
        <v>74</v>
      </c>
      <c r="BF734" t="s">
        <v>74</v>
      </c>
      <c r="BG734" t="s">
        <v>74</v>
      </c>
      <c r="BH734" t="s">
        <v>74</v>
      </c>
      <c r="BI734">
        <v>2</v>
      </c>
      <c r="BJ734" t="s">
        <v>2685</v>
      </c>
      <c r="BK734" t="s">
        <v>2686</v>
      </c>
      <c r="BL734" t="s">
        <v>2687</v>
      </c>
      <c r="BM734" t="s">
        <v>2688</v>
      </c>
      <c r="BN734" t="s">
        <v>74</v>
      </c>
      <c r="BO734" t="s">
        <v>74</v>
      </c>
      <c r="BP734" t="s">
        <v>74</v>
      </c>
      <c r="BQ734" t="s">
        <v>74</v>
      </c>
      <c r="BR734" t="s">
        <v>103</v>
      </c>
      <c r="BS734" t="s">
        <v>12863</v>
      </c>
      <c r="BT734" t="str">
        <f>HYPERLINK("https%3A%2F%2Fwww.webofscience.com%2Fwos%2Fwoscc%2Ffull-record%2FWOS:000301091500008","View Full Record in Web of Science")</f>
        <v>View Full Record in Web of Science</v>
      </c>
    </row>
    <row r="735" spans="1:72" x14ac:dyDescent="0.15">
      <c r="A735" t="s">
        <v>2268</v>
      </c>
      <c r="B735" t="s">
        <v>12864</v>
      </c>
      <c r="C735" t="s">
        <v>74</v>
      </c>
      <c r="D735" t="s">
        <v>2670</v>
      </c>
      <c r="E735" t="s">
        <v>74</v>
      </c>
      <c r="F735" t="s">
        <v>12865</v>
      </c>
      <c r="G735" t="s">
        <v>74</v>
      </c>
      <c r="H735" t="s">
        <v>74</v>
      </c>
      <c r="I735" t="s">
        <v>12866</v>
      </c>
      <c r="J735" t="s">
        <v>2673</v>
      </c>
      <c r="K735" t="s">
        <v>74</v>
      </c>
      <c r="L735" t="s">
        <v>74</v>
      </c>
      <c r="M735" t="s">
        <v>78</v>
      </c>
      <c r="N735" t="s">
        <v>2275</v>
      </c>
      <c r="O735" t="s">
        <v>2674</v>
      </c>
      <c r="P735" t="s">
        <v>2675</v>
      </c>
      <c r="Q735" t="s">
        <v>2676</v>
      </c>
      <c r="R735" t="s">
        <v>74</v>
      </c>
      <c r="S735" t="s">
        <v>2677</v>
      </c>
      <c r="T735" t="s">
        <v>74</v>
      </c>
      <c r="U735" t="s">
        <v>74</v>
      </c>
      <c r="V735" t="s">
        <v>74</v>
      </c>
      <c r="W735" t="s">
        <v>12867</v>
      </c>
      <c r="X735" t="s">
        <v>74</v>
      </c>
      <c r="Y735" t="s">
        <v>74</v>
      </c>
      <c r="Z735" t="s">
        <v>12868</v>
      </c>
      <c r="AA735" t="s">
        <v>74</v>
      </c>
      <c r="AB735" t="s">
        <v>74</v>
      </c>
      <c r="AC735" t="s">
        <v>74</v>
      </c>
      <c r="AD735" t="s">
        <v>74</v>
      </c>
      <c r="AE735" t="s">
        <v>74</v>
      </c>
      <c r="AF735" t="s">
        <v>74</v>
      </c>
      <c r="AG735">
        <v>2</v>
      </c>
      <c r="AH735">
        <v>4</v>
      </c>
      <c r="AI735">
        <v>4</v>
      </c>
      <c r="AJ735">
        <v>0</v>
      </c>
      <c r="AK735">
        <v>2</v>
      </c>
      <c r="AL735" t="s">
        <v>2682</v>
      </c>
      <c r="AM735" t="s">
        <v>241</v>
      </c>
      <c r="AN735" t="s">
        <v>2683</v>
      </c>
      <c r="AO735" t="s">
        <v>74</v>
      </c>
      <c r="AP735" t="s">
        <v>74</v>
      </c>
      <c r="AQ735" t="s">
        <v>2684</v>
      </c>
      <c r="AR735" t="s">
        <v>74</v>
      </c>
      <c r="AS735" t="s">
        <v>74</v>
      </c>
      <c r="AT735" t="s">
        <v>74</v>
      </c>
      <c r="AU735">
        <v>2011</v>
      </c>
      <c r="AV735" t="s">
        <v>74</v>
      </c>
      <c r="AW735" t="s">
        <v>74</v>
      </c>
      <c r="AX735" t="s">
        <v>74</v>
      </c>
      <c r="AY735" t="s">
        <v>74</v>
      </c>
      <c r="AZ735" t="s">
        <v>74</v>
      </c>
      <c r="BA735" t="s">
        <v>74</v>
      </c>
      <c r="BB735">
        <v>89</v>
      </c>
      <c r="BC735">
        <v>95</v>
      </c>
      <c r="BD735" t="s">
        <v>74</v>
      </c>
      <c r="BE735" t="s">
        <v>74</v>
      </c>
      <c r="BF735" t="s">
        <v>74</v>
      </c>
      <c r="BG735" t="s">
        <v>74</v>
      </c>
      <c r="BH735" t="s">
        <v>74</v>
      </c>
      <c r="BI735">
        <v>7</v>
      </c>
      <c r="BJ735" t="s">
        <v>2685</v>
      </c>
      <c r="BK735" t="s">
        <v>2686</v>
      </c>
      <c r="BL735" t="s">
        <v>2687</v>
      </c>
      <c r="BM735" t="s">
        <v>2688</v>
      </c>
      <c r="BN735" t="s">
        <v>74</v>
      </c>
      <c r="BO735" t="s">
        <v>74</v>
      </c>
      <c r="BP735" t="s">
        <v>74</v>
      </c>
      <c r="BQ735" t="s">
        <v>74</v>
      </c>
      <c r="BR735" t="s">
        <v>103</v>
      </c>
      <c r="BS735" t="s">
        <v>12869</v>
      </c>
      <c r="BT735" t="str">
        <f>HYPERLINK("https%3A%2F%2Fwww.webofscience.com%2Fwos%2Fwoscc%2Ffull-record%2FWOS:000301091500010","View Full Record in Web of Science")</f>
        <v>View Full Record in Web of Science</v>
      </c>
    </row>
    <row r="736" spans="1:72" x14ac:dyDescent="0.15">
      <c r="A736" t="s">
        <v>2268</v>
      </c>
      <c r="B736" t="s">
        <v>12870</v>
      </c>
      <c r="C736" t="s">
        <v>74</v>
      </c>
      <c r="D736" t="s">
        <v>2670</v>
      </c>
      <c r="E736" t="s">
        <v>74</v>
      </c>
      <c r="F736" t="s">
        <v>12871</v>
      </c>
      <c r="G736" t="s">
        <v>74</v>
      </c>
      <c r="H736" t="s">
        <v>74</v>
      </c>
      <c r="I736" t="s">
        <v>12872</v>
      </c>
      <c r="J736" t="s">
        <v>2673</v>
      </c>
      <c r="K736" t="s">
        <v>74</v>
      </c>
      <c r="L736" t="s">
        <v>74</v>
      </c>
      <c r="M736" t="s">
        <v>78</v>
      </c>
      <c r="N736" t="s">
        <v>2275</v>
      </c>
      <c r="O736" t="s">
        <v>2714</v>
      </c>
      <c r="P736" t="s">
        <v>2675</v>
      </c>
      <c r="Q736" t="s">
        <v>2676</v>
      </c>
      <c r="R736" t="s">
        <v>74</v>
      </c>
      <c r="S736" t="s">
        <v>2677</v>
      </c>
      <c r="T736" t="s">
        <v>74</v>
      </c>
      <c r="U736" t="s">
        <v>12873</v>
      </c>
      <c r="V736" t="s">
        <v>74</v>
      </c>
      <c r="W736" t="s">
        <v>12874</v>
      </c>
      <c r="X736" t="s">
        <v>74</v>
      </c>
      <c r="Y736" t="s">
        <v>74</v>
      </c>
      <c r="Z736" t="s">
        <v>74</v>
      </c>
      <c r="AA736" t="s">
        <v>74</v>
      </c>
      <c r="AB736" t="s">
        <v>74</v>
      </c>
      <c r="AC736" t="s">
        <v>74</v>
      </c>
      <c r="AD736" t="s">
        <v>74</v>
      </c>
      <c r="AE736" t="s">
        <v>74</v>
      </c>
      <c r="AF736" t="s">
        <v>74</v>
      </c>
      <c r="AG736">
        <v>21</v>
      </c>
      <c r="AH736">
        <v>11</v>
      </c>
      <c r="AI736">
        <v>13</v>
      </c>
      <c r="AJ736">
        <v>1</v>
      </c>
      <c r="AK736">
        <v>2</v>
      </c>
      <c r="AL736" t="s">
        <v>2682</v>
      </c>
      <c r="AM736" t="s">
        <v>241</v>
      </c>
      <c r="AN736" t="s">
        <v>2683</v>
      </c>
      <c r="AO736" t="s">
        <v>74</v>
      </c>
      <c r="AP736" t="s">
        <v>74</v>
      </c>
      <c r="AQ736" t="s">
        <v>2684</v>
      </c>
      <c r="AR736" t="s">
        <v>74</v>
      </c>
      <c r="AS736" t="s">
        <v>74</v>
      </c>
      <c r="AT736" t="s">
        <v>74</v>
      </c>
      <c r="AU736">
        <v>2011</v>
      </c>
      <c r="AV736" t="s">
        <v>74</v>
      </c>
      <c r="AW736" t="s">
        <v>74</v>
      </c>
      <c r="AX736" t="s">
        <v>74</v>
      </c>
      <c r="AY736" t="s">
        <v>74</v>
      </c>
      <c r="AZ736" t="s">
        <v>74</v>
      </c>
      <c r="BA736" t="s">
        <v>74</v>
      </c>
      <c r="BB736">
        <v>143</v>
      </c>
      <c r="BC736">
        <v>152</v>
      </c>
      <c r="BD736" t="s">
        <v>74</v>
      </c>
      <c r="BE736" t="s">
        <v>74</v>
      </c>
      <c r="BF736" t="s">
        <v>74</v>
      </c>
      <c r="BG736" t="s">
        <v>74</v>
      </c>
      <c r="BH736" t="s">
        <v>74</v>
      </c>
      <c r="BI736">
        <v>10</v>
      </c>
      <c r="BJ736" t="s">
        <v>2685</v>
      </c>
      <c r="BK736" t="s">
        <v>2686</v>
      </c>
      <c r="BL736" t="s">
        <v>2687</v>
      </c>
      <c r="BM736" t="s">
        <v>2688</v>
      </c>
      <c r="BN736" t="s">
        <v>74</v>
      </c>
      <c r="BO736" t="s">
        <v>74</v>
      </c>
      <c r="BP736" t="s">
        <v>74</v>
      </c>
      <c r="BQ736" t="s">
        <v>74</v>
      </c>
      <c r="BR736" t="s">
        <v>103</v>
      </c>
      <c r="BS736" t="s">
        <v>12875</v>
      </c>
      <c r="BT736" t="str">
        <f>HYPERLINK("https%3A%2F%2Fwww.webofscience.com%2Fwos%2Fwoscc%2Ffull-record%2FWOS:000301091500015","View Full Record in Web of Science")</f>
        <v>View Full Record in Web of Science</v>
      </c>
    </row>
    <row r="737" spans="1:72" x14ac:dyDescent="0.15">
      <c r="A737" t="s">
        <v>2268</v>
      </c>
      <c r="B737" t="s">
        <v>12876</v>
      </c>
      <c r="C737" t="s">
        <v>74</v>
      </c>
      <c r="D737" t="s">
        <v>2670</v>
      </c>
      <c r="E737" t="s">
        <v>74</v>
      </c>
      <c r="F737" t="s">
        <v>12877</v>
      </c>
      <c r="G737" t="s">
        <v>74</v>
      </c>
      <c r="H737" t="s">
        <v>74</v>
      </c>
      <c r="I737" t="s">
        <v>12878</v>
      </c>
      <c r="J737" t="s">
        <v>2673</v>
      </c>
      <c r="K737" t="s">
        <v>74</v>
      </c>
      <c r="L737" t="s">
        <v>74</v>
      </c>
      <c r="M737" t="s">
        <v>78</v>
      </c>
      <c r="N737" t="s">
        <v>2275</v>
      </c>
      <c r="O737" t="s">
        <v>2674</v>
      </c>
      <c r="P737" t="s">
        <v>2675</v>
      </c>
      <c r="Q737" t="s">
        <v>2676</v>
      </c>
      <c r="R737" t="s">
        <v>74</v>
      </c>
      <c r="S737" t="s">
        <v>2677</v>
      </c>
      <c r="T737" t="s">
        <v>74</v>
      </c>
      <c r="U737" t="s">
        <v>74</v>
      </c>
      <c r="V737" t="s">
        <v>74</v>
      </c>
      <c r="W737" t="s">
        <v>12879</v>
      </c>
      <c r="X737" t="s">
        <v>1630</v>
      </c>
      <c r="Y737" t="s">
        <v>74</v>
      </c>
      <c r="Z737" t="s">
        <v>12880</v>
      </c>
      <c r="AA737" t="s">
        <v>12881</v>
      </c>
      <c r="AB737" t="s">
        <v>12882</v>
      </c>
      <c r="AC737" t="s">
        <v>74</v>
      </c>
      <c r="AD737" t="s">
        <v>74</v>
      </c>
      <c r="AE737" t="s">
        <v>74</v>
      </c>
      <c r="AF737" t="s">
        <v>74</v>
      </c>
      <c r="AG737">
        <v>0</v>
      </c>
      <c r="AH737">
        <v>1</v>
      </c>
      <c r="AI737">
        <v>1</v>
      </c>
      <c r="AJ737">
        <v>0</v>
      </c>
      <c r="AK737">
        <v>2</v>
      </c>
      <c r="AL737" t="s">
        <v>2682</v>
      </c>
      <c r="AM737" t="s">
        <v>241</v>
      </c>
      <c r="AN737" t="s">
        <v>2683</v>
      </c>
      <c r="AO737" t="s">
        <v>74</v>
      </c>
      <c r="AP737" t="s">
        <v>74</v>
      </c>
      <c r="AQ737" t="s">
        <v>2684</v>
      </c>
      <c r="AR737" t="s">
        <v>74</v>
      </c>
      <c r="AS737" t="s">
        <v>74</v>
      </c>
      <c r="AT737" t="s">
        <v>74</v>
      </c>
      <c r="AU737">
        <v>2011</v>
      </c>
      <c r="AV737" t="s">
        <v>74</v>
      </c>
      <c r="AW737" t="s">
        <v>74</v>
      </c>
      <c r="AX737" t="s">
        <v>74</v>
      </c>
      <c r="AY737" t="s">
        <v>74</v>
      </c>
      <c r="AZ737" t="s">
        <v>74</v>
      </c>
      <c r="BA737" t="s">
        <v>74</v>
      </c>
      <c r="BB737">
        <v>161</v>
      </c>
      <c r="BC737">
        <v>163</v>
      </c>
      <c r="BD737" t="s">
        <v>74</v>
      </c>
      <c r="BE737" t="s">
        <v>74</v>
      </c>
      <c r="BF737" t="s">
        <v>74</v>
      </c>
      <c r="BG737" t="s">
        <v>74</v>
      </c>
      <c r="BH737" t="s">
        <v>74</v>
      </c>
      <c r="BI737">
        <v>3</v>
      </c>
      <c r="BJ737" t="s">
        <v>2685</v>
      </c>
      <c r="BK737" t="s">
        <v>2686</v>
      </c>
      <c r="BL737" t="s">
        <v>2687</v>
      </c>
      <c r="BM737" t="s">
        <v>2688</v>
      </c>
      <c r="BN737" t="s">
        <v>74</v>
      </c>
      <c r="BO737" t="s">
        <v>74</v>
      </c>
      <c r="BP737" t="s">
        <v>74</v>
      </c>
      <c r="BQ737" t="s">
        <v>74</v>
      </c>
      <c r="BR737" t="s">
        <v>103</v>
      </c>
      <c r="BS737" t="s">
        <v>12883</v>
      </c>
      <c r="BT737" t="str">
        <f>HYPERLINK("https%3A%2F%2Fwww.webofscience.com%2Fwos%2Fwoscc%2Ffull-record%2FWOS:000301091500017","View Full Record in Web of Science")</f>
        <v>View Full Record in Web of Science</v>
      </c>
    </row>
    <row r="738" spans="1:72" x14ac:dyDescent="0.15">
      <c r="A738" t="s">
        <v>2268</v>
      </c>
      <c r="B738" t="s">
        <v>12884</v>
      </c>
      <c r="C738" t="s">
        <v>74</v>
      </c>
      <c r="D738" t="s">
        <v>2670</v>
      </c>
      <c r="E738" t="s">
        <v>74</v>
      </c>
      <c r="F738" t="s">
        <v>12885</v>
      </c>
      <c r="G738" t="s">
        <v>74</v>
      </c>
      <c r="H738" t="s">
        <v>74</v>
      </c>
      <c r="I738" t="s">
        <v>12886</v>
      </c>
      <c r="J738" t="s">
        <v>2673</v>
      </c>
      <c r="K738" t="s">
        <v>74</v>
      </c>
      <c r="L738" t="s">
        <v>74</v>
      </c>
      <c r="M738" t="s">
        <v>78</v>
      </c>
      <c r="N738" t="s">
        <v>2275</v>
      </c>
      <c r="O738" t="s">
        <v>2714</v>
      </c>
      <c r="P738" t="s">
        <v>2675</v>
      </c>
      <c r="Q738" t="s">
        <v>2676</v>
      </c>
      <c r="R738" t="s">
        <v>74</v>
      </c>
      <c r="S738" t="s">
        <v>2677</v>
      </c>
      <c r="T738" t="s">
        <v>74</v>
      </c>
      <c r="U738" t="s">
        <v>12887</v>
      </c>
      <c r="V738" t="s">
        <v>12888</v>
      </c>
      <c r="W738" t="s">
        <v>12889</v>
      </c>
      <c r="X738" t="s">
        <v>12890</v>
      </c>
      <c r="Y738" t="s">
        <v>74</v>
      </c>
      <c r="Z738" t="s">
        <v>12891</v>
      </c>
      <c r="AA738" t="s">
        <v>74</v>
      </c>
      <c r="AB738" t="s">
        <v>12892</v>
      </c>
      <c r="AC738" t="s">
        <v>74</v>
      </c>
      <c r="AD738" t="s">
        <v>74</v>
      </c>
      <c r="AE738" t="s">
        <v>74</v>
      </c>
      <c r="AF738" t="s">
        <v>74</v>
      </c>
      <c r="AG738">
        <v>81</v>
      </c>
      <c r="AH738">
        <v>1</v>
      </c>
      <c r="AI738">
        <v>1</v>
      </c>
      <c r="AJ738">
        <v>0</v>
      </c>
      <c r="AK738">
        <v>0</v>
      </c>
      <c r="AL738" t="s">
        <v>2682</v>
      </c>
      <c r="AM738" t="s">
        <v>241</v>
      </c>
      <c r="AN738" t="s">
        <v>2683</v>
      </c>
      <c r="AO738" t="s">
        <v>74</v>
      </c>
      <c r="AP738" t="s">
        <v>74</v>
      </c>
      <c r="AQ738" t="s">
        <v>2684</v>
      </c>
      <c r="AR738" t="s">
        <v>74</v>
      </c>
      <c r="AS738" t="s">
        <v>74</v>
      </c>
      <c r="AT738" t="s">
        <v>74</v>
      </c>
      <c r="AU738">
        <v>2011</v>
      </c>
      <c r="AV738" t="s">
        <v>74</v>
      </c>
      <c r="AW738" t="s">
        <v>74</v>
      </c>
      <c r="AX738" t="s">
        <v>74</v>
      </c>
      <c r="AY738" t="s">
        <v>74</v>
      </c>
      <c r="AZ738" t="s">
        <v>74</v>
      </c>
      <c r="BA738" t="s">
        <v>74</v>
      </c>
      <c r="BB738">
        <v>197</v>
      </c>
      <c r="BC738">
        <v>208</v>
      </c>
      <c r="BD738" t="s">
        <v>74</v>
      </c>
      <c r="BE738" t="s">
        <v>74</v>
      </c>
      <c r="BF738" t="s">
        <v>74</v>
      </c>
      <c r="BG738" t="s">
        <v>74</v>
      </c>
      <c r="BH738" t="s">
        <v>74</v>
      </c>
      <c r="BI738">
        <v>12</v>
      </c>
      <c r="BJ738" t="s">
        <v>2685</v>
      </c>
      <c r="BK738" t="s">
        <v>2686</v>
      </c>
      <c r="BL738" t="s">
        <v>2687</v>
      </c>
      <c r="BM738" t="s">
        <v>2688</v>
      </c>
      <c r="BN738" t="s">
        <v>74</v>
      </c>
      <c r="BO738" t="s">
        <v>74</v>
      </c>
      <c r="BP738" t="s">
        <v>74</v>
      </c>
      <c r="BQ738" t="s">
        <v>74</v>
      </c>
      <c r="BR738" t="s">
        <v>103</v>
      </c>
      <c r="BS738" t="s">
        <v>12893</v>
      </c>
      <c r="BT738" t="str">
        <f>HYPERLINK("https%3A%2F%2Fwww.webofscience.com%2Fwos%2Fwoscc%2Ffull-record%2FWOS:000301091500021","View Full Record in Web of Science")</f>
        <v>View Full Record in Web of Science</v>
      </c>
    </row>
    <row r="739" spans="1:72" x14ac:dyDescent="0.15">
      <c r="A739" t="s">
        <v>2268</v>
      </c>
      <c r="B739" t="s">
        <v>12894</v>
      </c>
      <c r="C739" t="s">
        <v>74</v>
      </c>
      <c r="D739" t="s">
        <v>2670</v>
      </c>
      <c r="E739" t="s">
        <v>74</v>
      </c>
      <c r="F739" t="s">
        <v>12895</v>
      </c>
      <c r="G739" t="s">
        <v>74</v>
      </c>
      <c r="H739" t="s">
        <v>74</v>
      </c>
      <c r="I739" t="s">
        <v>12896</v>
      </c>
      <c r="J739" t="s">
        <v>2673</v>
      </c>
      <c r="K739" t="s">
        <v>74</v>
      </c>
      <c r="L739" t="s">
        <v>74</v>
      </c>
      <c r="M739" t="s">
        <v>78</v>
      </c>
      <c r="N739" t="s">
        <v>2275</v>
      </c>
      <c r="O739" t="s">
        <v>2714</v>
      </c>
      <c r="P739" t="s">
        <v>2675</v>
      </c>
      <c r="Q739" t="s">
        <v>2676</v>
      </c>
      <c r="R739" t="s">
        <v>74</v>
      </c>
      <c r="S739" t="s">
        <v>2677</v>
      </c>
      <c r="T739" t="s">
        <v>74</v>
      </c>
      <c r="U739" t="s">
        <v>74</v>
      </c>
      <c r="V739" t="s">
        <v>12897</v>
      </c>
      <c r="W739" t="s">
        <v>12898</v>
      </c>
      <c r="X739" t="s">
        <v>12899</v>
      </c>
      <c r="Y739" t="s">
        <v>12900</v>
      </c>
      <c r="Z739" t="s">
        <v>12901</v>
      </c>
      <c r="AA739" t="s">
        <v>12902</v>
      </c>
      <c r="AB739" t="s">
        <v>12903</v>
      </c>
      <c r="AC739" t="s">
        <v>74</v>
      </c>
      <c r="AD739" t="s">
        <v>74</v>
      </c>
      <c r="AE739" t="s">
        <v>74</v>
      </c>
      <c r="AF739" t="s">
        <v>74</v>
      </c>
      <c r="AG739">
        <v>8</v>
      </c>
      <c r="AH739">
        <v>8</v>
      </c>
      <c r="AI739">
        <v>9</v>
      </c>
      <c r="AJ739">
        <v>0</v>
      </c>
      <c r="AK739">
        <v>2</v>
      </c>
      <c r="AL739" t="s">
        <v>2682</v>
      </c>
      <c r="AM739" t="s">
        <v>241</v>
      </c>
      <c r="AN739" t="s">
        <v>2683</v>
      </c>
      <c r="AO739" t="s">
        <v>74</v>
      </c>
      <c r="AP739" t="s">
        <v>74</v>
      </c>
      <c r="AQ739" t="s">
        <v>2684</v>
      </c>
      <c r="AR739" t="s">
        <v>74</v>
      </c>
      <c r="AS739" t="s">
        <v>74</v>
      </c>
      <c r="AT739" t="s">
        <v>74</v>
      </c>
      <c r="AU739">
        <v>2011</v>
      </c>
      <c r="AV739" t="s">
        <v>74</v>
      </c>
      <c r="AW739" t="s">
        <v>74</v>
      </c>
      <c r="AX739" t="s">
        <v>74</v>
      </c>
      <c r="AY739" t="s">
        <v>74</v>
      </c>
      <c r="AZ739" t="s">
        <v>74</v>
      </c>
      <c r="BA739" t="s">
        <v>74</v>
      </c>
      <c r="BB739">
        <v>209</v>
      </c>
      <c r="BC739" t="s">
        <v>1316</v>
      </c>
      <c r="BD739" t="s">
        <v>74</v>
      </c>
      <c r="BE739" t="s">
        <v>74</v>
      </c>
      <c r="BF739" t="s">
        <v>74</v>
      </c>
      <c r="BG739" t="s">
        <v>74</v>
      </c>
      <c r="BH739" t="s">
        <v>74</v>
      </c>
      <c r="BI739">
        <v>2</v>
      </c>
      <c r="BJ739" t="s">
        <v>2685</v>
      </c>
      <c r="BK739" t="s">
        <v>2686</v>
      </c>
      <c r="BL739" t="s">
        <v>2687</v>
      </c>
      <c r="BM739" t="s">
        <v>2688</v>
      </c>
      <c r="BN739" t="s">
        <v>74</v>
      </c>
      <c r="BO739" t="s">
        <v>74</v>
      </c>
      <c r="BP739" t="s">
        <v>74</v>
      </c>
      <c r="BQ739" t="s">
        <v>74</v>
      </c>
      <c r="BR739" t="s">
        <v>103</v>
      </c>
      <c r="BS739" t="s">
        <v>12904</v>
      </c>
      <c r="BT739" t="str">
        <f>HYPERLINK("https%3A%2F%2Fwww.webofscience.com%2Fwos%2Fwoscc%2Ffull-record%2FWOS:000301091500022","View Full Record in Web of Science")</f>
        <v>View Full Record in Web of Science</v>
      </c>
    </row>
    <row r="740" spans="1:72" x14ac:dyDescent="0.15">
      <c r="A740" t="s">
        <v>2268</v>
      </c>
      <c r="B740" t="s">
        <v>12905</v>
      </c>
      <c r="C740" t="s">
        <v>74</v>
      </c>
      <c r="D740" t="s">
        <v>2670</v>
      </c>
      <c r="E740" t="s">
        <v>74</v>
      </c>
      <c r="F740" t="s">
        <v>12906</v>
      </c>
      <c r="G740" t="s">
        <v>74</v>
      </c>
      <c r="H740" t="s">
        <v>74</v>
      </c>
      <c r="I740" t="s">
        <v>12907</v>
      </c>
      <c r="J740" t="s">
        <v>2673</v>
      </c>
      <c r="K740" t="s">
        <v>74</v>
      </c>
      <c r="L740" t="s">
        <v>74</v>
      </c>
      <c r="M740" t="s">
        <v>78</v>
      </c>
      <c r="N740" t="s">
        <v>2275</v>
      </c>
      <c r="O740" t="s">
        <v>2714</v>
      </c>
      <c r="P740" t="s">
        <v>2675</v>
      </c>
      <c r="Q740" t="s">
        <v>2676</v>
      </c>
      <c r="R740" t="s">
        <v>74</v>
      </c>
      <c r="S740" t="s">
        <v>2677</v>
      </c>
      <c r="T740" t="s">
        <v>74</v>
      </c>
      <c r="U740" t="s">
        <v>74</v>
      </c>
      <c r="V740" t="s">
        <v>12908</v>
      </c>
      <c r="W740" t="s">
        <v>12909</v>
      </c>
      <c r="X740" t="s">
        <v>12910</v>
      </c>
      <c r="Y740" t="s">
        <v>12911</v>
      </c>
      <c r="Z740" t="s">
        <v>12912</v>
      </c>
      <c r="AA740" t="s">
        <v>12913</v>
      </c>
      <c r="AB740" t="s">
        <v>74</v>
      </c>
      <c r="AC740" t="s">
        <v>74</v>
      </c>
      <c r="AD740" t="s">
        <v>74</v>
      </c>
      <c r="AE740" t="s">
        <v>74</v>
      </c>
      <c r="AF740" t="s">
        <v>74</v>
      </c>
      <c r="AG740">
        <v>12</v>
      </c>
      <c r="AH740">
        <v>2</v>
      </c>
      <c r="AI740">
        <v>2</v>
      </c>
      <c r="AJ740">
        <v>0</v>
      </c>
      <c r="AK740">
        <v>7</v>
      </c>
      <c r="AL740" t="s">
        <v>2682</v>
      </c>
      <c r="AM740" t="s">
        <v>241</v>
      </c>
      <c r="AN740" t="s">
        <v>2683</v>
      </c>
      <c r="AO740" t="s">
        <v>74</v>
      </c>
      <c r="AP740" t="s">
        <v>74</v>
      </c>
      <c r="AQ740" t="s">
        <v>2684</v>
      </c>
      <c r="AR740" t="s">
        <v>74</v>
      </c>
      <c r="AS740" t="s">
        <v>74</v>
      </c>
      <c r="AT740" t="s">
        <v>74</v>
      </c>
      <c r="AU740">
        <v>2011</v>
      </c>
      <c r="AV740" t="s">
        <v>74</v>
      </c>
      <c r="AW740" t="s">
        <v>74</v>
      </c>
      <c r="AX740" t="s">
        <v>74</v>
      </c>
      <c r="AY740" t="s">
        <v>74</v>
      </c>
      <c r="AZ740" t="s">
        <v>74</v>
      </c>
      <c r="BA740" t="s">
        <v>74</v>
      </c>
      <c r="BB740">
        <v>223</v>
      </c>
      <c r="BC740" t="s">
        <v>1316</v>
      </c>
      <c r="BD740" t="s">
        <v>74</v>
      </c>
      <c r="BE740" t="s">
        <v>74</v>
      </c>
      <c r="BF740" t="s">
        <v>74</v>
      </c>
      <c r="BG740" t="s">
        <v>74</v>
      </c>
      <c r="BH740" t="s">
        <v>74</v>
      </c>
      <c r="BI740">
        <v>2</v>
      </c>
      <c r="BJ740" t="s">
        <v>2685</v>
      </c>
      <c r="BK740" t="s">
        <v>2686</v>
      </c>
      <c r="BL740" t="s">
        <v>2687</v>
      </c>
      <c r="BM740" t="s">
        <v>2688</v>
      </c>
      <c r="BN740" t="s">
        <v>74</v>
      </c>
      <c r="BO740" t="s">
        <v>74</v>
      </c>
      <c r="BP740" t="s">
        <v>74</v>
      </c>
      <c r="BQ740" t="s">
        <v>74</v>
      </c>
      <c r="BR740" t="s">
        <v>103</v>
      </c>
      <c r="BS740" t="s">
        <v>12914</v>
      </c>
      <c r="BT740" t="str">
        <f>HYPERLINK("https%3A%2F%2Fwww.webofscience.com%2Fwos%2Fwoscc%2Ffull-record%2FWOS:000301091500023","View Full Record in Web of Science")</f>
        <v>View Full Record in Web of Science</v>
      </c>
    </row>
    <row r="741" spans="1:72" x14ac:dyDescent="0.15">
      <c r="A741" t="s">
        <v>2268</v>
      </c>
      <c r="B741" t="s">
        <v>12915</v>
      </c>
      <c r="C741" t="s">
        <v>74</v>
      </c>
      <c r="D741" t="s">
        <v>2670</v>
      </c>
      <c r="E741" t="s">
        <v>74</v>
      </c>
      <c r="F741" t="s">
        <v>12916</v>
      </c>
      <c r="G741" t="s">
        <v>74</v>
      </c>
      <c r="H741" t="s">
        <v>74</v>
      </c>
      <c r="I741" t="s">
        <v>12917</v>
      </c>
      <c r="J741" t="s">
        <v>2673</v>
      </c>
      <c r="K741" t="s">
        <v>74</v>
      </c>
      <c r="L741" t="s">
        <v>74</v>
      </c>
      <c r="M741" t="s">
        <v>78</v>
      </c>
      <c r="N741" t="s">
        <v>2275</v>
      </c>
      <c r="O741" t="s">
        <v>2714</v>
      </c>
      <c r="P741" t="s">
        <v>2675</v>
      </c>
      <c r="Q741" t="s">
        <v>2676</v>
      </c>
      <c r="R741" t="s">
        <v>74</v>
      </c>
      <c r="S741" t="s">
        <v>2677</v>
      </c>
      <c r="T741" t="s">
        <v>74</v>
      </c>
      <c r="U741" t="s">
        <v>74</v>
      </c>
      <c r="V741" t="s">
        <v>74</v>
      </c>
      <c r="W741" t="s">
        <v>12918</v>
      </c>
      <c r="X741" t="s">
        <v>74</v>
      </c>
      <c r="Y741" t="s">
        <v>12919</v>
      </c>
      <c r="Z741" t="s">
        <v>12920</v>
      </c>
      <c r="AA741" t="s">
        <v>74</v>
      </c>
      <c r="AB741" t="s">
        <v>74</v>
      </c>
      <c r="AC741" t="s">
        <v>74</v>
      </c>
      <c r="AD741" t="s">
        <v>74</v>
      </c>
      <c r="AE741" t="s">
        <v>74</v>
      </c>
      <c r="AF741" t="s">
        <v>74</v>
      </c>
      <c r="AG741">
        <v>4</v>
      </c>
      <c r="AH741">
        <v>3</v>
      </c>
      <c r="AI741">
        <v>3</v>
      </c>
      <c r="AJ741">
        <v>0</v>
      </c>
      <c r="AK741">
        <v>0</v>
      </c>
      <c r="AL741" t="s">
        <v>2682</v>
      </c>
      <c r="AM741" t="s">
        <v>241</v>
      </c>
      <c r="AN741" t="s">
        <v>2683</v>
      </c>
      <c r="AO741" t="s">
        <v>74</v>
      </c>
      <c r="AP741" t="s">
        <v>74</v>
      </c>
      <c r="AQ741" t="s">
        <v>2684</v>
      </c>
      <c r="AR741" t="s">
        <v>74</v>
      </c>
      <c r="AS741" t="s">
        <v>74</v>
      </c>
      <c r="AT741" t="s">
        <v>74</v>
      </c>
      <c r="AU741">
        <v>2011</v>
      </c>
      <c r="AV741" t="s">
        <v>74</v>
      </c>
      <c r="AW741" t="s">
        <v>74</v>
      </c>
      <c r="AX741" t="s">
        <v>74</v>
      </c>
      <c r="AY741" t="s">
        <v>74</v>
      </c>
      <c r="AZ741" t="s">
        <v>74</v>
      </c>
      <c r="BA741" t="s">
        <v>74</v>
      </c>
      <c r="BB741">
        <v>231</v>
      </c>
      <c r="BC741" t="s">
        <v>1316</v>
      </c>
      <c r="BD741" t="s">
        <v>74</v>
      </c>
      <c r="BE741" t="s">
        <v>74</v>
      </c>
      <c r="BF741" t="s">
        <v>74</v>
      </c>
      <c r="BG741" t="s">
        <v>74</v>
      </c>
      <c r="BH741" t="s">
        <v>74</v>
      </c>
      <c r="BI741">
        <v>3</v>
      </c>
      <c r="BJ741" t="s">
        <v>2685</v>
      </c>
      <c r="BK741" t="s">
        <v>2686</v>
      </c>
      <c r="BL741" t="s">
        <v>2687</v>
      </c>
      <c r="BM741" t="s">
        <v>2688</v>
      </c>
      <c r="BN741" t="s">
        <v>74</v>
      </c>
      <c r="BO741" t="s">
        <v>74</v>
      </c>
      <c r="BP741" t="s">
        <v>74</v>
      </c>
      <c r="BQ741" t="s">
        <v>74</v>
      </c>
      <c r="BR741" t="s">
        <v>103</v>
      </c>
      <c r="BS741" t="s">
        <v>12921</v>
      </c>
      <c r="BT741" t="str">
        <f>HYPERLINK("https%3A%2F%2Fwww.webofscience.com%2Fwos%2Fwoscc%2Ffull-record%2FWOS:000301091500024","View Full Record in Web of Science")</f>
        <v>View Full Record in Web of Science</v>
      </c>
    </row>
    <row r="742" spans="1:72" x14ac:dyDescent="0.15">
      <c r="A742" t="s">
        <v>2268</v>
      </c>
      <c r="B742" t="s">
        <v>12922</v>
      </c>
      <c r="C742" t="s">
        <v>74</v>
      </c>
      <c r="D742" t="s">
        <v>2670</v>
      </c>
      <c r="E742" t="s">
        <v>74</v>
      </c>
      <c r="F742" t="s">
        <v>12923</v>
      </c>
      <c r="G742" t="s">
        <v>74</v>
      </c>
      <c r="H742" t="s">
        <v>74</v>
      </c>
      <c r="I742" t="s">
        <v>12924</v>
      </c>
      <c r="J742" t="s">
        <v>2673</v>
      </c>
      <c r="K742" t="s">
        <v>74</v>
      </c>
      <c r="L742" t="s">
        <v>74</v>
      </c>
      <c r="M742" t="s">
        <v>78</v>
      </c>
      <c r="N742" t="s">
        <v>2275</v>
      </c>
      <c r="O742" t="s">
        <v>2674</v>
      </c>
      <c r="P742" t="s">
        <v>2675</v>
      </c>
      <c r="Q742" t="s">
        <v>2676</v>
      </c>
      <c r="R742" t="s">
        <v>74</v>
      </c>
      <c r="S742" t="s">
        <v>2677</v>
      </c>
      <c r="T742" t="s">
        <v>74</v>
      </c>
      <c r="U742" t="s">
        <v>74</v>
      </c>
      <c r="V742" t="s">
        <v>74</v>
      </c>
      <c r="W742" t="s">
        <v>12925</v>
      </c>
      <c r="X742" t="s">
        <v>74</v>
      </c>
      <c r="Y742" t="s">
        <v>74</v>
      </c>
      <c r="Z742" t="s">
        <v>12926</v>
      </c>
      <c r="AA742" t="s">
        <v>74</v>
      </c>
      <c r="AB742" t="s">
        <v>74</v>
      </c>
      <c r="AC742" t="s">
        <v>74</v>
      </c>
      <c r="AD742" t="s">
        <v>74</v>
      </c>
      <c r="AE742" t="s">
        <v>74</v>
      </c>
      <c r="AF742" t="s">
        <v>74</v>
      </c>
      <c r="AG742">
        <v>9</v>
      </c>
      <c r="AH742">
        <v>4</v>
      </c>
      <c r="AI742">
        <v>4</v>
      </c>
      <c r="AJ742">
        <v>0</v>
      </c>
      <c r="AK742">
        <v>0</v>
      </c>
      <c r="AL742" t="s">
        <v>2682</v>
      </c>
      <c r="AM742" t="s">
        <v>241</v>
      </c>
      <c r="AN742" t="s">
        <v>2683</v>
      </c>
      <c r="AO742" t="s">
        <v>74</v>
      </c>
      <c r="AP742" t="s">
        <v>74</v>
      </c>
      <c r="AQ742" t="s">
        <v>2684</v>
      </c>
      <c r="AR742" t="s">
        <v>74</v>
      </c>
      <c r="AS742" t="s">
        <v>74</v>
      </c>
      <c r="AT742" t="s">
        <v>74</v>
      </c>
      <c r="AU742">
        <v>2011</v>
      </c>
      <c r="AV742" t="s">
        <v>74</v>
      </c>
      <c r="AW742" t="s">
        <v>74</v>
      </c>
      <c r="AX742" t="s">
        <v>74</v>
      </c>
      <c r="AY742" t="s">
        <v>74</v>
      </c>
      <c r="AZ742" t="s">
        <v>74</v>
      </c>
      <c r="BA742" t="s">
        <v>74</v>
      </c>
      <c r="BB742">
        <v>241</v>
      </c>
      <c r="BC742">
        <v>244</v>
      </c>
      <c r="BD742" t="s">
        <v>74</v>
      </c>
      <c r="BE742" t="s">
        <v>74</v>
      </c>
      <c r="BF742" t="s">
        <v>74</v>
      </c>
      <c r="BG742" t="s">
        <v>74</v>
      </c>
      <c r="BH742" t="s">
        <v>74</v>
      </c>
      <c r="BI742">
        <v>4</v>
      </c>
      <c r="BJ742" t="s">
        <v>2685</v>
      </c>
      <c r="BK742" t="s">
        <v>2686</v>
      </c>
      <c r="BL742" t="s">
        <v>2687</v>
      </c>
      <c r="BM742" t="s">
        <v>2688</v>
      </c>
      <c r="BN742" t="s">
        <v>74</v>
      </c>
      <c r="BO742" t="s">
        <v>74</v>
      </c>
      <c r="BP742" t="s">
        <v>74</v>
      </c>
      <c r="BQ742" t="s">
        <v>74</v>
      </c>
      <c r="BR742" t="s">
        <v>103</v>
      </c>
      <c r="BS742" t="s">
        <v>12927</v>
      </c>
      <c r="BT742" t="str">
        <f>HYPERLINK("https%3A%2F%2Fwww.webofscience.com%2Fwos%2Fwoscc%2Ffull-record%2FWOS:000301091500025","View Full Record in Web of Science")</f>
        <v>View Full Record in Web of Science</v>
      </c>
    </row>
    <row r="743" spans="1:72" x14ac:dyDescent="0.15">
      <c r="A743" t="s">
        <v>2268</v>
      </c>
      <c r="B743" t="s">
        <v>12928</v>
      </c>
      <c r="C743" t="s">
        <v>74</v>
      </c>
      <c r="D743" t="s">
        <v>2670</v>
      </c>
      <c r="E743" t="s">
        <v>74</v>
      </c>
      <c r="F743" t="s">
        <v>12929</v>
      </c>
      <c r="G743" t="s">
        <v>74</v>
      </c>
      <c r="H743" t="s">
        <v>74</v>
      </c>
      <c r="I743" t="s">
        <v>12930</v>
      </c>
      <c r="J743" t="s">
        <v>2673</v>
      </c>
      <c r="K743" t="s">
        <v>74</v>
      </c>
      <c r="L743" t="s">
        <v>74</v>
      </c>
      <c r="M743" t="s">
        <v>78</v>
      </c>
      <c r="N743" t="s">
        <v>2275</v>
      </c>
      <c r="O743" t="s">
        <v>2714</v>
      </c>
      <c r="P743" t="s">
        <v>2675</v>
      </c>
      <c r="Q743" t="s">
        <v>2676</v>
      </c>
      <c r="R743" t="s">
        <v>74</v>
      </c>
      <c r="S743" t="s">
        <v>2677</v>
      </c>
      <c r="T743" t="s">
        <v>74</v>
      </c>
      <c r="U743" t="s">
        <v>74</v>
      </c>
      <c r="V743" t="s">
        <v>74</v>
      </c>
      <c r="W743" t="s">
        <v>12931</v>
      </c>
      <c r="X743" t="s">
        <v>74</v>
      </c>
      <c r="Y743" t="s">
        <v>74</v>
      </c>
      <c r="Z743" t="s">
        <v>12932</v>
      </c>
      <c r="AA743" t="s">
        <v>74</v>
      </c>
      <c r="AB743" t="s">
        <v>74</v>
      </c>
      <c r="AC743" t="s">
        <v>74</v>
      </c>
      <c r="AD743" t="s">
        <v>74</v>
      </c>
      <c r="AE743" t="s">
        <v>74</v>
      </c>
      <c r="AF743" t="s">
        <v>74</v>
      </c>
      <c r="AG743">
        <v>47</v>
      </c>
      <c r="AH743">
        <v>6</v>
      </c>
      <c r="AI743">
        <v>6</v>
      </c>
      <c r="AJ743">
        <v>0</v>
      </c>
      <c r="AK743">
        <v>4</v>
      </c>
      <c r="AL743" t="s">
        <v>2682</v>
      </c>
      <c r="AM743" t="s">
        <v>241</v>
      </c>
      <c r="AN743" t="s">
        <v>2683</v>
      </c>
      <c r="AO743" t="s">
        <v>74</v>
      </c>
      <c r="AP743" t="s">
        <v>74</v>
      </c>
      <c r="AQ743" t="s">
        <v>2684</v>
      </c>
      <c r="AR743" t="s">
        <v>74</v>
      </c>
      <c r="AS743" t="s">
        <v>74</v>
      </c>
      <c r="AT743" t="s">
        <v>74</v>
      </c>
      <c r="AU743">
        <v>2011</v>
      </c>
      <c r="AV743" t="s">
        <v>74</v>
      </c>
      <c r="AW743" t="s">
        <v>74</v>
      </c>
      <c r="AX743" t="s">
        <v>74</v>
      </c>
      <c r="AY743" t="s">
        <v>74</v>
      </c>
      <c r="AZ743" t="s">
        <v>74</v>
      </c>
      <c r="BA743" t="s">
        <v>74</v>
      </c>
      <c r="BB743">
        <v>253</v>
      </c>
      <c r="BC743">
        <v>263</v>
      </c>
      <c r="BD743" t="s">
        <v>74</v>
      </c>
      <c r="BE743" t="s">
        <v>74</v>
      </c>
      <c r="BF743" t="s">
        <v>74</v>
      </c>
      <c r="BG743" t="s">
        <v>74</v>
      </c>
      <c r="BH743" t="s">
        <v>74</v>
      </c>
      <c r="BI743">
        <v>11</v>
      </c>
      <c r="BJ743" t="s">
        <v>2685</v>
      </c>
      <c r="BK743" t="s">
        <v>2686</v>
      </c>
      <c r="BL743" t="s">
        <v>2687</v>
      </c>
      <c r="BM743" t="s">
        <v>2688</v>
      </c>
      <c r="BN743" t="s">
        <v>74</v>
      </c>
      <c r="BO743" t="s">
        <v>74</v>
      </c>
      <c r="BP743" t="s">
        <v>74</v>
      </c>
      <c r="BQ743" t="s">
        <v>74</v>
      </c>
      <c r="BR743" t="s">
        <v>103</v>
      </c>
      <c r="BS743" t="s">
        <v>12933</v>
      </c>
      <c r="BT743" t="str">
        <f>HYPERLINK("https%3A%2F%2Fwww.webofscience.com%2Fwos%2Fwoscc%2Ffull-record%2FWOS:000301091500027","View Full Record in Web of Science")</f>
        <v>View Full Record in Web of Science</v>
      </c>
    </row>
    <row r="744" spans="1:72" x14ac:dyDescent="0.15">
      <c r="A744" t="s">
        <v>2268</v>
      </c>
      <c r="B744" t="s">
        <v>12934</v>
      </c>
      <c r="C744" t="s">
        <v>74</v>
      </c>
      <c r="D744" t="s">
        <v>2670</v>
      </c>
      <c r="E744" t="s">
        <v>74</v>
      </c>
      <c r="F744" t="s">
        <v>12935</v>
      </c>
      <c r="G744" t="s">
        <v>74</v>
      </c>
      <c r="H744" t="s">
        <v>74</v>
      </c>
      <c r="I744" t="s">
        <v>12936</v>
      </c>
      <c r="J744" t="s">
        <v>2673</v>
      </c>
      <c r="K744" t="s">
        <v>74</v>
      </c>
      <c r="L744" t="s">
        <v>74</v>
      </c>
      <c r="M744" t="s">
        <v>78</v>
      </c>
      <c r="N744" t="s">
        <v>2275</v>
      </c>
      <c r="O744" t="s">
        <v>2674</v>
      </c>
      <c r="P744" t="s">
        <v>2675</v>
      </c>
      <c r="Q744" t="s">
        <v>2676</v>
      </c>
      <c r="R744" t="s">
        <v>74</v>
      </c>
      <c r="S744" t="s">
        <v>2677</v>
      </c>
      <c r="T744" t="s">
        <v>74</v>
      </c>
      <c r="U744" t="s">
        <v>74</v>
      </c>
      <c r="V744" t="s">
        <v>12937</v>
      </c>
      <c r="W744" t="s">
        <v>12938</v>
      </c>
      <c r="X744" t="s">
        <v>12939</v>
      </c>
      <c r="Y744" t="s">
        <v>74</v>
      </c>
      <c r="Z744" t="s">
        <v>12940</v>
      </c>
      <c r="AA744" t="s">
        <v>74</v>
      </c>
      <c r="AB744" t="s">
        <v>74</v>
      </c>
      <c r="AC744" t="s">
        <v>74</v>
      </c>
      <c r="AD744" t="s">
        <v>74</v>
      </c>
      <c r="AE744" t="s">
        <v>74</v>
      </c>
      <c r="AF744" t="s">
        <v>74</v>
      </c>
      <c r="AG744">
        <v>1</v>
      </c>
      <c r="AH744">
        <v>6</v>
      </c>
      <c r="AI744">
        <v>6</v>
      </c>
      <c r="AJ744">
        <v>1</v>
      </c>
      <c r="AK744">
        <v>6</v>
      </c>
      <c r="AL744" t="s">
        <v>2682</v>
      </c>
      <c r="AM744" t="s">
        <v>241</v>
      </c>
      <c r="AN744" t="s">
        <v>2683</v>
      </c>
      <c r="AO744" t="s">
        <v>74</v>
      </c>
      <c r="AP744" t="s">
        <v>74</v>
      </c>
      <c r="AQ744" t="s">
        <v>2684</v>
      </c>
      <c r="AR744" t="s">
        <v>74</v>
      </c>
      <c r="AS744" t="s">
        <v>74</v>
      </c>
      <c r="AT744" t="s">
        <v>74</v>
      </c>
      <c r="AU744">
        <v>2011</v>
      </c>
      <c r="AV744" t="s">
        <v>74</v>
      </c>
      <c r="AW744" t="s">
        <v>74</v>
      </c>
      <c r="AX744" t="s">
        <v>74</v>
      </c>
      <c r="AY744" t="s">
        <v>74</v>
      </c>
      <c r="AZ744" t="s">
        <v>74</v>
      </c>
      <c r="BA744" t="s">
        <v>74</v>
      </c>
      <c r="BB744">
        <v>265</v>
      </c>
      <c r="BC744">
        <v>270</v>
      </c>
      <c r="BD744" t="s">
        <v>74</v>
      </c>
      <c r="BE744" t="s">
        <v>74</v>
      </c>
      <c r="BF744" t="s">
        <v>74</v>
      </c>
      <c r="BG744" t="s">
        <v>74</v>
      </c>
      <c r="BH744" t="s">
        <v>74</v>
      </c>
      <c r="BI744">
        <v>6</v>
      </c>
      <c r="BJ744" t="s">
        <v>2685</v>
      </c>
      <c r="BK744" t="s">
        <v>2686</v>
      </c>
      <c r="BL744" t="s">
        <v>2687</v>
      </c>
      <c r="BM744" t="s">
        <v>2688</v>
      </c>
      <c r="BN744" t="s">
        <v>74</v>
      </c>
      <c r="BO744" t="s">
        <v>74</v>
      </c>
      <c r="BP744" t="s">
        <v>74</v>
      </c>
      <c r="BQ744" t="s">
        <v>74</v>
      </c>
      <c r="BR744" t="s">
        <v>103</v>
      </c>
      <c r="BS744" t="s">
        <v>12941</v>
      </c>
      <c r="BT744" t="str">
        <f>HYPERLINK("https%3A%2F%2Fwww.webofscience.com%2Fwos%2Fwoscc%2Ffull-record%2FWOS:000301091500028","View Full Record in Web of Science")</f>
        <v>View Full Record in Web of Science</v>
      </c>
    </row>
    <row r="745" spans="1:72" x14ac:dyDescent="0.15">
      <c r="A745" t="s">
        <v>2268</v>
      </c>
      <c r="B745" t="s">
        <v>12942</v>
      </c>
      <c r="C745" t="s">
        <v>74</v>
      </c>
      <c r="D745" t="s">
        <v>2670</v>
      </c>
      <c r="E745" t="s">
        <v>74</v>
      </c>
      <c r="F745" t="s">
        <v>12943</v>
      </c>
      <c r="G745" t="s">
        <v>74</v>
      </c>
      <c r="H745" t="s">
        <v>74</v>
      </c>
      <c r="I745" t="s">
        <v>12944</v>
      </c>
      <c r="J745" t="s">
        <v>2673</v>
      </c>
      <c r="K745" t="s">
        <v>74</v>
      </c>
      <c r="L745" t="s">
        <v>74</v>
      </c>
      <c r="M745" t="s">
        <v>78</v>
      </c>
      <c r="N745" t="s">
        <v>2275</v>
      </c>
      <c r="O745" t="s">
        <v>2674</v>
      </c>
      <c r="P745" t="s">
        <v>2675</v>
      </c>
      <c r="Q745" t="s">
        <v>2676</v>
      </c>
      <c r="R745" t="s">
        <v>74</v>
      </c>
      <c r="S745" t="s">
        <v>2677</v>
      </c>
      <c r="T745" t="s">
        <v>74</v>
      </c>
      <c r="U745" t="s">
        <v>74</v>
      </c>
      <c r="V745" t="s">
        <v>74</v>
      </c>
      <c r="W745" t="s">
        <v>12945</v>
      </c>
      <c r="X745" t="s">
        <v>74</v>
      </c>
      <c r="Y745" t="s">
        <v>74</v>
      </c>
      <c r="Z745" t="s">
        <v>74</v>
      </c>
      <c r="AA745" t="s">
        <v>74</v>
      </c>
      <c r="AB745" t="s">
        <v>74</v>
      </c>
      <c r="AC745" t="s">
        <v>74</v>
      </c>
      <c r="AD745" t="s">
        <v>74</v>
      </c>
      <c r="AE745" t="s">
        <v>74</v>
      </c>
      <c r="AF745" t="s">
        <v>74</v>
      </c>
      <c r="AG745">
        <v>3</v>
      </c>
      <c r="AH745">
        <v>6</v>
      </c>
      <c r="AI745">
        <v>7</v>
      </c>
      <c r="AJ745">
        <v>0</v>
      </c>
      <c r="AK745">
        <v>0</v>
      </c>
      <c r="AL745" t="s">
        <v>2682</v>
      </c>
      <c r="AM745" t="s">
        <v>241</v>
      </c>
      <c r="AN745" t="s">
        <v>2683</v>
      </c>
      <c r="AO745" t="s">
        <v>74</v>
      </c>
      <c r="AP745" t="s">
        <v>74</v>
      </c>
      <c r="AQ745" t="s">
        <v>2684</v>
      </c>
      <c r="AR745" t="s">
        <v>74</v>
      </c>
      <c r="AS745" t="s">
        <v>74</v>
      </c>
      <c r="AT745" t="s">
        <v>74</v>
      </c>
      <c r="AU745">
        <v>2011</v>
      </c>
      <c r="AV745" t="s">
        <v>74</v>
      </c>
      <c r="AW745" t="s">
        <v>74</v>
      </c>
      <c r="AX745" t="s">
        <v>74</v>
      </c>
      <c r="AY745" t="s">
        <v>74</v>
      </c>
      <c r="AZ745" t="s">
        <v>74</v>
      </c>
      <c r="BA745" t="s">
        <v>74</v>
      </c>
      <c r="BB745">
        <v>271</v>
      </c>
      <c r="BC745">
        <v>276</v>
      </c>
      <c r="BD745" t="s">
        <v>74</v>
      </c>
      <c r="BE745" t="s">
        <v>74</v>
      </c>
      <c r="BF745" t="s">
        <v>74</v>
      </c>
      <c r="BG745" t="s">
        <v>74</v>
      </c>
      <c r="BH745" t="s">
        <v>74</v>
      </c>
      <c r="BI745">
        <v>6</v>
      </c>
      <c r="BJ745" t="s">
        <v>2685</v>
      </c>
      <c r="BK745" t="s">
        <v>2686</v>
      </c>
      <c r="BL745" t="s">
        <v>2687</v>
      </c>
      <c r="BM745" t="s">
        <v>2688</v>
      </c>
      <c r="BN745" t="s">
        <v>74</v>
      </c>
      <c r="BO745" t="s">
        <v>74</v>
      </c>
      <c r="BP745" t="s">
        <v>74</v>
      </c>
      <c r="BQ745" t="s">
        <v>74</v>
      </c>
      <c r="BR745" t="s">
        <v>103</v>
      </c>
      <c r="BS745" t="s">
        <v>12946</v>
      </c>
      <c r="BT745" t="str">
        <f>HYPERLINK("https%3A%2F%2Fwww.webofscience.com%2Fwos%2Fwoscc%2Ffull-record%2FWOS:000301091500029","View Full Record in Web of Science")</f>
        <v>View Full Record in Web of Science</v>
      </c>
    </row>
    <row r="746" spans="1:72" x14ac:dyDescent="0.15">
      <c r="A746" t="s">
        <v>2268</v>
      </c>
      <c r="B746" t="s">
        <v>12947</v>
      </c>
      <c r="C746" t="s">
        <v>74</v>
      </c>
      <c r="D746" t="s">
        <v>2670</v>
      </c>
      <c r="E746" t="s">
        <v>74</v>
      </c>
      <c r="F746" t="s">
        <v>12948</v>
      </c>
      <c r="G746" t="s">
        <v>74</v>
      </c>
      <c r="H746" t="s">
        <v>74</v>
      </c>
      <c r="I746" t="s">
        <v>12949</v>
      </c>
      <c r="J746" t="s">
        <v>2673</v>
      </c>
      <c r="K746" t="s">
        <v>74</v>
      </c>
      <c r="L746" t="s">
        <v>74</v>
      </c>
      <c r="M746" t="s">
        <v>78</v>
      </c>
      <c r="N746" t="s">
        <v>2275</v>
      </c>
      <c r="O746" t="s">
        <v>2674</v>
      </c>
      <c r="P746" t="s">
        <v>2675</v>
      </c>
      <c r="Q746" t="s">
        <v>2676</v>
      </c>
      <c r="R746" t="s">
        <v>74</v>
      </c>
      <c r="S746" t="s">
        <v>2677</v>
      </c>
      <c r="T746" t="s">
        <v>74</v>
      </c>
      <c r="U746" t="s">
        <v>74</v>
      </c>
      <c r="V746" t="s">
        <v>74</v>
      </c>
      <c r="W746" t="s">
        <v>12950</v>
      </c>
      <c r="X746" t="s">
        <v>74</v>
      </c>
      <c r="Y746" t="s">
        <v>74</v>
      </c>
      <c r="Z746" t="s">
        <v>12951</v>
      </c>
      <c r="AA746" t="s">
        <v>74</v>
      </c>
      <c r="AB746" t="s">
        <v>74</v>
      </c>
      <c r="AC746" t="s">
        <v>74</v>
      </c>
      <c r="AD746" t="s">
        <v>74</v>
      </c>
      <c r="AE746" t="s">
        <v>74</v>
      </c>
      <c r="AF746" t="s">
        <v>74</v>
      </c>
      <c r="AG746">
        <v>0</v>
      </c>
      <c r="AH746">
        <v>1</v>
      </c>
      <c r="AI746">
        <v>2</v>
      </c>
      <c r="AJ746">
        <v>0</v>
      </c>
      <c r="AK746">
        <v>4</v>
      </c>
      <c r="AL746" t="s">
        <v>2682</v>
      </c>
      <c r="AM746" t="s">
        <v>241</v>
      </c>
      <c r="AN746" t="s">
        <v>2683</v>
      </c>
      <c r="AO746" t="s">
        <v>74</v>
      </c>
      <c r="AP746" t="s">
        <v>74</v>
      </c>
      <c r="AQ746" t="s">
        <v>2684</v>
      </c>
      <c r="AR746" t="s">
        <v>74</v>
      </c>
      <c r="AS746" t="s">
        <v>74</v>
      </c>
      <c r="AT746" t="s">
        <v>74</v>
      </c>
      <c r="AU746">
        <v>2011</v>
      </c>
      <c r="AV746" t="s">
        <v>74</v>
      </c>
      <c r="AW746" t="s">
        <v>74</v>
      </c>
      <c r="AX746" t="s">
        <v>74</v>
      </c>
      <c r="AY746" t="s">
        <v>74</v>
      </c>
      <c r="AZ746" t="s">
        <v>74</v>
      </c>
      <c r="BA746" t="s">
        <v>74</v>
      </c>
      <c r="BB746">
        <v>277</v>
      </c>
      <c r="BC746">
        <v>280</v>
      </c>
      <c r="BD746" t="s">
        <v>74</v>
      </c>
      <c r="BE746" t="s">
        <v>74</v>
      </c>
      <c r="BF746" t="s">
        <v>74</v>
      </c>
      <c r="BG746" t="s">
        <v>74</v>
      </c>
      <c r="BH746" t="s">
        <v>74</v>
      </c>
      <c r="BI746">
        <v>4</v>
      </c>
      <c r="BJ746" t="s">
        <v>2685</v>
      </c>
      <c r="BK746" t="s">
        <v>2686</v>
      </c>
      <c r="BL746" t="s">
        <v>2687</v>
      </c>
      <c r="BM746" t="s">
        <v>2688</v>
      </c>
      <c r="BN746" t="s">
        <v>74</v>
      </c>
      <c r="BO746" t="s">
        <v>74</v>
      </c>
      <c r="BP746" t="s">
        <v>74</v>
      </c>
      <c r="BQ746" t="s">
        <v>74</v>
      </c>
      <c r="BR746" t="s">
        <v>103</v>
      </c>
      <c r="BS746" t="s">
        <v>12952</v>
      </c>
      <c r="BT746" t="str">
        <f>HYPERLINK("https%3A%2F%2Fwww.webofscience.com%2Fwos%2Fwoscc%2Ffull-record%2FWOS:000301091500030","View Full Record in Web of Science")</f>
        <v>View Full Record in Web of Science</v>
      </c>
    </row>
    <row r="747" spans="1:72" x14ac:dyDescent="0.15">
      <c r="A747" t="s">
        <v>2268</v>
      </c>
      <c r="B747" t="s">
        <v>12953</v>
      </c>
      <c r="C747" t="s">
        <v>74</v>
      </c>
      <c r="D747" t="s">
        <v>2670</v>
      </c>
      <c r="E747" t="s">
        <v>74</v>
      </c>
      <c r="F747" t="s">
        <v>12954</v>
      </c>
      <c r="G747" t="s">
        <v>74</v>
      </c>
      <c r="H747" t="s">
        <v>74</v>
      </c>
      <c r="I747" t="s">
        <v>12955</v>
      </c>
      <c r="J747" t="s">
        <v>2673</v>
      </c>
      <c r="K747" t="s">
        <v>74</v>
      </c>
      <c r="L747" t="s">
        <v>74</v>
      </c>
      <c r="M747" t="s">
        <v>78</v>
      </c>
      <c r="N747" t="s">
        <v>2275</v>
      </c>
      <c r="O747" t="s">
        <v>2714</v>
      </c>
      <c r="P747" t="s">
        <v>2675</v>
      </c>
      <c r="Q747" t="s">
        <v>2676</v>
      </c>
      <c r="R747" t="s">
        <v>74</v>
      </c>
      <c r="S747" t="s">
        <v>2677</v>
      </c>
      <c r="T747" t="s">
        <v>74</v>
      </c>
      <c r="U747" t="s">
        <v>74</v>
      </c>
      <c r="V747" t="s">
        <v>74</v>
      </c>
      <c r="W747" t="s">
        <v>12956</v>
      </c>
      <c r="X747" t="s">
        <v>12957</v>
      </c>
      <c r="Y747" t="s">
        <v>12958</v>
      </c>
      <c r="Z747" t="s">
        <v>12959</v>
      </c>
      <c r="AA747" t="s">
        <v>74</v>
      </c>
      <c r="AB747" t="s">
        <v>74</v>
      </c>
      <c r="AC747" t="s">
        <v>74</v>
      </c>
      <c r="AD747" t="s">
        <v>74</v>
      </c>
      <c r="AE747" t="s">
        <v>74</v>
      </c>
      <c r="AF747" t="s">
        <v>74</v>
      </c>
      <c r="AG747">
        <v>0</v>
      </c>
      <c r="AH747">
        <v>1</v>
      </c>
      <c r="AI747">
        <v>1</v>
      </c>
      <c r="AJ747">
        <v>0</v>
      </c>
      <c r="AK747">
        <v>9</v>
      </c>
      <c r="AL747" t="s">
        <v>2682</v>
      </c>
      <c r="AM747" t="s">
        <v>241</v>
      </c>
      <c r="AN747" t="s">
        <v>2683</v>
      </c>
      <c r="AO747" t="s">
        <v>74</v>
      </c>
      <c r="AP747" t="s">
        <v>74</v>
      </c>
      <c r="AQ747" t="s">
        <v>2684</v>
      </c>
      <c r="AR747" t="s">
        <v>74</v>
      </c>
      <c r="AS747" t="s">
        <v>74</v>
      </c>
      <c r="AT747" t="s">
        <v>74</v>
      </c>
      <c r="AU747">
        <v>2011</v>
      </c>
      <c r="AV747" t="s">
        <v>74</v>
      </c>
      <c r="AW747" t="s">
        <v>74</v>
      </c>
      <c r="AX747" t="s">
        <v>74</v>
      </c>
      <c r="AY747" t="s">
        <v>74</v>
      </c>
      <c r="AZ747" t="s">
        <v>74</v>
      </c>
      <c r="BA747" t="s">
        <v>74</v>
      </c>
      <c r="BB747">
        <v>295</v>
      </c>
      <c r="BC747" t="s">
        <v>1316</v>
      </c>
      <c r="BD747" t="s">
        <v>74</v>
      </c>
      <c r="BE747" t="s">
        <v>74</v>
      </c>
      <c r="BF747" t="s">
        <v>74</v>
      </c>
      <c r="BG747" t="s">
        <v>74</v>
      </c>
      <c r="BH747" t="s">
        <v>74</v>
      </c>
      <c r="BI747">
        <v>2</v>
      </c>
      <c r="BJ747" t="s">
        <v>2685</v>
      </c>
      <c r="BK747" t="s">
        <v>2686</v>
      </c>
      <c r="BL747" t="s">
        <v>2687</v>
      </c>
      <c r="BM747" t="s">
        <v>2688</v>
      </c>
      <c r="BN747" t="s">
        <v>74</v>
      </c>
      <c r="BO747" t="s">
        <v>74</v>
      </c>
      <c r="BP747" t="s">
        <v>74</v>
      </c>
      <c r="BQ747" t="s">
        <v>74</v>
      </c>
      <c r="BR747" t="s">
        <v>103</v>
      </c>
      <c r="BS747" t="s">
        <v>12960</v>
      </c>
      <c r="BT747" t="str">
        <f>HYPERLINK("https%3A%2F%2Fwww.webofscience.com%2Fwos%2Fwoscc%2Ffull-record%2FWOS:000301091500033","View Full Record in Web of Science")</f>
        <v>View Full Record in Web of Science</v>
      </c>
    </row>
    <row r="748" spans="1:72" x14ac:dyDescent="0.15">
      <c r="A748" t="s">
        <v>2017</v>
      </c>
      <c r="B748" t="s">
        <v>12961</v>
      </c>
      <c r="C748" t="s">
        <v>12962</v>
      </c>
      <c r="D748" t="s">
        <v>74</v>
      </c>
      <c r="E748" t="s">
        <v>74</v>
      </c>
      <c r="F748" t="s">
        <v>12963</v>
      </c>
      <c r="G748" t="s">
        <v>12962</v>
      </c>
      <c r="H748" t="s">
        <v>74</v>
      </c>
      <c r="I748" t="s">
        <v>12964</v>
      </c>
      <c r="J748" t="s">
        <v>12965</v>
      </c>
      <c r="K748" t="s">
        <v>3349</v>
      </c>
      <c r="L748" t="s">
        <v>74</v>
      </c>
      <c r="M748" t="s">
        <v>78</v>
      </c>
      <c r="N748" t="s">
        <v>2370</v>
      </c>
      <c r="O748" t="s">
        <v>74</v>
      </c>
      <c r="P748" t="s">
        <v>74</v>
      </c>
      <c r="Q748" t="s">
        <v>74</v>
      </c>
      <c r="R748" t="s">
        <v>74</v>
      </c>
      <c r="S748" t="s">
        <v>74</v>
      </c>
      <c r="T748" t="s">
        <v>74</v>
      </c>
      <c r="U748" t="s">
        <v>12966</v>
      </c>
      <c r="V748" t="s">
        <v>74</v>
      </c>
      <c r="W748" t="s">
        <v>12967</v>
      </c>
      <c r="X748" t="s">
        <v>12968</v>
      </c>
      <c r="Y748" t="s">
        <v>12969</v>
      </c>
      <c r="Z748" t="s">
        <v>12970</v>
      </c>
      <c r="AA748" t="s">
        <v>74</v>
      </c>
      <c r="AB748" t="s">
        <v>74</v>
      </c>
      <c r="AC748" t="s">
        <v>74</v>
      </c>
      <c r="AD748" t="s">
        <v>74</v>
      </c>
      <c r="AE748" t="s">
        <v>74</v>
      </c>
      <c r="AF748" t="s">
        <v>74</v>
      </c>
      <c r="AG748">
        <v>42</v>
      </c>
      <c r="AH748">
        <v>0</v>
      </c>
      <c r="AI748">
        <v>0</v>
      </c>
      <c r="AJ748">
        <v>0</v>
      </c>
      <c r="AK748">
        <v>2</v>
      </c>
      <c r="AL748" t="s">
        <v>270</v>
      </c>
      <c r="AM748" t="s">
        <v>271</v>
      </c>
      <c r="AN748" t="s">
        <v>2419</v>
      </c>
      <c r="AO748" t="s">
        <v>3357</v>
      </c>
      <c r="AP748" t="s">
        <v>74</v>
      </c>
      <c r="AQ748" t="s">
        <v>12971</v>
      </c>
      <c r="AR748" t="s">
        <v>3359</v>
      </c>
      <c r="AS748" t="s">
        <v>3360</v>
      </c>
      <c r="AT748" t="s">
        <v>74</v>
      </c>
      <c r="AU748">
        <v>2011</v>
      </c>
      <c r="AV748">
        <v>20</v>
      </c>
      <c r="AW748" t="s">
        <v>74</v>
      </c>
      <c r="AX748" t="s">
        <v>74</v>
      </c>
      <c r="AY748" t="s">
        <v>74</v>
      </c>
      <c r="AZ748" t="s">
        <v>74</v>
      </c>
      <c r="BA748" t="s">
        <v>74</v>
      </c>
      <c r="BB748">
        <v>57</v>
      </c>
      <c r="BC748">
        <v>78</v>
      </c>
      <c r="BD748" t="s">
        <v>74</v>
      </c>
      <c r="BE748" t="s">
        <v>74</v>
      </c>
      <c r="BF748" t="s">
        <v>74</v>
      </c>
      <c r="BG748" t="s">
        <v>12972</v>
      </c>
      <c r="BH748" t="s">
        <v>74</v>
      </c>
      <c r="BI748">
        <v>22</v>
      </c>
      <c r="BJ748" t="s">
        <v>12973</v>
      </c>
      <c r="BK748" t="s">
        <v>2384</v>
      </c>
      <c r="BL748" t="s">
        <v>12974</v>
      </c>
      <c r="BM748" t="s">
        <v>12975</v>
      </c>
      <c r="BN748" t="s">
        <v>74</v>
      </c>
      <c r="BO748" t="s">
        <v>138</v>
      </c>
      <c r="BP748" t="s">
        <v>74</v>
      </c>
      <c r="BQ748" t="s">
        <v>74</v>
      </c>
      <c r="BR748" t="s">
        <v>103</v>
      </c>
      <c r="BS748" t="s">
        <v>12976</v>
      </c>
      <c r="BT748" t="str">
        <f>HYPERLINK("https%3A%2F%2Fwww.webofscience.com%2Fwos%2Fwoscc%2Ffull-record%2FWOS:000294369300004","View Full Record in Web of Science")</f>
        <v>View Full Record in Web of Science</v>
      </c>
    </row>
    <row r="749" spans="1:72" x14ac:dyDescent="0.15">
      <c r="A749" t="s">
        <v>72</v>
      </c>
      <c r="B749" t="s">
        <v>12977</v>
      </c>
      <c r="C749" t="s">
        <v>74</v>
      </c>
      <c r="D749" t="s">
        <v>74</v>
      </c>
      <c r="E749" t="s">
        <v>74</v>
      </c>
      <c r="F749" t="s">
        <v>12978</v>
      </c>
      <c r="G749" t="s">
        <v>74</v>
      </c>
      <c r="H749" t="s">
        <v>74</v>
      </c>
      <c r="I749" t="s">
        <v>12979</v>
      </c>
      <c r="J749" t="s">
        <v>12980</v>
      </c>
      <c r="K749" t="s">
        <v>74</v>
      </c>
      <c r="L749" t="s">
        <v>74</v>
      </c>
      <c r="M749" t="s">
        <v>78</v>
      </c>
      <c r="N749" t="s">
        <v>79</v>
      </c>
      <c r="O749" t="s">
        <v>74</v>
      </c>
      <c r="P749" t="s">
        <v>74</v>
      </c>
      <c r="Q749" t="s">
        <v>74</v>
      </c>
      <c r="R749" t="s">
        <v>74</v>
      </c>
      <c r="S749" t="s">
        <v>74</v>
      </c>
      <c r="T749" t="s">
        <v>12981</v>
      </c>
      <c r="U749" t="s">
        <v>74</v>
      </c>
      <c r="V749" t="s">
        <v>12982</v>
      </c>
      <c r="W749" t="s">
        <v>12983</v>
      </c>
      <c r="X749" t="s">
        <v>12984</v>
      </c>
      <c r="Y749" t="s">
        <v>12985</v>
      </c>
      <c r="Z749" t="s">
        <v>12986</v>
      </c>
      <c r="AA749" t="s">
        <v>74</v>
      </c>
      <c r="AB749" t="s">
        <v>74</v>
      </c>
      <c r="AC749" t="s">
        <v>12987</v>
      </c>
      <c r="AD749" t="s">
        <v>12988</v>
      </c>
      <c r="AE749" t="s">
        <v>12989</v>
      </c>
      <c r="AF749" t="s">
        <v>74</v>
      </c>
      <c r="AG749">
        <v>29</v>
      </c>
      <c r="AH749">
        <v>8</v>
      </c>
      <c r="AI749">
        <v>10</v>
      </c>
      <c r="AJ749">
        <v>0</v>
      </c>
      <c r="AK749">
        <v>0</v>
      </c>
      <c r="AL749" t="s">
        <v>4656</v>
      </c>
      <c r="AM749" t="s">
        <v>12990</v>
      </c>
      <c r="AN749" t="s">
        <v>12991</v>
      </c>
      <c r="AO749" t="s">
        <v>12992</v>
      </c>
      <c r="AP749" t="s">
        <v>74</v>
      </c>
      <c r="AQ749" t="s">
        <v>74</v>
      </c>
      <c r="AR749" t="s">
        <v>12993</v>
      </c>
      <c r="AS749" t="s">
        <v>12994</v>
      </c>
      <c r="AT749" t="s">
        <v>74</v>
      </c>
      <c r="AU749">
        <v>2011</v>
      </c>
      <c r="AV749">
        <v>3</v>
      </c>
      <c r="AW749">
        <v>3</v>
      </c>
      <c r="AX749" t="s">
        <v>74</v>
      </c>
      <c r="AY749" t="s">
        <v>74</v>
      </c>
      <c r="AZ749" t="s">
        <v>74</v>
      </c>
      <c r="BA749" t="s">
        <v>74</v>
      </c>
      <c r="BB749">
        <v>216</v>
      </c>
      <c r="BC749">
        <v>222</v>
      </c>
      <c r="BD749" t="s">
        <v>74</v>
      </c>
      <c r="BE749" t="s">
        <v>12995</v>
      </c>
      <c r="BF749" t="str">
        <f>HYPERLINK("http://dx.doi.org/10.3724/SP.J.1226.2011.00216","http://dx.doi.org/10.3724/SP.J.1226.2011.00216")</f>
        <v>http://dx.doi.org/10.3724/SP.J.1226.2011.00216</v>
      </c>
      <c r="BG749" t="s">
        <v>74</v>
      </c>
      <c r="BH749" t="s">
        <v>74</v>
      </c>
      <c r="BI749">
        <v>7</v>
      </c>
      <c r="BJ749" t="s">
        <v>12724</v>
      </c>
      <c r="BK749" t="s">
        <v>6441</v>
      </c>
      <c r="BL749" t="s">
        <v>12725</v>
      </c>
      <c r="BM749" t="s">
        <v>12996</v>
      </c>
      <c r="BN749" t="s">
        <v>74</v>
      </c>
      <c r="BO749" t="s">
        <v>74</v>
      </c>
      <c r="BP749" t="s">
        <v>74</v>
      </c>
      <c r="BQ749" t="s">
        <v>74</v>
      </c>
      <c r="BR749" t="s">
        <v>103</v>
      </c>
      <c r="BS749" t="s">
        <v>12997</v>
      </c>
      <c r="BT749" t="str">
        <f>HYPERLINK("https%3A%2F%2Fwww.webofscience.com%2Fwos%2Fwoscc%2Ffull-record%2FWOS:000422285100004","View Full Record in Web of Science")</f>
        <v>View Full Record in Web of Science</v>
      </c>
    </row>
    <row r="750" spans="1:72" x14ac:dyDescent="0.15">
      <c r="A750" t="s">
        <v>72</v>
      </c>
      <c r="B750" t="s">
        <v>12998</v>
      </c>
      <c r="C750" t="s">
        <v>74</v>
      </c>
      <c r="D750" t="s">
        <v>74</v>
      </c>
      <c r="E750" t="s">
        <v>74</v>
      </c>
      <c r="F750" t="s">
        <v>12999</v>
      </c>
      <c r="G750" t="s">
        <v>74</v>
      </c>
      <c r="H750" t="s">
        <v>74</v>
      </c>
      <c r="I750" t="s">
        <v>13000</v>
      </c>
      <c r="J750" t="s">
        <v>13001</v>
      </c>
      <c r="K750" t="s">
        <v>74</v>
      </c>
      <c r="L750" t="s">
        <v>74</v>
      </c>
      <c r="M750" t="s">
        <v>78</v>
      </c>
      <c r="N750" t="s">
        <v>79</v>
      </c>
      <c r="O750" t="s">
        <v>74</v>
      </c>
      <c r="P750" t="s">
        <v>74</v>
      </c>
      <c r="Q750" t="s">
        <v>74</v>
      </c>
      <c r="R750" t="s">
        <v>74</v>
      </c>
      <c r="S750" t="s">
        <v>74</v>
      </c>
      <c r="T750" t="s">
        <v>74</v>
      </c>
      <c r="U750" t="s">
        <v>13002</v>
      </c>
      <c r="V750" t="s">
        <v>13003</v>
      </c>
      <c r="W750" t="s">
        <v>13004</v>
      </c>
      <c r="X750" t="s">
        <v>13005</v>
      </c>
      <c r="Y750" t="s">
        <v>13006</v>
      </c>
      <c r="Z750" t="s">
        <v>13007</v>
      </c>
      <c r="AA750" t="s">
        <v>74</v>
      </c>
      <c r="AB750" t="s">
        <v>13008</v>
      </c>
      <c r="AC750" t="s">
        <v>13009</v>
      </c>
      <c r="AD750" t="s">
        <v>13010</v>
      </c>
      <c r="AE750" t="s">
        <v>13011</v>
      </c>
      <c r="AF750" t="s">
        <v>74</v>
      </c>
      <c r="AG750">
        <v>33</v>
      </c>
      <c r="AH750">
        <v>8</v>
      </c>
      <c r="AI750">
        <v>8</v>
      </c>
      <c r="AJ750">
        <v>0</v>
      </c>
      <c r="AK750">
        <v>9</v>
      </c>
      <c r="AL750" t="s">
        <v>13012</v>
      </c>
      <c r="AM750" t="s">
        <v>2397</v>
      </c>
      <c r="AN750" t="s">
        <v>13013</v>
      </c>
      <c r="AO750" t="s">
        <v>13014</v>
      </c>
      <c r="AP750" t="s">
        <v>74</v>
      </c>
      <c r="AQ750" t="s">
        <v>74</v>
      </c>
      <c r="AR750" t="s">
        <v>13015</v>
      </c>
      <c r="AS750" t="s">
        <v>13016</v>
      </c>
      <c r="AT750" t="s">
        <v>74</v>
      </c>
      <c r="AU750">
        <v>2011</v>
      </c>
      <c r="AV750">
        <v>47</v>
      </c>
      <c r="AW750" t="s">
        <v>74</v>
      </c>
      <c r="AX750">
        <v>2</v>
      </c>
      <c r="AY750" t="s">
        <v>74</v>
      </c>
      <c r="AZ750" t="s">
        <v>74</v>
      </c>
      <c r="BA750" t="s">
        <v>74</v>
      </c>
      <c r="BB750">
        <v>169</v>
      </c>
      <c r="BC750">
        <v>178</v>
      </c>
      <c r="BD750" t="s">
        <v>74</v>
      </c>
      <c r="BE750" t="s">
        <v>13017</v>
      </c>
      <c r="BF750" t="str">
        <f>HYPERLINK("http://dx.doi.org/10.1144/0036-9276/01-433","http://dx.doi.org/10.1144/0036-9276/01-433")</f>
        <v>http://dx.doi.org/10.1144/0036-9276/01-433</v>
      </c>
      <c r="BG750" t="s">
        <v>74</v>
      </c>
      <c r="BH750" t="s">
        <v>74</v>
      </c>
      <c r="BI750">
        <v>10</v>
      </c>
      <c r="BJ750" t="s">
        <v>397</v>
      </c>
      <c r="BK750" t="s">
        <v>100</v>
      </c>
      <c r="BL750" t="s">
        <v>397</v>
      </c>
      <c r="BM750" t="s">
        <v>13018</v>
      </c>
      <c r="BN750" t="s">
        <v>74</v>
      </c>
      <c r="BO750" t="s">
        <v>74</v>
      </c>
      <c r="BP750" t="s">
        <v>74</v>
      </c>
      <c r="BQ750" t="s">
        <v>74</v>
      </c>
      <c r="BR750" t="s">
        <v>103</v>
      </c>
      <c r="BS750" t="s">
        <v>13019</v>
      </c>
      <c r="BT750" t="str">
        <f>HYPERLINK("https%3A%2F%2Fwww.webofscience.com%2Fwos%2Fwoscc%2Ffull-record%2FWOS:000297673500006","View Full Record in Web of Science")</f>
        <v>View Full Record in Web of Science</v>
      </c>
    </row>
    <row r="751" spans="1:72" x14ac:dyDescent="0.15">
      <c r="A751" t="s">
        <v>72</v>
      </c>
      <c r="B751" t="s">
        <v>13020</v>
      </c>
      <c r="C751" t="s">
        <v>74</v>
      </c>
      <c r="D751" t="s">
        <v>74</v>
      </c>
      <c r="E751" t="s">
        <v>74</v>
      </c>
      <c r="F751" t="s">
        <v>13021</v>
      </c>
      <c r="G751" t="s">
        <v>74</v>
      </c>
      <c r="H751" t="s">
        <v>74</v>
      </c>
      <c r="I751" t="s">
        <v>13022</v>
      </c>
      <c r="J751" t="s">
        <v>13023</v>
      </c>
      <c r="K751" t="s">
        <v>74</v>
      </c>
      <c r="L751" t="s">
        <v>74</v>
      </c>
      <c r="M751" t="s">
        <v>78</v>
      </c>
      <c r="N751" t="s">
        <v>681</v>
      </c>
      <c r="O751" t="s">
        <v>74</v>
      </c>
      <c r="P751" t="s">
        <v>74</v>
      </c>
      <c r="Q751" t="s">
        <v>74</v>
      </c>
      <c r="R751" t="s">
        <v>74</v>
      </c>
      <c r="S751" t="s">
        <v>74</v>
      </c>
      <c r="T751" t="s">
        <v>13024</v>
      </c>
      <c r="U751" t="s">
        <v>13025</v>
      </c>
      <c r="V751" t="s">
        <v>13026</v>
      </c>
      <c r="W751" t="s">
        <v>13027</v>
      </c>
      <c r="X751" t="s">
        <v>13028</v>
      </c>
      <c r="Y751" t="s">
        <v>13029</v>
      </c>
      <c r="Z751" t="s">
        <v>13030</v>
      </c>
      <c r="AA751" t="s">
        <v>74</v>
      </c>
      <c r="AB751" t="s">
        <v>74</v>
      </c>
      <c r="AC751" t="s">
        <v>74</v>
      </c>
      <c r="AD751" t="s">
        <v>74</v>
      </c>
      <c r="AE751" t="s">
        <v>74</v>
      </c>
      <c r="AF751" t="s">
        <v>74</v>
      </c>
      <c r="AG751">
        <v>225</v>
      </c>
      <c r="AH751">
        <v>132</v>
      </c>
      <c r="AI751">
        <v>150</v>
      </c>
      <c r="AJ751">
        <v>3</v>
      </c>
      <c r="AK751">
        <v>76</v>
      </c>
      <c r="AL751" t="s">
        <v>214</v>
      </c>
      <c r="AM751" t="s">
        <v>215</v>
      </c>
      <c r="AN751" t="s">
        <v>216</v>
      </c>
      <c r="AO751" t="s">
        <v>13031</v>
      </c>
      <c r="AP751" t="s">
        <v>13032</v>
      </c>
      <c r="AQ751" t="s">
        <v>74</v>
      </c>
      <c r="AR751" t="s">
        <v>13023</v>
      </c>
      <c r="AS751" t="s">
        <v>13033</v>
      </c>
      <c r="AT751" t="s">
        <v>3935</v>
      </c>
      <c r="AU751">
        <v>2011</v>
      </c>
      <c r="AV751">
        <v>58</v>
      </c>
      <c r="AW751">
        <v>1</v>
      </c>
      <c r="AX751" t="s">
        <v>74</v>
      </c>
      <c r="AY751" t="s">
        <v>74</v>
      </c>
      <c r="AZ751" t="s">
        <v>74</v>
      </c>
      <c r="BA751" t="s">
        <v>74</v>
      </c>
      <c r="BB751">
        <v>57</v>
      </c>
      <c r="BC751">
        <v>119</v>
      </c>
      <c r="BD751" t="s">
        <v>74</v>
      </c>
      <c r="BE751" t="s">
        <v>13034</v>
      </c>
      <c r="BF751" t="str">
        <f>HYPERLINK("http://dx.doi.org/10.1111/j.1365-3091.2010.01206.x","http://dx.doi.org/10.1111/j.1365-3091.2010.01206.x")</f>
        <v>http://dx.doi.org/10.1111/j.1365-3091.2010.01206.x</v>
      </c>
      <c r="BG751" t="s">
        <v>74</v>
      </c>
      <c r="BH751" t="s">
        <v>74</v>
      </c>
      <c r="BI751">
        <v>63</v>
      </c>
      <c r="BJ751" t="s">
        <v>397</v>
      </c>
      <c r="BK751" t="s">
        <v>100</v>
      </c>
      <c r="BL751" t="s">
        <v>397</v>
      </c>
      <c r="BM751" t="s">
        <v>13035</v>
      </c>
      <c r="BN751" t="s">
        <v>74</v>
      </c>
      <c r="BO751" t="s">
        <v>74</v>
      </c>
      <c r="BP751" t="s">
        <v>74</v>
      </c>
      <c r="BQ751" t="s">
        <v>74</v>
      </c>
      <c r="BR751" t="s">
        <v>103</v>
      </c>
      <c r="BS751" t="s">
        <v>13036</v>
      </c>
      <c r="BT751" t="str">
        <f>HYPERLINK("https%3A%2F%2Fwww.webofscience.com%2Fwos%2Fwoscc%2Ffull-record%2FWOS:000285973300003","View Full Record in Web of Science")</f>
        <v>View Full Record in Web of Science</v>
      </c>
    </row>
    <row r="752" spans="1:72" x14ac:dyDescent="0.15">
      <c r="A752" t="s">
        <v>72</v>
      </c>
      <c r="B752" t="s">
        <v>13037</v>
      </c>
      <c r="C752" t="s">
        <v>74</v>
      </c>
      <c r="D752" t="s">
        <v>74</v>
      </c>
      <c r="E752" t="s">
        <v>74</v>
      </c>
      <c r="F752" t="s">
        <v>13038</v>
      </c>
      <c r="G752" t="s">
        <v>74</v>
      </c>
      <c r="H752" t="s">
        <v>74</v>
      </c>
      <c r="I752" t="s">
        <v>13039</v>
      </c>
      <c r="J752" t="s">
        <v>13040</v>
      </c>
      <c r="K752" t="s">
        <v>74</v>
      </c>
      <c r="L752" t="s">
        <v>74</v>
      </c>
      <c r="M752" t="s">
        <v>78</v>
      </c>
      <c r="N752" t="s">
        <v>79</v>
      </c>
      <c r="O752" t="s">
        <v>74</v>
      </c>
      <c r="P752" t="s">
        <v>74</v>
      </c>
      <c r="Q752" t="s">
        <v>74</v>
      </c>
      <c r="R752" t="s">
        <v>74</v>
      </c>
      <c r="S752" t="s">
        <v>74</v>
      </c>
      <c r="T752" t="s">
        <v>74</v>
      </c>
      <c r="U752" t="s">
        <v>13041</v>
      </c>
      <c r="V752" t="s">
        <v>13042</v>
      </c>
      <c r="W752" t="s">
        <v>13043</v>
      </c>
      <c r="X752" t="s">
        <v>13044</v>
      </c>
      <c r="Y752" t="s">
        <v>13045</v>
      </c>
      <c r="Z752" t="s">
        <v>13046</v>
      </c>
      <c r="AA752" t="s">
        <v>13047</v>
      </c>
      <c r="AB752" t="s">
        <v>74</v>
      </c>
      <c r="AC752" t="s">
        <v>13048</v>
      </c>
      <c r="AD752" t="s">
        <v>13049</v>
      </c>
      <c r="AE752" t="s">
        <v>13050</v>
      </c>
      <c r="AF752" t="s">
        <v>74</v>
      </c>
      <c r="AG752">
        <v>23</v>
      </c>
      <c r="AH752">
        <v>36</v>
      </c>
      <c r="AI752">
        <v>38</v>
      </c>
      <c r="AJ752">
        <v>0</v>
      </c>
      <c r="AK752">
        <v>6</v>
      </c>
      <c r="AL752" t="s">
        <v>13051</v>
      </c>
      <c r="AM752" t="s">
        <v>8698</v>
      </c>
      <c r="AN752" t="s">
        <v>13052</v>
      </c>
      <c r="AO752" t="s">
        <v>13053</v>
      </c>
      <c r="AP752" t="s">
        <v>74</v>
      </c>
      <c r="AQ752" t="s">
        <v>74</v>
      </c>
      <c r="AR752" t="s">
        <v>13040</v>
      </c>
      <c r="AS752" t="s">
        <v>13040</v>
      </c>
      <c r="AT752" t="s">
        <v>74</v>
      </c>
      <c r="AU752">
        <v>2011</v>
      </c>
      <c r="AV752">
        <v>7</v>
      </c>
      <c r="AW752" t="s">
        <v>74</v>
      </c>
      <c r="AX752" t="s">
        <v>74</v>
      </c>
      <c r="AY752" t="s">
        <v>74</v>
      </c>
      <c r="AZ752" t="s">
        <v>74</v>
      </c>
      <c r="BA752" t="s">
        <v>74</v>
      </c>
      <c r="BB752">
        <v>17</v>
      </c>
      <c r="BC752">
        <v>20</v>
      </c>
      <c r="BD752" t="s">
        <v>74</v>
      </c>
      <c r="BE752" t="s">
        <v>13054</v>
      </c>
      <c r="BF752" t="str">
        <f>HYPERLINK("http://dx.doi.org/10.2151/sola.2011-005","http://dx.doi.org/10.2151/sola.2011-005")</f>
        <v>http://dx.doi.org/10.2151/sola.2011-005</v>
      </c>
      <c r="BG752" t="s">
        <v>74</v>
      </c>
      <c r="BH752" t="s">
        <v>74</v>
      </c>
      <c r="BI752">
        <v>4</v>
      </c>
      <c r="BJ752" t="s">
        <v>603</v>
      </c>
      <c r="BK752" t="s">
        <v>100</v>
      </c>
      <c r="BL752" t="s">
        <v>603</v>
      </c>
      <c r="BM752" t="s">
        <v>13055</v>
      </c>
      <c r="BN752" t="s">
        <v>74</v>
      </c>
      <c r="BO752" t="s">
        <v>252</v>
      </c>
      <c r="BP752" t="s">
        <v>74</v>
      </c>
      <c r="BQ752" t="s">
        <v>74</v>
      </c>
      <c r="BR752" t="s">
        <v>103</v>
      </c>
      <c r="BS752" t="s">
        <v>13056</v>
      </c>
      <c r="BT752" t="str">
        <f>HYPERLINK("https%3A%2F%2Fwww.webofscience.com%2Fwos%2Fwoscc%2Ffull-record%2FWOS:000286508800001","View Full Record in Web of Science")</f>
        <v>View Full Record in Web of Science</v>
      </c>
    </row>
    <row r="753" spans="1:72" x14ac:dyDescent="0.15">
      <c r="A753" t="s">
        <v>72</v>
      </c>
      <c r="B753" t="s">
        <v>13057</v>
      </c>
      <c r="C753" t="s">
        <v>74</v>
      </c>
      <c r="D753" t="s">
        <v>74</v>
      </c>
      <c r="E753" t="s">
        <v>74</v>
      </c>
      <c r="F753" t="s">
        <v>13058</v>
      </c>
      <c r="G753" t="s">
        <v>74</v>
      </c>
      <c r="H753" t="s">
        <v>74</v>
      </c>
      <c r="I753" t="s">
        <v>13059</v>
      </c>
      <c r="J753" t="s">
        <v>13060</v>
      </c>
      <c r="K753" t="s">
        <v>74</v>
      </c>
      <c r="L753" t="s">
        <v>74</v>
      </c>
      <c r="M753" t="s">
        <v>78</v>
      </c>
      <c r="N753" t="s">
        <v>79</v>
      </c>
      <c r="O753" t="s">
        <v>74</v>
      </c>
      <c r="P753" t="s">
        <v>74</v>
      </c>
      <c r="Q753" t="s">
        <v>74</v>
      </c>
      <c r="R753" t="s">
        <v>74</v>
      </c>
      <c r="S753" t="s">
        <v>74</v>
      </c>
      <c r="T753" t="s">
        <v>13061</v>
      </c>
      <c r="U753" t="s">
        <v>13062</v>
      </c>
      <c r="V753" t="s">
        <v>13063</v>
      </c>
      <c r="W753" t="s">
        <v>13064</v>
      </c>
      <c r="X753" t="s">
        <v>13065</v>
      </c>
      <c r="Y753" t="s">
        <v>13066</v>
      </c>
      <c r="Z753" t="s">
        <v>13067</v>
      </c>
      <c r="AA753" t="s">
        <v>13068</v>
      </c>
      <c r="AB753" t="s">
        <v>74</v>
      </c>
      <c r="AC753" t="s">
        <v>13069</v>
      </c>
      <c r="AD753" t="s">
        <v>13070</v>
      </c>
      <c r="AE753" t="s">
        <v>74</v>
      </c>
      <c r="AF753" t="s">
        <v>74</v>
      </c>
      <c r="AG753">
        <v>14</v>
      </c>
      <c r="AH753">
        <v>13</v>
      </c>
      <c r="AI753">
        <v>13</v>
      </c>
      <c r="AJ753">
        <v>0</v>
      </c>
      <c r="AK753">
        <v>26</v>
      </c>
      <c r="AL753" t="s">
        <v>718</v>
      </c>
      <c r="AM753" t="s">
        <v>719</v>
      </c>
      <c r="AN753" t="s">
        <v>720</v>
      </c>
      <c r="AO753" t="s">
        <v>13071</v>
      </c>
      <c r="AP753" t="s">
        <v>74</v>
      </c>
      <c r="AQ753" t="s">
        <v>74</v>
      </c>
      <c r="AR753" t="s">
        <v>13072</v>
      </c>
      <c r="AS753" t="s">
        <v>13073</v>
      </c>
      <c r="AT753" t="s">
        <v>3935</v>
      </c>
      <c r="AU753">
        <v>2011</v>
      </c>
      <c r="AV753">
        <v>78</v>
      </c>
      <c r="AW753">
        <v>1</v>
      </c>
      <c r="AX753" t="s">
        <v>74</v>
      </c>
      <c r="AY753" t="s">
        <v>74</v>
      </c>
      <c r="AZ753" t="s">
        <v>74</v>
      </c>
      <c r="BA753" t="s">
        <v>74</v>
      </c>
      <c r="BB753">
        <v>191</v>
      </c>
      <c r="BC753">
        <v>195</v>
      </c>
      <c r="BD753" t="s">
        <v>74</v>
      </c>
      <c r="BE753" t="s">
        <v>13074</v>
      </c>
      <c r="BF753" t="str">
        <f>HYPERLINK("http://dx.doi.org/10.1016/j.saa.2010.09.020","http://dx.doi.org/10.1016/j.saa.2010.09.020")</f>
        <v>http://dx.doi.org/10.1016/j.saa.2010.09.020</v>
      </c>
      <c r="BG753" t="s">
        <v>74</v>
      </c>
      <c r="BH753" t="s">
        <v>74</v>
      </c>
      <c r="BI753">
        <v>5</v>
      </c>
      <c r="BJ753" t="s">
        <v>1584</v>
      </c>
      <c r="BK753" t="s">
        <v>100</v>
      </c>
      <c r="BL753" t="s">
        <v>1584</v>
      </c>
      <c r="BM753" t="s">
        <v>13075</v>
      </c>
      <c r="BN753">
        <v>21050806</v>
      </c>
      <c r="BO753" t="s">
        <v>74</v>
      </c>
      <c r="BP753" t="s">
        <v>74</v>
      </c>
      <c r="BQ753" t="s">
        <v>74</v>
      </c>
      <c r="BR753" t="s">
        <v>103</v>
      </c>
      <c r="BS753" t="s">
        <v>13076</v>
      </c>
      <c r="BT753" t="str">
        <f>HYPERLINK("https%3A%2F%2Fwww.webofscience.com%2Fwos%2Fwoscc%2Ffull-record%2FWOS:000287107000028","View Full Record in Web of Science")</f>
        <v>View Full Record in Web of Science</v>
      </c>
    </row>
    <row r="754" spans="1:72" x14ac:dyDescent="0.15">
      <c r="A754" t="s">
        <v>72</v>
      </c>
      <c r="B754" t="s">
        <v>13077</v>
      </c>
      <c r="C754" t="s">
        <v>74</v>
      </c>
      <c r="D754" t="s">
        <v>74</v>
      </c>
      <c r="E754" t="s">
        <v>74</v>
      </c>
      <c r="F754" t="s">
        <v>13078</v>
      </c>
      <c r="G754" t="s">
        <v>74</v>
      </c>
      <c r="H754" t="s">
        <v>74</v>
      </c>
      <c r="I754" t="s">
        <v>13079</v>
      </c>
      <c r="J754" t="s">
        <v>13080</v>
      </c>
      <c r="K754" t="s">
        <v>74</v>
      </c>
      <c r="L754" t="s">
        <v>74</v>
      </c>
      <c r="M754" t="s">
        <v>78</v>
      </c>
      <c r="N754" t="s">
        <v>79</v>
      </c>
      <c r="O754" t="s">
        <v>74</v>
      </c>
      <c r="P754" t="s">
        <v>74</v>
      </c>
      <c r="Q754" t="s">
        <v>74</v>
      </c>
      <c r="R754" t="s">
        <v>74</v>
      </c>
      <c r="S754" t="s">
        <v>74</v>
      </c>
      <c r="T754" t="s">
        <v>13081</v>
      </c>
      <c r="U754" t="s">
        <v>13082</v>
      </c>
      <c r="V754" t="s">
        <v>13083</v>
      </c>
      <c r="W754" t="s">
        <v>13084</v>
      </c>
      <c r="X754" t="s">
        <v>13085</v>
      </c>
      <c r="Y754" t="s">
        <v>13086</v>
      </c>
      <c r="Z754" t="s">
        <v>74</v>
      </c>
      <c r="AA754" t="s">
        <v>13087</v>
      </c>
      <c r="AB754" t="s">
        <v>13088</v>
      </c>
      <c r="AC754" t="s">
        <v>13089</v>
      </c>
      <c r="AD754" t="s">
        <v>13090</v>
      </c>
      <c r="AE754" t="s">
        <v>13091</v>
      </c>
      <c r="AF754" t="s">
        <v>74</v>
      </c>
      <c r="AG754">
        <v>36</v>
      </c>
      <c r="AH754">
        <v>20</v>
      </c>
      <c r="AI754">
        <v>21</v>
      </c>
      <c r="AJ754">
        <v>0</v>
      </c>
      <c r="AK754">
        <v>7</v>
      </c>
      <c r="AL754" t="s">
        <v>13092</v>
      </c>
      <c r="AM754" t="s">
        <v>913</v>
      </c>
      <c r="AN754" t="s">
        <v>13093</v>
      </c>
      <c r="AO754" t="s">
        <v>13094</v>
      </c>
      <c r="AP754" t="s">
        <v>74</v>
      </c>
      <c r="AQ754" t="s">
        <v>74</v>
      </c>
      <c r="AR754" t="s">
        <v>13095</v>
      </c>
      <c r="AS754" t="s">
        <v>13096</v>
      </c>
      <c r="AT754" t="s">
        <v>74</v>
      </c>
      <c r="AU754">
        <v>2011</v>
      </c>
      <c r="AV754">
        <v>4</v>
      </c>
      <c r="AW754">
        <v>1</v>
      </c>
      <c r="AX754" t="s">
        <v>74</v>
      </c>
      <c r="AY754" t="s">
        <v>74</v>
      </c>
      <c r="AZ754" t="s">
        <v>74</v>
      </c>
      <c r="BA754" t="s">
        <v>74</v>
      </c>
      <c r="BB754">
        <v>72</v>
      </c>
      <c r="BC754">
        <v>80</v>
      </c>
      <c r="BD754" t="s">
        <v>74</v>
      </c>
      <c r="BE754" t="s">
        <v>13097</v>
      </c>
      <c r="BF754" t="str">
        <f>HYPERLINK("http://dx.doi.org/10.4056/sigs.1543845","http://dx.doi.org/10.4056/sigs.1543845")</f>
        <v>http://dx.doi.org/10.4056/sigs.1543845</v>
      </c>
      <c r="BG754" t="s">
        <v>74</v>
      </c>
      <c r="BH754" t="s">
        <v>74</v>
      </c>
      <c r="BI754">
        <v>9</v>
      </c>
      <c r="BJ754" t="s">
        <v>13098</v>
      </c>
      <c r="BK754" t="s">
        <v>100</v>
      </c>
      <c r="BL754" t="s">
        <v>13098</v>
      </c>
      <c r="BM754" t="s">
        <v>13099</v>
      </c>
      <c r="BN754">
        <v>21475589</v>
      </c>
      <c r="BO754" t="s">
        <v>6471</v>
      </c>
      <c r="BP754" t="s">
        <v>74</v>
      </c>
      <c r="BQ754" t="s">
        <v>74</v>
      </c>
      <c r="BR754" t="s">
        <v>103</v>
      </c>
      <c r="BS754" t="s">
        <v>13100</v>
      </c>
      <c r="BT754" t="str">
        <f>HYPERLINK("https%3A%2F%2Fwww.webofscience.com%2Fwos%2Fwoscc%2Ffull-record%2FWOS:000290223400008","View Full Record in Web of Science")</f>
        <v>View Full Record in Web of Science</v>
      </c>
    </row>
    <row r="755" spans="1:72" x14ac:dyDescent="0.15">
      <c r="A755" t="s">
        <v>2363</v>
      </c>
      <c r="B755" t="s">
        <v>13101</v>
      </c>
      <c r="C755" t="s">
        <v>74</v>
      </c>
      <c r="D755" t="s">
        <v>13102</v>
      </c>
      <c r="E755" t="s">
        <v>74</v>
      </c>
      <c r="F755" t="s">
        <v>13103</v>
      </c>
      <c r="G755" t="s">
        <v>74</v>
      </c>
      <c r="H755" t="s">
        <v>74</v>
      </c>
      <c r="I755" t="s">
        <v>13104</v>
      </c>
      <c r="J755" t="s">
        <v>13105</v>
      </c>
      <c r="K755" t="s">
        <v>74</v>
      </c>
      <c r="L755" t="s">
        <v>74</v>
      </c>
      <c r="M755" t="s">
        <v>78</v>
      </c>
      <c r="N755" t="s">
        <v>8604</v>
      </c>
      <c r="O755" t="s">
        <v>74</v>
      </c>
      <c r="P755" t="s">
        <v>74</v>
      </c>
      <c r="Q755" t="s">
        <v>74</v>
      </c>
      <c r="R755" t="s">
        <v>74</v>
      </c>
      <c r="S755" t="s">
        <v>74</v>
      </c>
      <c r="T755" t="s">
        <v>74</v>
      </c>
      <c r="U755" t="s">
        <v>13106</v>
      </c>
      <c r="V755" t="s">
        <v>74</v>
      </c>
      <c r="W755" t="s">
        <v>13107</v>
      </c>
      <c r="X755" t="s">
        <v>13108</v>
      </c>
      <c r="Y755" t="s">
        <v>13109</v>
      </c>
      <c r="Z755" t="s">
        <v>74</v>
      </c>
      <c r="AA755" t="s">
        <v>13110</v>
      </c>
      <c r="AB755" t="s">
        <v>13111</v>
      </c>
      <c r="AC755" t="s">
        <v>74</v>
      </c>
      <c r="AD755" t="s">
        <v>74</v>
      </c>
      <c r="AE755" t="s">
        <v>74</v>
      </c>
      <c r="AF755" t="s">
        <v>74</v>
      </c>
      <c r="AG755">
        <v>111</v>
      </c>
      <c r="AH755">
        <v>1</v>
      </c>
      <c r="AI755">
        <v>1</v>
      </c>
      <c r="AJ755">
        <v>0</v>
      </c>
      <c r="AK755">
        <v>5</v>
      </c>
      <c r="AL755" t="s">
        <v>3144</v>
      </c>
      <c r="AM755" t="s">
        <v>2335</v>
      </c>
      <c r="AN755" t="s">
        <v>13112</v>
      </c>
      <c r="AO755" t="s">
        <v>74</v>
      </c>
      <c r="AP755" t="s">
        <v>74</v>
      </c>
      <c r="AQ755" t="s">
        <v>13113</v>
      </c>
      <c r="AR755" t="s">
        <v>74</v>
      </c>
      <c r="AS755" t="s">
        <v>74</v>
      </c>
      <c r="AT755" t="s">
        <v>74</v>
      </c>
      <c r="AU755">
        <v>2011</v>
      </c>
      <c r="AV755" t="s">
        <v>74</v>
      </c>
      <c r="AW755" t="s">
        <v>74</v>
      </c>
      <c r="AX755" t="s">
        <v>74</v>
      </c>
      <c r="AY755" t="s">
        <v>74</v>
      </c>
      <c r="AZ755" t="s">
        <v>74</v>
      </c>
      <c r="BA755" t="s">
        <v>74</v>
      </c>
      <c r="BB755">
        <v>1</v>
      </c>
      <c r="BC755">
        <v>32</v>
      </c>
      <c r="BD755" t="s">
        <v>74</v>
      </c>
      <c r="BE755" t="s">
        <v>74</v>
      </c>
      <c r="BF755" t="s">
        <v>74</v>
      </c>
      <c r="BG755" t="s">
        <v>13114</v>
      </c>
      <c r="BH755" t="s">
        <v>74</v>
      </c>
      <c r="BI755">
        <v>32</v>
      </c>
      <c r="BJ755" t="s">
        <v>4330</v>
      </c>
      <c r="BK755" t="s">
        <v>2384</v>
      </c>
      <c r="BL755" t="s">
        <v>4331</v>
      </c>
      <c r="BM755" t="s">
        <v>13115</v>
      </c>
      <c r="BN755" t="s">
        <v>74</v>
      </c>
      <c r="BO755" t="s">
        <v>74</v>
      </c>
      <c r="BP755" t="s">
        <v>74</v>
      </c>
      <c r="BQ755" t="s">
        <v>74</v>
      </c>
      <c r="BR755" t="s">
        <v>103</v>
      </c>
      <c r="BS755" t="s">
        <v>13116</v>
      </c>
      <c r="BT755" t="str">
        <f>HYPERLINK("https%3A%2F%2Fwww.webofscience.com%2Fwos%2Fwoscc%2Ffull-record%2FWOS:000332344700003","View Full Record in Web of Science")</f>
        <v>View Full Record in Web of Science</v>
      </c>
    </row>
    <row r="756" spans="1:72" x14ac:dyDescent="0.15">
      <c r="A756" t="s">
        <v>2363</v>
      </c>
      <c r="B756" t="s">
        <v>13117</v>
      </c>
      <c r="C756" t="s">
        <v>74</v>
      </c>
      <c r="D756" t="s">
        <v>13102</v>
      </c>
      <c r="E756" t="s">
        <v>74</v>
      </c>
      <c r="F756" t="s">
        <v>13118</v>
      </c>
      <c r="G756" t="s">
        <v>74</v>
      </c>
      <c r="H756" t="s">
        <v>74</v>
      </c>
      <c r="I756" t="s">
        <v>13119</v>
      </c>
      <c r="J756" t="s">
        <v>13105</v>
      </c>
      <c r="K756" t="s">
        <v>74</v>
      </c>
      <c r="L756" t="s">
        <v>74</v>
      </c>
      <c r="M756" t="s">
        <v>78</v>
      </c>
      <c r="N756" t="s">
        <v>2370</v>
      </c>
      <c r="O756" t="s">
        <v>74</v>
      </c>
      <c r="P756" t="s">
        <v>74</v>
      </c>
      <c r="Q756" t="s">
        <v>74</v>
      </c>
      <c r="R756" t="s">
        <v>74</v>
      </c>
      <c r="S756" t="s">
        <v>74</v>
      </c>
      <c r="T756" t="s">
        <v>74</v>
      </c>
      <c r="U756" t="s">
        <v>13120</v>
      </c>
      <c r="V756" t="s">
        <v>74</v>
      </c>
      <c r="W756" t="s">
        <v>13121</v>
      </c>
      <c r="X756" t="s">
        <v>13108</v>
      </c>
      <c r="Y756" t="s">
        <v>13122</v>
      </c>
      <c r="Z756" t="s">
        <v>74</v>
      </c>
      <c r="AA756" t="s">
        <v>13123</v>
      </c>
      <c r="AB756" t="s">
        <v>13124</v>
      </c>
      <c r="AC756" t="s">
        <v>74</v>
      </c>
      <c r="AD756" t="s">
        <v>74</v>
      </c>
      <c r="AE756" t="s">
        <v>74</v>
      </c>
      <c r="AF756" t="s">
        <v>74</v>
      </c>
      <c r="AG756">
        <v>142</v>
      </c>
      <c r="AH756">
        <v>2</v>
      </c>
      <c r="AI756">
        <v>2</v>
      </c>
      <c r="AJ756">
        <v>0</v>
      </c>
      <c r="AK756">
        <v>5</v>
      </c>
      <c r="AL756" t="s">
        <v>3144</v>
      </c>
      <c r="AM756" t="s">
        <v>2335</v>
      </c>
      <c r="AN756" t="s">
        <v>13112</v>
      </c>
      <c r="AO756" t="s">
        <v>74</v>
      </c>
      <c r="AP756" t="s">
        <v>74</v>
      </c>
      <c r="AQ756" t="s">
        <v>13113</v>
      </c>
      <c r="AR756" t="s">
        <v>74</v>
      </c>
      <c r="AS756" t="s">
        <v>74</v>
      </c>
      <c r="AT756" t="s">
        <v>74</v>
      </c>
      <c r="AU756">
        <v>2011</v>
      </c>
      <c r="AV756" t="s">
        <v>74</v>
      </c>
      <c r="AW756" t="s">
        <v>74</v>
      </c>
      <c r="AX756" t="s">
        <v>74</v>
      </c>
      <c r="AY756" t="s">
        <v>74</v>
      </c>
      <c r="AZ756" t="s">
        <v>74</v>
      </c>
      <c r="BA756" t="s">
        <v>74</v>
      </c>
      <c r="BB756">
        <v>78</v>
      </c>
      <c r="BC756">
        <v>107</v>
      </c>
      <c r="BD756" t="s">
        <v>74</v>
      </c>
      <c r="BE756" t="s">
        <v>74</v>
      </c>
      <c r="BF756" t="s">
        <v>74</v>
      </c>
      <c r="BG756" t="s">
        <v>13114</v>
      </c>
      <c r="BH756" t="s">
        <v>74</v>
      </c>
      <c r="BI756">
        <v>30</v>
      </c>
      <c r="BJ756" t="s">
        <v>4330</v>
      </c>
      <c r="BK756" t="s">
        <v>2384</v>
      </c>
      <c r="BL756" t="s">
        <v>4331</v>
      </c>
      <c r="BM756" t="s">
        <v>13115</v>
      </c>
      <c r="BN756" t="s">
        <v>74</v>
      </c>
      <c r="BO756" t="s">
        <v>74</v>
      </c>
      <c r="BP756" t="s">
        <v>74</v>
      </c>
      <c r="BQ756" t="s">
        <v>74</v>
      </c>
      <c r="BR756" t="s">
        <v>103</v>
      </c>
      <c r="BS756" t="s">
        <v>13125</v>
      </c>
      <c r="BT756" t="str">
        <f>HYPERLINK("https%3A%2F%2Fwww.webofscience.com%2Fwos%2Fwoscc%2Ffull-record%2FWOS:000332344700005","View Full Record in Web of Science")</f>
        <v>View Full Record in Web of Science</v>
      </c>
    </row>
    <row r="757" spans="1:72" x14ac:dyDescent="0.15">
      <c r="A757" t="s">
        <v>72</v>
      </c>
      <c r="B757" t="s">
        <v>13126</v>
      </c>
      <c r="C757" t="s">
        <v>74</v>
      </c>
      <c r="D757" t="s">
        <v>74</v>
      </c>
      <c r="E757" t="s">
        <v>74</v>
      </c>
      <c r="F757" t="s">
        <v>13127</v>
      </c>
      <c r="G757" t="s">
        <v>74</v>
      </c>
      <c r="H757" t="s">
        <v>74</v>
      </c>
      <c r="I757" t="s">
        <v>13128</v>
      </c>
      <c r="J757" t="s">
        <v>13129</v>
      </c>
      <c r="K757" t="s">
        <v>74</v>
      </c>
      <c r="L757" t="s">
        <v>74</v>
      </c>
      <c r="M757" t="s">
        <v>78</v>
      </c>
      <c r="N757" t="s">
        <v>79</v>
      </c>
      <c r="O757" t="s">
        <v>74</v>
      </c>
      <c r="P757" t="s">
        <v>74</v>
      </c>
      <c r="Q757" t="s">
        <v>74</v>
      </c>
      <c r="R757" t="s">
        <v>74</v>
      </c>
      <c r="S757" t="s">
        <v>74</v>
      </c>
      <c r="T757" t="s">
        <v>13130</v>
      </c>
      <c r="U757" t="s">
        <v>13131</v>
      </c>
      <c r="V757" t="s">
        <v>13132</v>
      </c>
      <c r="W757" t="s">
        <v>13133</v>
      </c>
      <c r="X757" t="s">
        <v>13134</v>
      </c>
      <c r="Y757" t="s">
        <v>13135</v>
      </c>
      <c r="Z757" t="s">
        <v>13136</v>
      </c>
      <c r="AA757" t="s">
        <v>74</v>
      </c>
      <c r="AB757" t="s">
        <v>13137</v>
      </c>
      <c r="AC757" t="s">
        <v>13138</v>
      </c>
      <c r="AD757" t="s">
        <v>13139</v>
      </c>
      <c r="AE757" t="s">
        <v>13140</v>
      </c>
      <c r="AF757" t="s">
        <v>74</v>
      </c>
      <c r="AG757">
        <v>43</v>
      </c>
      <c r="AH757">
        <v>16</v>
      </c>
      <c r="AI757">
        <v>17</v>
      </c>
      <c r="AJ757">
        <v>0</v>
      </c>
      <c r="AK757">
        <v>16</v>
      </c>
      <c r="AL757" t="s">
        <v>13141</v>
      </c>
      <c r="AM757" t="s">
        <v>13142</v>
      </c>
      <c r="AN757" t="s">
        <v>13143</v>
      </c>
      <c r="AO757" t="s">
        <v>13144</v>
      </c>
      <c r="AP757" t="s">
        <v>13145</v>
      </c>
      <c r="AQ757" t="s">
        <v>74</v>
      </c>
      <c r="AR757" t="s">
        <v>13146</v>
      </c>
      <c r="AS757" t="s">
        <v>13147</v>
      </c>
      <c r="AT757" t="s">
        <v>3108</v>
      </c>
      <c r="AU757">
        <v>2011</v>
      </c>
      <c r="AV757">
        <v>36</v>
      </c>
      <c r="AW757">
        <v>1</v>
      </c>
      <c r="AX757" t="s">
        <v>74</v>
      </c>
      <c r="AY757" t="s">
        <v>74</v>
      </c>
      <c r="AZ757" t="s">
        <v>74</v>
      </c>
      <c r="BA757" t="s">
        <v>74</v>
      </c>
      <c r="BB757">
        <v>22</v>
      </c>
      <c r="BC757">
        <v>32</v>
      </c>
      <c r="BD757" t="s">
        <v>74</v>
      </c>
      <c r="BE757" t="s">
        <v>13148</v>
      </c>
      <c r="BF757" t="str">
        <f>HYPERLINK("http://dx.doi.org/10.1600/036364411X553090","http://dx.doi.org/10.1600/036364411X553090")</f>
        <v>http://dx.doi.org/10.1600/036364411X553090</v>
      </c>
      <c r="BG757" t="s">
        <v>74</v>
      </c>
      <c r="BH757" t="s">
        <v>74</v>
      </c>
      <c r="BI757">
        <v>11</v>
      </c>
      <c r="BJ757" t="s">
        <v>13149</v>
      </c>
      <c r="BK757" t="s">
        <v>100</v>
      </c>
      <c r="BL757" t="s">
        <v>13149</v>
      </c>
      <c r="BM757" t="s">
        <v>13150</v>
      </c>
      <c r="BN757" t="s">
        <v>74</v>
      </c>
      <c r="BO757" t="s">
        <v>74</v>
      </c>
      <c r="BP757" t="s">
        <v>74</v>
      </c>
      <c r="BQ757" t="s">
        <v>74</v>
      </c>
      <c r="BR757" t="s">
        <v>103</v>
      </c>
      <c r="BS757" t="s">
        <v>13151</v>
      </c>
      <c r="BT757" t="str">
        <f>HYPERLINK("https%3A%2F%2Fwww.webofscience.com%2Fwos%2Fwoscc%2Ffull-record%2FWOS:000287772700004","View Full Record in Web of Science")</f>
        <v>View Full Record in Web of Science</v>
      </c>
    </row>
    <row r="758" spans="1:72" x14ac:dyDescent="0.15">
      <c r="A758" t="s">
        <v>2363</v>
      </c>
      <c r="B758" t="s">
        <v>2554</v>
      </c>
      <c r="C758" t="s">
        <v>74</v>
      </c>
      <c r="D758" t="s">
        <v>2554</v>
      </c>
      <c r="E758" t="s">
        <v>74</v>
      </c>
      <c r="F758" t="s">
        <v>13152</v>
      </c>
      <c r="G758" t="s">
        <v>74</v>
      </c>
      <c r="H758" t="s">
        <v>74</v>
      </c>
      <c r="I758" t="s">
        <v>13153</v>
      </c>
      <c r="J758" t="s">
        <v>2556</v>
      </c>
      <c r="K758" t="s">
        <v>2557</v>
      </c>
      <c r="L758" t="s">
        <v>74</v>
      </c>
      <c r="M758" t="s">
        <v>78</v>
      </c>
      <c r="N758" t="s">
        <v>8604</v>
      </c>
      <c r="O758" t="s">
        <v>74</v>
      </c>
      <c r="P758" t="s">
        <v>74</v>
      </c>
      <c r="Q758" t="s">
        <v>74</v>
      </c>
      <c r="R758" t="s">
        <v>74</v>
      </c>
      <c r="S758" t="s">
        <v>74</v>
      </c>
      <c r="T758" t="s">
        <v>74</v>
      </c>
      <c r="U758" t="s">
        <v>74</v>
      </c>
      <c r="V758" t="s">
        <v>13154</v>
      </c>
      <c r="W758" t="s">
        <v>13155</v>
      </c>
      <c r="X758" t="s">
        <v>13156</v>
      </c>
      <c r="Y758" t="s">
        <v>13157</v>
      </c>
      <c r="Z758" t="s">
        <v>13158</v>
      </c>
      <c r="AA758" t="s">
        <v>74</v>
      </c>
      <c r="AB758" t="s">
        <v>74</v>
      </c>
      <c r="AC758" t="s">
        <v>74</v>
      </c>
      <c r="AD758" t="s">
        <v>74</v>
      </c>
      <c r="AE758" t="s">
        <v>74</v>
      </c>
      <c r="AF758" t="s">
        <v>74</v>
      </c>
      <c r="AG758">
        <v>5</v>
      </c>
      <c r="AH758">
        <v>0</v>
      </c>
      <c r="AI758">
        <v>0</v>
      </c>
      <c r="AJ758">
        <v>0</v>
      </c>
      <c r="AK758">
        <v>3</v>
      </c>
      <c r="AL758" t="s">
        <v>240</v>
      </c>
      <c r="AM758" t="s">
        <v>241</v>
      </c>
      <c r="AN758" t="s">
        <v>242</v>
      </c>
      <c r="AO758" t="s">
        <v>74</v>
      </c>
      <c r="AP758" t="s">
        <v>74</v>
      </c>
      <c r="AQ758" t="s">
        <v>2559</v>
      </c>
      <c r="AR758" t="s">
        <v>2560</v>
      </c>
      <c r="AS758" t="s">
        <v>74</v>
      </c>
      <c r="AT758" t="s">
        <v>74</v>
      </c>
      <c r="AU758">
        <v>2011</v>
      </c>
      <c r="AV758">
        <v>63</v>
      </c>
      <c r="AW758" t="s">
        <v>74</v>
      </c>
      <c r="AX758" t="s">
        <v>74</v>
      </c>
      <c r="AY758" t="s">
        <v>74</v>
      </c>
      <c r="AZ758" t="s">
        <v>74</v>
      </c>
      <c r="BA758" t="s">
        <v>74</v>
      </c>
      <c r="BB758">
        <v>1</v>
      </c>
      <c r="BC758">
        <v>3</v>
      </c>
      <c r="BD758" t="s">
        <v>74</v>
      </c>
      <c r="BE758" t="s">
        <v>13159</v>
      </c>
      <c r="BF758" t="str">
        <f>HYPERLINK("http://dx.doi.org/10.1029/2011SP001132","http://dx.doi.org/10.1029/2011SP001132")</f>
        <v>http://dx.doi.org/10.1029/2011SP001132</v>
      </c>
      <c r="BG758" t="s">
        <v>2561</v>
      </c>
      <c r="BH758" t="s">
        <v>74</v>
      </c>
      <c r="BI758">
        <v>3</v>
      </c>
      <c r="BJ758" t="s">
        <v>397</v>
      </c>
      <c r="BK758" t="s">
        <v>2384</v>
      </c>
      <c r="BL758" t="s">
        <v>397</v>
      </c>
      <c r="BM758" t="s">
        <v>2562</v>
      </c>
      <c r="BN758" t="s">
        <v>74</v>
      </c>
      <c r="BO758" t="s">
        <v>74</v>
      </c>
      <c r="BP758" t="s">
        <v>74</v>
      </c>
      <c r="BQ758" t="s">
        <v>74</v>
      </c>
      <c r="BR758" t="s">
        <v>103</v>
      </c>
      <c r="BS758" t="s">
        <v>13160</v>
      </c>
      <c r="BT758" t="str">
        <f>HYPERLINK("https%3A%2F%2Fwww.webofscience.com%2Fwos%2Fwoscc%2Ffull-record%2FWOS:000300647100001","View Full Record in Web of Science")</f>
        <v>View Full Record in Web of Science</v>
      </c>
    </row>
    <row r="759" spans="1:72" x14ac:dyDescent="0.15">
      <c r="A759" t="s">
        <v>72</v>
      </c>
      <c r="B759" t="s">
        <v>13161</v>
      </c>
      <c r="C759" t="s">
        <v>74</v>
      </c>
      <c r="D759" t="s">
        <v>74</v>
      </c>
      <c r="E759" t="s">
        <v>74</v>
      </c>
      <c r="F759" t="s">
        <v>13162</v>
      </c>
      <c r="G759" t="s">
        <v>74</v>
      </c>
      <c r="H759" t="s">
        <v>74</v>
      </c>
      <c r="I759" t="s">
        <v>13163</v>
      </c>
      <c r="J759" t="s">
        <v>13164</v>
      </c>
      <c r="K759" t="s">
        <v>74</v>
      </c>
      <c r="L759" t="s">
        <v>74</v>
      </c>
      <c r="M759" t="s">
        <v>78</v>
      </c>
      <c r="N759" t="s">
        <v>13165</v>
      </c>
      <c r="O759" t="s">
        <v>74</v>
      </c>
      <c r="P759" t="s">
        <v>74</v>
      </c>
      <c r="Q759" t="s">
        <v>74</v>
      </c>
      <c r="R759" t="s">
        <v>74</v>
      </c>
      <c r="S759" t="s">
        <v>74</v>
      </c>
      <c r="T759" t="s">
        <v>74</v>
      </c>
      <c r="U759" t="s">
        <v>74</v>
      </c>
      <c r="V759" t="s">
        <v>74</v>
      </c>
      <c r="W759" t="s">
        <v>74</v>
      </c>
      <c r="X759" t="s">
        <v>74</v>
      </c>
      <c r="Y759" t="s">
        <v>74</v>
      </c>
      <c r="Z759" t="s">
        <v>74</v>
      </c>
      <c r="AA759" t="s">
        <v>74</v>
      </c>
      <c r="AB759" t="s">
        <v>74</v>
      </c>
      <c r="AC759" t="s">
        <v>74</v>
      </c>
      <c r="AD759" t="s">
        <v>74</v>
      </c>
      <c r="AE759" t="s">
        <v>74</v>
      </c>
      <c r="AF759" t="s">
        <v>74</v>
      </c>
      <c r="AG759">
        <v>1</v>
      </c>
      <c r="AH759">
        <v>0</v>
      </c>
      <c r="AI759">
        <v>0</v>
      </c>
      <c r="AJ759">
        <v>0</v>
      </c>
      <c r="AK759">
        <v>0</v>
      </c>
      <c r="AL759" t="s">
        <v>4239</v>
      </c>
      <c r="AM759" t="s">
        <v>475</v>
      </c>
      <c r="AN759" t="s">
        <v>4240</v>
      </c>
      <c r="AO759" t="s">
        <v>13166</v>
      </c>
      <c r="AP759" t="s">
        <v>13167</v>
      </c>
      <c r="AQ759" t="s">
        <v>74</v>
      </c>
      <c r="AR759" t="s">
        <v>13168</v>
      </c>
      <c r="AS759" t="s">
        <v>13169</v>
      </c>
      <c r="AT759" t="s">
        <v>74</v>
      </c>
      <c r="AU759">
        <v>2011</v>
      </c>
      <c r="AV759">
        <v>43</v>
      </c>
      <c r="AW759">
        <v>1</v>
      </c>
      <c r="AX759" t="s">
        <v>74</v>
      </c>
      <c r="AY759" t="s">
        <v>74</v>
      </c>
      <c r="AZ759" t="s">
        <v>74</v>
      </c>
      <c r="BA759" t="s">
        <v>74</v>
      </c>
      <c r="BB759">
        <v>93</v>
      </c>
      <c r="BC759">
        <v>94</v>
      </c>
      <c r="BD759" t="s">
        <v>74</v>
      </c>
      <c r="BE759" t="s">
        <v>74</v>
      </c>
      <c r="BF759" t="s">
        <v>74</v>
      </c>
      <c r="BG759" t="s">
        <v>74</v>
      </c>
      <c r="BH759" t="s">
        <v>74</v>
      </c>
      <c r="BI759">
        <v>2</v>
      </c>
      <c r="BJ759" t="s">
        <v>13170</v>
      </c>
      <c r="BK759" t="s">
        <v>6441</v>
      </c>
      <c r="BL759" t="s">
        <v>13170</v>
      </c>
      <c r="BM759" t="s">
        <v>13171</v>
      </c>
      <c r="BN759" t="s">
        <v>74</v>
      </c>
      <c r="BO759" t="s">
        <v>74</v>
      </c>
      <c r="BP759" t="s">
        <v>74</v>
      </c>
      <c r="BQ759" t="s">
        <v>74</v>
      </c>
      <c r="BR759" t="s">
        <v>103</v>
      </c>
      <c r="BS759" t="s">
        <v>13172</v>
      </c>
      <c r="BT759" t="str">
        <f>HYPERLINK("https%3A%2F%2Fwww.webofscience.com%2Fwos%2Fwoscc%2Ffull-record%2FWOS:000218241500016","View Full Record in Web of Science")</f>
        <v>View Full Record in Web of Science</v>
      </c>
    </row>
    <row r="760" spans="1:72" x14ac:dyDescent="0.15">
      <c r="A760" t="s">
        <v>72</v>
      </c>
      <c r="B760" t="s">
        <v>13173</v>
      </c>
      <c r="C760" t="s">
        <v>74</v>
      </c>
      <c r="D760" t="s">
        <v>74</v>
      </c>
      <c r="E760" t="s">
        <v>74</v>
      </c>
      <c r="F760" t="s">
        <v>13174</v>
      </c>
      <c r="G760" t="s">
        <v>74</v>
      </c>
      <c r="H760" t="s">
        <v>74</v>
      </c>
      <c r="I760" t="s">
        <v>13175</v>
      </c>
      <c r="J760" t="s">
        <v>13176</v>
      </c>
      <c r="K760" t="s">
        <v>74</v>
      </c>
      <c r="L760" t="s">
        <v>74</v>
      </c>
      <c r="M760" t="s">
        <v>78</v>
      </c>
      <c r="N760" t="s">
        <v>79</v>
      </c>
      <c r="O760" t="s">
        <v>74</v>
      </c>
      <c r="P760" t="s">
        <v>74</v>
      </c>
      <c r="Q760" t="s">
        <v>74</v>
      </c>
      <c r="R760" t="s">
        <v>74</v>
      </c>
      <c r="S760" t="s">
        <v>74</v>
      </c>
      <c r="T760" t="s">
        <v>74</v>
      </c>
      <c r="U760" t="s">
        <v>13177</v>
      </c>
      <c r="V760" t="s">
        <v>13178</v>
      </c>
      <c r="W760" t="s">
        <v>13179</v>
      </c>
      <c r="X760" t="s">
        <v>13180</v>
      </c>
      <c r="Y760" t="s">
        <v>13181</v>
      </c>
      <c r="Z760" t="s">
        <v>13182</v>
      </c>
      <c r="AA760" t="s">
        <v>74</v>
      </c>
      <c r="AB760" t="s">
        <v>13183</v>
      </c>
      <c r="AC760" t="s">
        <v>13184</v>
      </c>
      <c r="AD760" t="s">
        <v>13185</v>
      </c>
      <c r="AE760" t="s">
        <v>13186</v>
      </c>
      <c r="AF760" t="s">
        <v>74</v>
      </c>
      <c r="AG760">
        <v>45</v>
      </c>
      <c r="AH760">
        <v>21</v>
      </c>
      <c r="AI760">
        <v>25</v>
      </c>
      <c r="AJ760">
        <v>3</v>
      </c>
      <c r="AK760">
        <v>42</v>
      </c>
      <c r="AL760" t="s">
        <v>13187</v>
      </c>
      <c r="AM760" t="s">
        <v>13188</v>
      </c>
      <c r="AN760" t="s">
        <v>13189</v>
      </c>
      <c r="AO760" t="s">
        <v>13190</v>
      </c>
      <c r="AP760" t="s">
        <v>13191</v>
      </c>
      <c r="AQ760" t="s">
        <v>74</v>
      </c>
      <c r="AR760" t="s">
        <v>13192</v>
      </c>
      <c r="AS760" t="s">
        <v>13193</v>
      </c>
      <c r="AT760" t="s">
        <v>3935</v>
      </c>
      <c r="AU760">
        <v>2011</v>
      </c>
      <c r="AV760">
        <v>103</v>
      </c>
      <c r="AW760" t="s">
        <v>2089</v>
      </c>
      <c r="AX760" t="s">
        <v>74</v>
      </c>
      <c r="AY760" t="s">
        <v>74</v>
      </c>
      <c r="AZ760" t="s">
        <v>74</v>
      </c>
      <c r="BA760" t="s">
        <v>74</v>
      </c>
      <c r="BB760">
        <v>81</v>
      </c>
      <c r="BC760">
        <v>93</v>
      </c>
      <c r="BD760" t="s">
        <v>74</v>
      </c>
      <c r="BE760" t="s">
        <v>13194</v>
      </c>
      <c r="BF760" t="str">
        <f>HYPERLINK("http://dx.doi.org/10.1007/s00704-010-0286-7","http://dx.doi.org/10.1007/s00704-010-0286-7")</f>
        <v>http://dx.doi.org/10.1007/s00704-010-0286-7</v>
      </c>
      <c r="BG760" t="s">
        <v>74</v>
      </c>
      <c r="BH760" t="s">
        <v>74</v>
      </c>
      <c r="BI760">
        <v>13</v>
      </c>
      <c r="BJ760" t="s">
        <v>603</v>
      </c>
      <c r="BK760" t="s">
        <v>100</v>
      </c>
      <c r="BL760" t="s">
        <v>603</v>
      </c>
      <c r="BM760" t="s">
        <v>13195</v>
      </c>
      <c r="BN760" t="s">
        <v>74</v>
      </c>
      <c r="BO760" t="s">
        <v>74</v>
      </c>
      <c r="BP760" t="s">
        <v>74</v>
      </c>
      <c r="BQ760" t="s">
        <v>74</v>
      </c>
      <c r="BR760" t="s">
        <v>103</v>
      </c>
      <c r="BS760" t="s">
        <v>13196</v>
      </c>
      <c r="BT760" t="str">
        <f>HYPERLINK("https%3A%2F%2Fwww.webofscience.com%2Fwos%2Fwoscc%2Ffull-record%2FWOS:000285780900006","View Full Record in Web of Science")</f>
        <v>View Full Record in Web of Science</v>
      </c>
    </row>
    <row r="761" spans="1:72" x14ac:dyDescent="0.15">
      <c r="A761" t="s">
        <v>2363</v>
      </c>
      <c r="B761" t="s">
        <v>13197</v>
      </c>
      <c r="C761" t="s">
        <v>74</v>
      </c>
      <c r="D761" t="s">
        <v>13198</v>
      </c>
      <c r="E761" t="s">
        <v>74</v>
      </c>
      <c r="F761" t="s">
        <v>13199</v>
      </c>
      <c r="G761" t="s">
        <v>74</v>
      </c>
      <c r="H761" t="s">
        <v>74</v>
      </c>
      <c r="I761" t="s">
        <v>13200</v>
      </c>
      <c r="J761" t="s">
        <v>13201</v>
      </c>
      <c r="K761" t="s">
        <v>74</v>
      </c>
      <c r="L761" t="s">
        <v>74</v>
      </c>
      <c r="M761" t="s">
        <v>78</v>
      </c>
      <c r="N761" t="s">
        <v>2370</v>
      </c>
      <c r="O761" t="s">
        <v>74</v>
      </c>
      <c r="P761" t="s">
        <v>74</v>
      </c>
      <c r="Q761" t="s">
        <v>74</v>
      </c>
      <c r="R761" t="s">
        <v>74</v>
      </c>
      <c r="S761" t="s">
        <v>74</v>
      </c>
      <c r="T761" t="s">
        <v>74</v>
      </c>
      <c r="U761" t="s">
        <v>74</v>
      </c>
      <c r="V761" t="s">
        <v>74</v>
      </c>
      <c r="W761" t="s">
        <v>13202</v>
      </c>
      <c r="X761" t="s">
        <v>1036</v>
      </c>
      <c r="Y761" t="s">
        <v>13203</v>
      </c>
      <c r="Z761" t="s">
        <v>74</v>
      </c>
      <c r="AA761" t="s">
        <v>74</v>
      </c>
      <c r="AB761" t="s">
        <v>74</v>
      </c>
      <c r="AC761" t="s">
        <v>74</v>
      </c>
      <c r="AD761" t="s">
        <v>74</v>
      </c>
      <c r="AE761" t="s">
        <v>74</v>
      </c>
      <c r="AF761" t="s">
        <v>74</v>
      </c>
      <c r="AG761">
        <v>5</v>
      </c>
      <c r="AH761">
        <v>0</v>
      </c>
      <c r="AI761">
        <v>0</v>
      </c>
      <c r="AJ761">
        <v>0</v>
      </c>
      <c r="AK761">
        <v>0</v>
      </c>
      <c r="AL761" t="s">
        <v>13204</v>
      </c>
      <c r="AM761" t="s">
        <v>13205</v>
      </c>
      <c r="AN761" t="s">
        <v>13206</v>
      </c>
      <c r="AO761" t="s">
        <v>74</v>
      </c>
      <c r="AP761" t="s">
        <v>74</v>
      </c>
      <c r="AQ761" t="s">
        <v>13207</v>
      </c>
      <c r="AR761" t="s">
        <v>74</v>
      </c>
      <c r="AS761" t="s">
        <v>74</v>
      </c>
      <c r="AT761" t="s">
        <v>74</v>
      </c>
      <c r="AU761">
        <v>2011</v>
      </c>
      <c r="AV761" t="s">
        <v>74</v>
      </c>
      <c r="AW761" t="s">
        <v>74</v>
      </c>
      <c r="AX761" t="s">
        <v>74</v>
      </c>
      <c r="AY761" t="s">
        <v>74</v>
      </c>
      <c r="AZ761" t="s">
        <v>74</v>
      </c>
      <c r="BA761" t="s">
        <v>74</v>
      </c>
      <c r="BB761">
        <v>35</v>
      </c>
      <c r="BC761">
        <v>38</v>
      </c>
      <c r="BD761" t="s">
        <v>74</v>
      </c>
      <c r="BE761" t="s">
        <v>74</v>
      </c>
      <c r="BF761" t="s">
        <v>74</v>
      </c>
      <c r="BG761" t="s">
        <v>13208</v>
      </c>
      <c r="BH761" t="s">
        <v>74</v>
      </c>
      <c r="BI761">
        <v>4</v>
      </c>
      <c r="BJ761" t="s">
        <v>13209</v>
      </c>
      <c r="BK761" t="s">
        <v>2384</v>
      </c>
      <c r="BL761" t="s">
        <v>13210</v>
      </c>
      <c r="BM761" t="s">
        <v>13211</v>
      </c>
      <c r="BN761" t="s">
        <v>74</v>
      </c>
      <c r="BO761" t="s">
        <v>138</v>
      </c>
      <c r="BP761" t="s">
        <v>74</v>
      </c>
      <c r="BQ761" t="s">
        <v>74</v>
      </c>
      <c r="BR761" t="s">
        <v>103</v>
      </c>
      <c r="BS761" t="s">
        <v>13212</v>
      </c>
      <c r="BT761" t="str">
        <f>HYPERLINK("https%3A%2F%2Fwww.webofscience.com%2Fwos%2Fwoscc%2Ffull-record%2FWOS:000341845000006","View Full Record in Web of Science")</f>
        <v>View Full Record in Web of Science</v>
      </c>
    </row>
    <row r="762" spans="1:72" x14ac:dyDescent="0.15">
      <c r="A762" t="s">
        <v>2363</v>
      </c>
      <c r="B762" t="s">
        <v>13213</v>
      </c>
      <c r="C762" t="s">
        <v>74</v>
      </c>
      <c r="D762" t="s">
        <v>13214</v>
      </c>
      <c r="E762" t="s">
        <v>74</v>
      </c>
      <c r="F762" t="s">
        <v>13215</v>
      </c>
      <c r="G762" t="s">
        <v>74</v>
      </c>
      <c r="H762" t="s">
        <v>74</v>
      </c>
      <c r="I762" t="s">
        <v>13216</v>
      </c>
      <c r="J762" t="s">
        <v>13217</v>
      </c>
      <c r="K762" t="s">
        <v>74</v>
      </c>
      <c r="L762" t="s">
        <v>74</v>
      </c>
      <c r="M762" t="s">
        <v>78</v>
      </c>
      <c r="N762" t="s">
        <v>2370</v>
      </c>
      <c r="O762" t="s">
        <v>74</v>
      </c>
      <c r="P762" t="s">
        <v>74</v>
      </c>
      <c r="Q762" t="s">
        <v>74</v>
      </c>
      <c r="R762" t="s">
        <v>74</v>
      </c>
      <c r="S762" t="s">
        <v>74</v>
      </c>
      <c r="T762" t="s">
        <v>74</v>
      </c>
      <c r="U762" t="s">
        <v>13218</v>
      </c>
      <c r="V762" t="s">
        <v>13219</v>
      </c>
      <c r="W762" t="s">
        <v>13220</v>
      </c>
      <c r="X762" t="s">
        <v>13221</v>
      </c>
      <c r="Y762" t="s">
        <v>13222</v>
      </c>
      <c r="Z762" t="s">
        <v>74</v>
      </c>
      <c r="AA762" t="s">
        <v>74</v>
      </c>
      <c r="AB762" t="s">
        <v>74</v>
      </c>
      <c r="AC762" t="s">
        <v>74</v>
      </c>
      <c r="AD762" t="s">
        <v>74</v>
      </c>
      <c r="AE762" t="s">
        <v>74</v>
      </c>
      <c r="AF762" t="s">
        <v>74</v>
      </c>
      <c r="AG762">
        <v>164</v>
      </c>
      <c r="AH762">
        <v>6</v>
      </c>
      <c r="AI762">
        <v>6</v>
      </c>
      <c r="AJ762">
        <v>0</v>
      </c>
      <c r="AK762">
        <v>0</v>
      </c>
      <c r="AL762" t="s">
        <v>2543</v>
      </c>
      <c r="AM762" t="s">
        <v>2544</v>
      </c>
      <c r="AN762" t="s">
        <v>2545</v>
      </c>
      <c r="AO762" t="s">
        <v>74</v>
      </c>
      <c r="AP762" t="s">
        <v>74</v>
      </c>
      <c r="AQ762" t="s">
        <v>13223</v>
      </c>
      <c r="AR762" t="s">
        <v>74</v>
      </c>
      <c r="AS762" t="s">
        <v>74</v>
      </c>
      <c r="AT762" t="s">
        <v>74</v>
      </c>
      <c r="AU762">
        <v>2011</v>
      </c>
      <c r="AV762" t="s">
        <v>74</v>
      </c>
      <c r="AW762" t="s">
        <v>74</v>
      </c>
      <c r="AX762" t="s">
        <v>74</v>
      </c>
      <c r="AY762" t="s">
        <v>74</v>
      </c>
      <c r="AZ762" t="s">
        <v>74</v>
      </c>
      <c r="BA762" t="s">
        <v>74</v>
      </c>
      <c r="BB762">
        <v>223</v>
      </c>
      <c r="BC762">
        <v>243</v>
      </c>
      <c r="BD762" t="s">
        <v>74</v>
      </c>
      <c r="BE762" t="s">
        <v>74</v>
      </c>
      <c r="BF762" t="s">
        <v>74</v>
      </c>
      <c r="BG762" t="s">
        <v>74</v>
      </c>
      <c r="BH762" t="s">
        <v>74</v>
      </c>
      <c r="BI762">
        <v>21</v>
      </c>
      <c r="BJ762" t="s">
        <v>3773</v>
      </c>
      <c r="BK762" t="s">
        <v>2384</v>
      </c>
      <c r="BL762" t="s">
        <v>3774</v>
      </c>
      <c r="BM762" t="s">
        <v>13224</v>
      </c>
      <c r="BN762" t="s">
        <v>74</v>
      </c>
      <c r="BO762" t="s">
        <v>74</v>
      </c>
      <c r="BP762" t="s">
        <v>74</v>
      </c>
      <c r="BQ762" t="s">
        <v>74</v>
      </c>
      <c r="BR762" t="s">
        <v>103</v>
      </c>
      <c r="BS762" t="s">
        <v>13225</v>
      </c>
      <c r="BT762" t="str">
        <f>HYPERLINK("https%3A%2F%2Fwww.webofscience.com%2Fwos%2Fwoscc%2Ffull-record%2FWOS:000333764800009","View Full Record in Web of Science")</f>
        <v>View Full Record in Web of Science</v>
      </c>
    </row>
    <row r="763" spans="1:72" x14ac:dyDescent="0.15">
      <c r="A763" t="s">
        <v>2363</v>
      </c>
      <c r="B763" t="s">
        <v>13226</v>
      </c>
      <c r="C763" t="s">
        <v>74</v>
      </c>
      <c r="D763" t="s">
        <v>13214</v>
      </c>
      <c r="E763" t="s">
        <v>74</v>
      </c>
      <c r="F763" t="s">
        <v>13227</v>
      </c>
      <c r="G763" t="s">
        <v>74</v>
      </c>
      <c r="H763" t="s">
        <v>74</v>
      </c>
      <c r="I763" t="s">
        <v>13228</v>
      </c>
      <c r="J763" t="s">
        <v>13217</v>
      </c>
      <c r="K763" t="s">
        <v>74</v>
      </c>
      <c r="L763" t="s">
        <v>74</v>
      </c>
      <c r="M763" t="s">
        <v>78</v>
      </c>
      <c r="N763" t="s">
        <v>2370</v>
      </c>
      <c r="O763" t="s">
        <v>74</v>
      </c>
      <c r="P763" t="s">
        <v>74</v>
      </c>
      <c r="Q763" t="s">
        <v>74</v>
      </c>
      <c r="R763" t="s">
        <v>74</v>
      </c>
      <c r="S763" t="s">
        <v>74</v>
      </c>
      <c r="T763" t="s">
        <v>74</v>
      </c>
      <c r="U763" t="s">
        <v>13229</v>
      </c>
      <c r="V763" t="s">
        <v>13230</v>
      </c>
      <c r="W763" t="s">
        <v>13231</v>
      </c>
      <c r="X763" t="s">
        <v>13232</v>
      </c>
      <c r="Y763" t="s">
        <v>13222</v>
      </c>
      <c r="Z763" t="s">
        <v>74</v>
      </c>
      <c r="AA763" t="s">
        <v>74</v>
      </c>
      <c r="AB763" t="s">
        <v>74</v>
      </c>
      <c r="AC763" t="s">
        <v>74</v>
      </c>
      <c r="AD763" t="s">
        <v>74</v>
      </c>
      <c r="AE763" t="s">
        <v>74</v>
      </c>
      <c r="AF763" t="s">
        <v>74</v>
      </c>
      <c r="AG763">
        <v>415</v>
      </c>
      <c r="AH763">
        <v>14</v>
      </c>
      <c r="AI763">
        <v>14</v>
      </c>
      <c r="AJ763">
        <v>0</v>
      </c>
      <c r="AK763">
        <v>3</v>
      </c>
      <c r="AL763" t="s">
        <v>2543</v>
      </c>
      <c r="AM763" t="s">
        <v>2544</v>
      </c>
      <c r="AN763" t="s">
        <v>2545</v>
      </c>
      <c r="AO763" t="s">
        <v>74</v>
      </c>
      <c r="AP763" t="s">
        <v>74</v>
      </c>
      <c r="AQ763" t="s">
        <v>13223</v>
      </c>
      <c r="AR763" t="s">
        <v>74</v>
      </c>
      <c r="AS763" t="s">
        <v>74</v>
      </c>
      <c r="AT763" t="s">
        <v>74</v>
      </c>
      <c r="AU763">
        <v>2011</v>
      </c>
      <c r="AV763" t="s">
        <v>74</v>
      </c>
      <c r="AW763" t="s">
        <v>74</v>
      </c>
      <c r="AX763" t="s">
        <v>74</v>
      </c>
      <c r="AY763" t="s">
        <v>74</v>
      </c>
      <c r="AZ763" t="s">
        <v>74</v>
      </c>
      <c r="BA763" t="s">
        <v>74</v>
      </c>
      <c r="BB763">
        <v>245</v>
      </c>
      <c r="BC763">
        <v>283</v>
      </c>
      <c r="BD763" t="s">
        <v>74</v>
      </c>
      <c r="BE763" t="s">
        <v>74</v>
      </c>
      <c r="BF763" t="s">
        <v>74</v>
      </c>
      <c r="BG763" t="s">
        <v>74</v>
      </c>
      <c r="BH763" t="s">
        <v>74</v>
      </c>
      <c r="BI763">
        <v>39</v>
      </c>
      <c r="BJ763" t="s">
        <v>3773</v>
      </c>
      <c r="BK763" t="s">
        <v>2384</v>
      </c>
      <c r="BL763" t="s">
        <v>3774</v>
      </c>
      <c r="BM763" t="s">
        <v>13224</v>
      </c>
      <c r="BN763" t="s">
        <v>74</v>
      </c>
      <c r="BO763" t="s">
        <v>74</v>
      </c>
      <c r="BP763" t="s">
        <v>74</v>
      </c>
      <c r="BQ763" t="s">
        <v>74</v>
      </c>
      <c r="BR763" t="s">
        <v>103</v>
      </c>
      <c r="BS763" t="s">
        <v>13233</v>
      </c>
      <c r="BT763" t="str">
        <f>HYPERLINK("https%3A%2F%2Fwww.webofscience.com%2Fwos%2Fwoscc%2Ffull-record%2FWOS:000333764800010","View Full Record in Web of Science")</f>
        <v>View Full Record in Web of Science</v>
      </c>
    </row>
    <row r="764" spans="1:72" x14ac:dyDescent="0.15">
      <c r="A764" t="s">
        <v>72</v>
      </c>
      <c r="B764" t="s">
        <v>13234</v>
      </c>
      <c r="C764" t="s">
        <v>74</v>
      </c>
      <c r="D764" t="s">
        <v>74</v>
      </c>
      <c r="E764" t="s">
        <v>74</v>
      </c>
      <c r="F764" t="s">
        <v>13235</v>
      </c>
      <c r="G764" t="s">
        <v>74</v>
      </c>
      <c r="H764" t="s">
        <v>74</v>
      </c>
      <c r="I764" t="s">
        <v>13236</v>
      </c>
      <c r="J764" t="s">
        <v>13237</v>
      </c>
      <c r="K764" t="s">
        <v>74</v>
      </c>
      <c r="L764" t="s">
        <v>74</v>
      </c>
      <c r="M764" t="s">
        <v>78</v>
      </c>
      <c r="N764" t="s">
        <v>79</v>
      </c>
      <c r="O764" t="s">
        <v>74</v>
      </c>
      <c r="P764" t="s">
        <v>74</v>
      </c>
      <c r="Q764" t="s">
        <v>74</v>
      </c>
      <c r="R764" t="s">
        <v>74</v>
      </c>
      <c r="S764" t="s">
        <v>74</v>
      </c>
      <c r="T764" t="s">
        <v>74</v>
      </c>
      <c r="U764" t="s">
        <v>13238</v>
      </c>
      <c r="V764" t="s">
        <v>13239</v>
      </c>
      <c r="W764" t="s">
        <v>13240</v>
      </c>
      <c r="X764" t="s">
        <v>13241</v>
      </c>
      <c r="Y764" t="s">
        <v>13242</v>
      </c>
      <c r="Z764" t="s">
        <v>13243</v>
      </c>
      <c r="AA764" t="s">
        <v>13244</v>
      </c>
      <c r="AB764" t="s">
        <v>13245</v>
      </c>
      <c r="AC764" t="s">
        <v>13246</v>
      </c>
      <c r="AD764" t="s">
        <v>13247</v>
      </c>
      <c r="AE764" t="s">
        <v>13248</v>
      </c>
      <c r="AF764" t="s">
        <v>74</v>
      </c>
      <c r="AG764">
        <v>80</v>
      </c>
      <c r="AH764">
        <v>102</v>
      </c>
      <c r="AI764">
        <v>112</v>
      </c>
      <c r="AJ764">
        <v>1</v>
      </c>
      <c r="AK764">
        <v>119</v>
      </c>
      <c r="AL764" t="s">
        <v>13249</v>
      </c>
      <c r="AM764" t="s">
        <v>913</v>
      </c>
      <c r="AN764" t="s">
        <v>13250</v>
      </c>
      <c r="AO764" t="s">
        <v>13251</v>
      </c>
      <c r="AP764" t="s">
        <v>13252</v>
      </c>
      <c r="AQ764" t="s">
        <v>74</v>
      </c>
      <c r="AR764" t="s">
        <v>13253</v>
      </c>
      <c r="AS764" t="s">
        <v>13254</v>
      </c>
      <c r="AT764" t="s">
        <v>3935</v>
      </c>
      <c r="AU764">
        <v>2011</v>
      </c>
      <c r="AV764">
        <v>26</v>
      </c>
      <c r="AW764">
        <v>1</v>
      </c>
      <c r="AX764" t="s">
        <v>74</v>
      </c>
      <c r="AY764" t="s">
        <v>74</v>
      </c>
      <c r="AZ764" t="s">
        <v>74</v>
      </c>
      <c r="BA764" t="s">
        <v>74</v>
      </c>
      <c r="BB764">
        <v>10</v>
      </c>
      <c r="BC764">
        <v>16</v>
      </c>
      <c r="BD764" t="s">
        <v>74</v>
      </c>
      <c r="BE764" t="s">
        <v>13255</v>
      </c>
      <c r="BF764" t="str">
        <f>HYPERLINK("http://dx.doi.org/10.1016/j.tree.2010.11.002","http://dx.doi.org/10.1016/j.tree.2010.11.002")</f>
        <v>http://dx.doi.org/10.1016/j.tree.2010.11.002</v>
      </c>
      <c r="BG764" t="s">
        <v>74</v>
      </c>
      <c r="BH764" t="s">
        <v>74</v>
      </c>
      <c r="BI764">
        <v>7</v>
      </c>
      <c r="BJ764" t="s">
        <v>9232</v>
      </c>
      <c r="BK764" t="s">
        <v>100</v>
      </c>
      <c r="BL764" t="s">
        <v>9233</v>
      </c>
      <c r="BM764" t="s">
        <v>13256</v>
      </c>
      <c r="BN764">
        <v>21126797</v>
      </c>
      <c r="BO764" t="s">
        <v>12701</v>
      </c>
      <c r="BP764" t="s">
        <v>74</v>
      </c>
      <c r="BQ764" t="s">
        <v>74</v>
      </c>
      <c r="BR764" t="s">
        <v>103</v>
      </c>
      <c r="BS764" t="s">
        <v>13257</v>
      </c>
      <c r="BT764" t="str">
        <f>HYPERLINK("https%3A%2F%2Fwww.webofscience.com%2Fwos%2Fwoscc%2Ffull-record%2FWOS:000286550100004","View Full Record in Web of Science")</f>
        <v>View Full Record in Web of Science</v>
      </c>
    </row>
    <row r="765" spans="1:72" x14ac:dyDescent="0.15">
      <c r="A765" t="s">
        <v>72</v>
      </c>
      <c r="B765" t="s">
        <v>13258</v>
      </c>
      <c r="C765" t="s">
        <v>74</v>
      </c>
      <c r="D765" t="s">
        <v>74</v>
      </c>
      <c r="E765" t="s">
        <v>74</v>
      </c>
      <c r="F765" t="s">
        <v>13259</v>
      </c>
      <c r="G765" t="s">
        <v>74</v>
      </c>
      <c r="H765" t="s">
        <v>74</v>
      </c>
      <c r="I765" t="s">
        <v>13260</v>
      </c>
      <c r="J765" t="s">
        <v>3986</v>
      </c>
      <c r="K765" t="s">
        <v>74</v>
      </c>
      <c r="L765" t="s">
        <v>74</v>
      </c>
      <c r="M765" t="s">
        <v>78</v>
      </c>
      <c r="N765" t="s">
        <v>79</v>
      </c>
      <c r="O765" t="s">
        <v>74</v>
      </c>
      <c r="P765" t="s">
        <v>74</v>
      </c>
      <c r="Q765" t="s">
        <v>74</v>
      </c>
      <c r="R765" t="s">
        <v>74</v>
      </c>
      <c r="S765" t="s">
        <v>74</v>
      </c>
      <c r="T765" t="s">
        <v>13261</v>
      </c>
      <c r="U765" t="s">
        <v>13262</v>
      </c>
      <c r="V765" t="s">
        <v>13263</v>
      </c>
      <c r="W765" t="s">
        <v>13264</v>
      </c>
      <c r="X765" t="s">
        <v>5117</v>
      </c>
      <c r="Y765" t="s">
        <v>13265</v>
      </c>
      <c r="Z765" t="s">
        <v>13266</v>
      </c>
      <c r="AA765" t="s">
        <v>74</v>
      </c>
      <c r="AB765" t="s">
        <v>13267</v>
      </c>
      <c r="AC765" t="s">
        <v>13268</v>
      </c>
      <c r="AD765" t="s">
        <v>13268</v>
      </c>
      <c r="AE765" t="s">
        <v>13269</v>
      </c>
      <c r="AF765" t="s">
        <v>74</v>
      </c>
      <c r="AG765">
        <v>96</v>
      </c>
      <c r="AH765">
        <v>39</v>
      </c>
      <c r="AI765">
        <v>39</v>
      </c>
      <c r="AJ765">
        <v>0</v>
      </c>
      <c r="AK765">
        <v>44</v>
      </c>
      <c r="AL765" t="s">
        <v>3995</v>
      </c>
      <c r="AM765" t="s">
        <v>4046</v>
      </c>
      <c r="AN765" t="s">
        <v>4047</v>
      </c>
      <c r="AO765" t="s">
        <v>3998</v>
      </c>
      <c r="AP765" t="s">
        <v>4547</v>
      </c>
      <c r="AQ765" t="s">
        <v>74</v>
      </c>
      <c r="AR765" t="s">
        <v>3999</v>
      </c>
      <c r="AS765" t="s">
        <v>4000</v>
      </c>
      <c r="AT765" t="s">
        <v>74</v>
      </c>
      <c r="AU765">
        <v>2011</v>
      </c>
      <c r="AV765">
        <v>38</v>
      </c>
      <c r="AW765">
        <v>4</v>
      </c>
      <c r="AX765" t="s">
        <v>74</v>
      </c>
      <c r="AY765" t="s">
        <v>74</v>
      </c>
      <c r="AZ765" t="s">
        <v>74</v>
      </c>
      <c r="BA765" t="s">
        <v>74</v>
      </c>
      <c r="BB765">
        <v>261</v>
      </c>
      <c r="BC765">
        <v>270</v>
      </c>
      <c r="BD765" t="s">
        <v>74</v>
      </c>
      <c r="BE765" t="s">
        <v>13270</v>
      </c>
      <c r="BF765" t="str">
        <f>HYPERLINK("http://dx.doi.org/10.1071/WR10108","http://dx.doi.org/10.1071/WR10108")</f>
        <v>http://dx.doi.org/10.1071/WR10108</v>
      </c>
      <c r="BG765" t="s">
        <v>74</v>
      </c>
      <c r="BH765" t="s">
        <v>74</v>
      </c>
      <c r="BI765">
        <v>10</v>
      </c>
      <c r="BJ765" t="s">
        <v>4002</v>
      </c>
      <c r="BK765" t="s">
        <v>100</v>
      </c>
      <c r="BL765" t="s">
        <v>4003</v>
      </c>
      <c r="BM765" t="s">
        <v>13271</v>
      </c>
      <c r="BN765" t="s">
        <v>74</v>
      </c>
      <c r="BO765" t="s">
        <v>74</v>
      </c>
      <c r="BP765" t="s">
        <v>74</v>
      </c>
      <c r="BQ765" t="s">
        <v>74</v>
      </c>
      <c r="BR765" t="s">
        <v>103</v>
      </c>
      <c r="BS765" t="s">
        <v>13272</v>
      </c>
      <c r="BT765" t="str">
        <f>HYPERLINK("https%3A%2F%2Fwww.webofscience.com%2Fwos%2Fwoscc%2Ffull-record%2FWOS:000294499100001","View Full Record in Web of Science")</f>
        <v>View Full Record in Web of Science</v>
      </c>
    </row>
    <row r="766" spans="1:72" x14ac:dyDescent="0.15">
      <c r="A766" t="s">
        <v>2363</v>
      </c>
      <c r="B766" t="s">
        <v>13273</v>
      </c>
      <c r="C766" t="s">
        <v>74</v>
      </c>
      <c r="D766" t="s">
        <v>13274</v>
      </c>
      <c r="E766" t="s">
        <v>74</v>
      </c>
      <c r="F766" t="s">
        <v>13275</v>
      </c>
      <c r="G766" t="s">
        <v>74</v>
      </c>
      <c r="H766" t="s">
        <v>74</v>
      </c>
      <c r="I766" t="s">
        <v>13276</v>
      </c>
      <c r="J766" t="s">
        <v>13277</v>
      </c>
      <c r="K766" t="s">
        <v>74</v>
      </c>
      <c r="L766" t="s">
        <v>74</v>
      </c>
      <c r="M766" t="s">
        <v>78</v>
      </c>
      <c r="N766" t="s">
        <v>2370</v>
      </c>
      <c r="O766" t="s">
        <v>74</v>
      </c>
      <c r="P766" t="s">
        <v>74</v>
      </c>
      <c r="Q766" t="s">
        <v>74</v>
      </c>
      <c r="R766" t="s">
        <v>74</v>
      </c>
      <c r="S766" t="s">
        <v>74</v>
      </c>
      <c r="T766" t="s">
        <v>74</v>
      </c>
      <c r="U766" t="s">
        <v>13278</v>
      </c>
      <c r="V766" t="s">
        <v>74</v>
      </c>
      <c r="W766" t="s">
        <v>13279</v>
      </c>
      <c r="X766" t="s">
        <v>13280</v>
      </c>
      <c r="Y766" t="s">
        <v>74</v>
      </c>
      <c r="Z766" t="s">
        <v>74</v>
      </c>
      <c r="AA766" t="s">
        <v>13281</v>
      </c>
      <c r="AB766" t="s">
        <v>13282</v>
      </c>
      <c r="AC766" t="s">
        <v>74</v>
      </c>
      <c r="AD766" t="s">
        <v>74</v>
      </c>
      <c r="AE766" t="s">
        <v>74</v>
      </c>
      <c r="AF766" t="s">
        <v>74</v>
      </c>
      <c r="AG766">
        <v>39</v>
      </c>
      <c r="AH766">
        <v>5</v>
      </c>
      <c r="AI766">
        <v>5</v>
      </c>
      <c r="AJ766">
        <v>0</v>
      </c>
      <c r="AK766">
        <v>4</v>
      </c>
      <c r="AL766" t="s">
        <v>13283</v>
      </c>
      <c r="AM766" t="s">
        <v>4752</v>
      </c>
      <c r="AN766" t="s">
        <v>13284</v>
      </c>
      <c r="AO766" t="s">
        <v>74</v>
      </c>
      <c r="AP766" t="s">
        <v>74</v>
      </c>
      <c r="AQ766" t="s">
        <v>13285</v>
      </c>
      <c r="AR766" t="s">
        <v>74</v>
      </c>
      <c r="AS766" t="s">
        <v>74</v>
      </c>
      <c r="AT766" t="s">
        <v>74</v>
      </c>
      <c r="AU766">
        <v>2011</v>
      </c>
      <c r="AV766" t="s">
        <v>74</v>
      </c>
      <c r="AW766" t="s">
        <v>74</v>
      </c>
      <c r="AX766" t="s">
        <v>74</v>
      </c>
      <c r="AY766" t="s">
        <v>74</v>
      </c>
      <c r="AZ766" t="s">
        <v>74</v>
      </c>
      <c r="BA766" t="s">
        <v>74</v>
      </c>
      <c r="BB766">
        <v>19</v>
      </c>
      <c r="BC766">
        <v>35</v>
      </c>
      <c r="BD766" t="s">
        <v>74</v>
      </c>
      <c r="BE766" t="s">
        <v>74</v>
      </c>
      <c r="BF766" t="s">
        <v>74</v>
      </c>
      <c r="BG766" t="s">
        <v>74</v>
      </c>
      <c r="BH766" t="s">
        <v>74</v>
      </c>
      <c r="BI766">
        <v>17</v>
      </c>
      <c r="BJ766" t="s">
        <v>13286</v>
      </c>
      <c r="BK766" t="s">
        <v>13287</v>
      </c>
      <c r="BL766" t="s">
        <v>13288</v>
      </c>
      <c r="BM766" t="s">
        <v>13289</v>
      </c>
      <c r="BN766" t="s">
        <v>74</v>
      </c>
      <c r="BO766" t="s">
        <v>74</v>
      </c>
      <c r="BP766" t="s">
        <v>74</v>
      </c>
      <c r="BQ766" t="s">
        <v>74</v>
      </c>
      <c r="BR766" t="s">
        <v>103</v>
      </c>
      <c r="BS766" t="s">
        <v>13290</v>
      </c>
      <c r="BT766" t="str">
        <f>HYPERLINK("https%3A%2F%2Fwww.webofscience.com%2Fwos%2Fwoscc%2Ffull-record%2FWOS:000296244700003","View Full Record in Web of Science")</f>
        <v>View Full Record in Web of Science</v>
      </c>
    </row>
    <row r="767" spans="1:72" x14ac:dyDescent="0.15">
      <c r="A767" t="s">
        <v>2017</v>
      </c>
      <c r="B767" t="s">
        <v>13291</v>
      </c>
      <c r="C767" t="s">
        <v>74</v>
      </c>
      <c r="D767" t="s">
        <v>13292</v>
      </c>
      <c r="E767" t="s">
        <v>74</v>
      </c>
      <c r="F767" t="s">
        <v>13293</v>
      </c>
      <c r="G767" t="s">
        <v>74</v>
      </c>
      <c r="H767" t="s">
        <v>74</v>
      </c>
      <c r="I767" t="s">
        <v>13294</v>
      </c>
      <c r="J767" t="s">
        <v>13295</v>
      </c>
      <c r="K767" t="s">
        <v>13296</v>
      </c>
      <c r="L767" t="s">
        <v>74</v>
      </c>
      <c r="M767" t="s">
        <v>78</v>
      </c>
      <c r="N767" t="s">
        <v>2370</v>
      </c>
      <c r="O767" t="s">
        <v>74</v>
      </c>
      <c r="P767" t="s">
        <v>74</v>
      </c>
      <c r="Q767" t="s">
        <v>74</v>
      </c>
      <c r="R767" t="s">
        <v>74</v>
      </c>
      <c r="S767" t="s">
        <v>74</v>
      </c>
      <c r="T767" t="s">
        <v>13297</v>
      </c>
      <c r="U767" t="s">
        <v>13298</v>
      </c>
      <c r="V767" t="s">
        <v>13299</v>
      </c>
      <c r="W767" t="s">
        <v>13300</v>
      </c>
      <c r="X767" t="s">
        <v>13301</v>
      </c>
      <c r="Y767" t="s">
        <v>13302</v>
      </c>
      <c r="Z767" t="s">
        <v>13303</v>
      </c>
      <c r="AA767" t="s">
        <v>13304</v>
      </c>
      <c r="AB767" t="s">
        <v>13305</v>
      </c>
      <c r="AC767" t="s">
        <v>13306</v>
      </c>
      <c r="AD767" t="s">
        <v>13307</v>
      </c>
      <c r="AE767" t="s">
        <v>74</v>
      </c>
      <c r="AF767" t="s">
        <v>74</v>
      </c>
      <c r="AG767">
        <v>206</v>
      </c>
      <c r="AH767">
        <v>142</v>
      </c>
      <c r="AI767">
        <v>153</v>
      </c>
      <c r="AJ767">
        <v>3</v>
      </c>
      <c r="AK767">
        <v>172</v>
      </c>
      <c r="AL767" t="s">
        <v>13308</v>
      </c>
      <c r="AM767" t="s">
        <v>719</v>
      </c>
      <c r="AN767" t="s">
        <v>13309</v>
      </c>
      <c r="AO767" t="s">
        <v>13310</v>
      </c>
      <c r="AP767" t="s">
        <v>74</v>
      </c>
      <c r="AQ767" t="s">
        <v>13311</v>
      </c>
      <c r="AR767" t="s">
        <v>13312</v>
      </c>
      <c r="AS767" t="s">
        <v>13313</v>
      </c>
      <c r="AT767" t="s">
        <v>74</v>
      </c>
      <c r="AU767">
        <v>2011</v>
      </c>
      <c r="AV767">
        <v>1223</v>
      </c>
      <c r="AW767" t="s">
        <v>74</v>
      </c>
      <c r="AX767" t="s">
        <v>74</v>
      </c>
      <c r="AY767" t="s">
        <v>74</v>
      </c>
      <c r="AZ767" t="s">
        <v>74</v>
      </c>
      <c r="BA767" t="s">
        <v>74</v>
      </c>
      <c r="BB767">
        <v>82</v>
      </c>
      <c r="BC767">
        <v>107</v>
      </c>
      <c r="BD767" t="s">
        <v>74</v>
      </c>
      <c r="BE767" t="s">
        <v>13314</v>
      </c>
      <c r="BF767" t="str">
        <f>HYPERLINK("http://dx.doi.org/10.1111/j.1749-6632.2010.05926.x","http://dx.doi.org/10.1111/j.1749-6632.2010.05926.x")</f>
        <v>http://dx.doi.org/10.1111/j.1749-6632.2010.05926.x</v>
      </c>
      <c r="BG767" t="s">
        <v>74</v>
      </c>
      <c r="BH767" t="s">
        <v>74</v>
      </c>
      <c r="BI767">
        <v>26</v>
      </c>
      <c r="BJ767" t="s">
        <v>13315</v>
      </c>
      <c r="BK767" t="s">
        <v>2551</v>
      </c>
      <c r="BL767" t="s">
        <v>13316</v>
      </c>
      <c r="BM767" t="s">
        <v>13317</v>
      </c>
      <c r="BN767">
        <v>21449967</v>
      </c>
      <c r="BO767" t="s">
        <v>74</v>
      </c>
      <c r="BP767" t="s">
        <v>74</v>
      </c>
      <c r="BQ767" t="s">
        <v>74</v>
      </c>
      <c r="BR767" t="s">
        <v>103</v>
      </c>
      <c r="BS767" t="s">
        <v>13318</v>
      </c>
      <c r="BT767" t="str">
        <f>HYPERLINK("https%3A%2F%2Fwww.webofscience.com%2Fwos%2Fwoscc%2Ffull-record%2FWOS:000290066400005","View Full Record in Web of Science")</f>
        <v>View Full Record in Web of Science</v>
      </c>
    </row>
    <row r="768" spans="1:72" x14ac:dyDescent="0.15">
      <c r="A768" t="s">
        <v>72</v>
      </c>
      <c r="B768" t="s">
        <v>13319</v>
      </c>
      <c r="C768" t="s">
        <v>74</v>
      </c>
      <c r="D768" t="s">
        <v>74</v>
      </c>
      <c r="E768" t="s">
        <v>74</v>
      </c>
      <c r="F768" t="s">
        <v>13320</v>
      </c>
      <c r="G768" t="s">
        <v>74</v>
      </c>
      <c r="H768" t="s">
        <v>74</v>
      </c>
      <c r="I768" t="s">
        <v>13321</v>
      </c>
      <c r="J768" t="s">
        <v>13322</v>
      </c>
      <c r="K768" t="s">
        <v>74</v>
      </c>
      <c r="L768" t="s">
        <v>74</v>
      </c>
      <c r="M768" t="s">
        <v>78</v>
      </c>
      <c r="N768" t="s">
        <v>79</v>
      </c>
      <c r="O768" t="s">
        <v>74</v>
      </c>
      <c r="P768" t="s">
        <v>74</v>
      </c>
      <c r="Q768" t="s">
        <v>74</v>
      </c>
      <c r="R768" t="s">
        <v>74</v>
      </c>
      <c r="S768" t="s">
        <v>74</v>
      </c>
      <c r="T768" t="s">
        <v>13323</v>
      </c>
      <c r="U768" t="s">
        <v>74</v>
      </c>
      <c r="V768" t="s">
        <v>13324</v>
      </c>
      <c r="W768" t="s">
        <v>13325</v>
      </c>
      <c r="X768" t="s">
        <v>13326</v>
      </c>
      <c r="Y768" t="s">
        <v>13327</v>
      </c>
      <c r="Z768" t="s">
        <v>13328</v>
      </c>
      <c r="AA768" t="s">
        <v>74</v>
      </c>
      <c r="AB768" t="s">
        <v>74</v>
      </c>
      <c r="AC768" t="s">
        <v>74</v>
      </c>
      <c r="AD768" t="s">
        <v>74</v>
      </c>
      <c r="AE768" t="s">
        <v>74</v>
      </c>
      <c r="AF768" t="s">
        <v>74</v>
      </c>
      <c r="AG768">
        <v>29</v>
      </c>
      <c r="AH768">
        <v>5</v>
      </c>
      <c r="AI768">
        <v>5</v>
      </c>
      <c r="AJ768">
        <v>0</v>
      </c>
      <c r="AK768">
        <v>0</v>
      </c>
      <c r="AL768" t="s">
        <v>13329</v>
      </c>
      <c r="AM768" t="s">
        <v>7692</v>
      </c>
      <c r="AN768" t="s">
        <v>13330</v>
      </c>
      <c r="AO768" t="s">
        <v>13331</v>
      </c>
      <c r="AP768" t="s">
        <v>13332</v>
      </c>
      <c r="AQ768" t="s">
        <v>74</v>
      </c>
      <c r="AR768" t="s">
        <v>13322</v>
      </c>
      <c r="AS768" t="s">
        <v>13333</v>
      </c>
      <c r="AT768" t="s">
        <v>74</v>
      </c>
      <c r="AU768">
        <v>2011</v>
      </c>
      <c r="AV768" t="s">
        <v>74</v>
      </c>
      <c r="AW768">
        <v>86</v>
      </c>
      <c r="AX768" t="s">
        <v>74</v>
      </c>
      <c r="AY768" t="s">
        <v>74</v>
      </c>
      <c r="AZ768" t="s">
        <v>74</v>
      </c>
      <c r="BA768" t="s">
        <v>74</v>
      </c>
      <c r="BB768">
        <v>11</v>
      </c>
      <c r="BC768">
        <v>45</v>
      </c>
      <c r="BD768" t="s">
        <v>74</v>
      </c>
      <c r="BE768" t="s">
        <v>13334</v>
      </c>
      <c r="BF768" t="str">
        <f>HYPERLINK("http://dx.doi.org/10.3897/zookeys.86.785","http://dx.doi.org/10.3897/zookeys.86.785")</f>
        <v>http://dx.doi.org/10.3897/zookeys.86.785</v>
      </c>
      <c r="BG768" t="s">
        <v>74</v>
      </c>
      <c r="BH768" t="s">
        <v>74</v>
      </c>
      <c r="BI768">
        <v>35</v>
      </c>
      <c r="BJ768" t="s">
        <v>674</v>
      </c>
      <c r="BK768" t="s">
        <v>100</v>
      </c>
      <c r="BL768" t="s">
        <v>674</v>
      </c>
      <c r="BM768" t="s">
        <v>13335</v>
      </c>
      <c r="BN768">
        <v>21594091</v>
      </c>
      <c r="BO768" t="s">
        <v>2181</v>
      </c>
      <c r="BP768" t="s">
        <v>74</v>
      </c>
      <c r="BQ768" t="s">
        <v>74</v>
      </c>
      <c r="BR768" t="s">
        <v>103</v>
      </c>
      <c r="BS768" t="s">
        <v>13336</v>
      </c>
      <c r="BT768" t="str">
        <f>HYPERLINK("https%3A%2F%2Fwww.webofscience.com%2Fwos%2Fwoscc%2Ffull-record%2FWOS:000290363200002","View Full Record in Web of Science")</f>
        <v>View Full Record in Web of Science</v>
      </c>
    </row>
    <row r="769" spans="1:72" x14ac:dyDescent="0.15">
      <c r="A769" t="s">
        <v>72</v>
      </c>
      <c r="B769" t="s">
        <v>13337</v>
      </c>
      <c r="C769" t="s">
        <v>74</v>
      </c>
      <c r="D769" t="s">
        <v>74</v>
      </c>
      <c r="E769" t="s">
        <v>74</v>
      </c>
      <c r="F769" t="s">
        <v>13338</v>
      </c>
      <c r="G769" t="s">
        <v>74</v>
      </c>
      <c r="H769" t="s">
        <v>74</v>
      </c>
      <c r="I769" t="s">
        <v>13339</v>
      </c>
      <c r="J769" t="s">
        <v>1677</v>
      </c>
      <c r="K769" t="s">
        <v>74</v>
      </c>
      <c r="L769" t="s">
        <v>74</v>
      </c>
      <c r="M769" t="s">
        <v>78</v>
      </c>
      <c r="N769" t="s">
        <v>79</v>
      </c>
      <c r="O769" t="s">
        <v>74</v>
      </c>
      <c r="P769" t="s">
        <v>74</v>
      </c>
      <c r="Q769" t="s">
        <v>74</v>
      </c>
      <c r="R769" t="s">
        <v>74</v>
      </c>
      <c r="S769" t="s">
        <v>74</v>
      </c>
      <c r="T769" t="s">
        <v>74</v>
      </c>
      <c r="U769" t="s">
        <v>13340</v>
      </c>
      <c r="V769" t="s">
        <v>13341</v>
      </c>
      <c r="W769" t="s">
        <v>13342</v>
      </c>
      <c r="X769" t="s">
        <v>13343</v>
      </c>
      <c r="Y769" t="s">
        <v>13344</v>
      </c>
      <c r="Z769" t="s">
        <v>13345</v>
      </c>
      <c r="AA769" t="s">
        <v>13346</v>
      </c>
      <c r="AB769" t="s">
        <v>13347</v>
      </c>
      <c r="AC769" t="s">
        <v>13348</v>
      </c>
      <c r="AD769" t="s">
        <v>13349</v>
      </c>
      <c r="AE769" t="s">
        <v>13350</v>
      </c>
      <c r="AF769" t="s">
        <v>74</v>
      </c>
      <c r="AG769">
        <v>20</v>
      </c>
      <c r="AH769">
        <v>12</v>
      </c>
      <c r="AI769">
        <v>12</v>
      </c>
      <c r="AJ769">
        <v>0</v>
      </c>
      <c r="AK769">
        <v>12</v>
      </c>
      <c r="AL769" t="s">
        <v>240</v>
      </c>
      <c r="AM769" t="s">
        <v>241</v>
      </c>
      <c r="AN769" t="s">
        <v>242</v>
      </c>
      <c r="AO769" t="s">
        <v>1688</v>
      </c>
      <c r="AP769" t="s">
        <v>74</v>
      </c>
      <c r="AQ769" t="s">
        <v>74</v>
      </c>
      <c r="AR769" t="s">
        <v>1690</v>
      </c>
      <c r="AS769" t="s">
        <v>1691</v>
      </c>
      <c r="AT769" t="s">
        <v>13351</v>
      </c>
      <c r="AU769">
        <v>2010</v>
      </c>
      <c r="AV769">
        <v>115</v>
      </c>
      <c r="AW769" t="s">
        <v>74</v>
      </c>
      <c r="AX769" t="s">
        <v>74</v>
      </c>
      <c r="AY769" t="s">
        <v>74</v>
      </c>
      <c r="AZ769" t="s">
        <v>74</v>
      </c>
      <c r="BA769" t="s">
        <v>74</v>
      </c>
      <c r="BB769" t="s">
        <v>74</v>
      </c>
      <c r="BC769" t="s">
        <v>74</v>
      </c>
      <c r="BD769" t="s">
        <v>13352</v>
      </c>
      <c r="BE769" t="s">
        <v>13353</v>
      </c>
      <c r="BF769" t="str">
        <f>HYPERLINK("http://dx.doi.org/10.1029/2010JD014070","http://dx.doi.org/10.1029/2010JD014070")</f>
        <v>http://dx.doi.org/10.1029/2010JD014070</v>
      </c>
      <c r="BG769" t="s">
        <v>74</v>
      </c>
      <c r="BH769" t="s">
        <v>74</v>
      </c>
      <c r="BI769">
        <v>10</v>
      </c>
      <c r="BJ769" t="s">
        <v>603</v>
      </c>
      <c r="BK769" t="s">
        <v>100</v>
      </c>
      <c r="BL769" t="s">
        <v>603</v>
      </c>
      <c r="BM769" t="s">
        <v>13354</v>
      </c>
      <c r="BN769" t="s">
        <v>74</v>
      </c>
      <c r="BO769" t="s">
        <v>74</v>
      </c>
      <c r="BP769" t="s">
        <v>74</v>
      </c>
      <c r="BQ769" t="s">
        <v>74</v>
      </c>
      <c r="BR769" t="s">
        <v>103</v>
      </c>
      <c r="BS769" t="s">
        <v>13355</v>
      </c>
      <c r="BT769" t="str">
        <f>HYPERLINK("https%3A%2F%2Fwww.webofscience.com%2Fwos%2Fwoscc%2Ffull-record%2FWOS:000285837600003","View Full Record in Web of Science")</f>
        <v>View Full Record in Web of Science</v>
      </c>
    </row>
    <row r="770" spans="1:72" x14ac:dyDescent="0.15">
      <c r="A770" t="s">
        <v>72</v>
      </c>
      <c r="B770" t="s">
        <v>13356</v>
      </c>
      <c r="C770" t="s">
        <v>74</v>
      </c>
      <c r="D770" t="s">
        <v>74</v>
      </c>
      <c r="E770" t="s">
        <v>74</v>
      </c>
      <c r="F770" t="s">
        <v>13357</v>
      </c>
      <c r="G770" t="s">
        <v>74</v>
      </c>
      <c r="H770" t="s">
        <v>74</v>
      </c>
      <c r="I770" t="s">
        <v>13358</v>
      </c>
      <c r="J770" t="s">
        <v>1725</v>
      </c>
      <c r="K770" t="s">
        <v>74</v>
      </c>
      <c r="L770" t="s">
        <v>74</v>
      </c>
      <c r="M770" t="s">
        <v>78</v>
      </c>
      <c r="N770" t="s">
        <v>79</v>
      </c>
      <c r="O770" t="s">
        <v>74</v>
      </c>
      <c r="P770" t="s">
        <v>74</v>
      </c>
      <c r="Q770" t="s">
        <v>74</v>
      </c>
      <c r="R770" t="s">
        <v>74</v>
      </c>
      <c r="S770" t="s">
        <v>74</v>
      </c>
      <c r="T770" t="s">
        <v>74</v>
      </c>
      <c r="U770" t="s">
        <v>13359</v>
      </c>
      <c r="V770" t="s">
        <v>13360</v>
      </c>
      <c r="W770" t="s">
        <v>13361</v>
      </c>
      <c r="X770" t="s">
        <v>13362</v>
      </c>
      <c r="Y770" t="s">
        <v>13363</v>
      </c>
      <c r="Z770" t="s">
        <v>13364</v>
      </c>
      <c r="AA770" t="s">
        <v>13365</v>
      </c>
      <c r="AB770" t="s">
        <v>13366</v>
      </c>
      <c r="AC770" t="s">
        <v>13367</v>
      </c>
      <c r="AD770" t="s">
        <v>13368</v>
      </c>
      <c r="AE770" t="s">
        <v>13369</v>
      </c>
      <c r="AF770" t="s">
        <v>74</v>
      </c>
      <c r="AG770">
        <v>47</v>
      </c>
      <c r="AH770">
        <v>55</v>
      </c>
      <c r="AI770">
        <v>57</v>
      </c>
      <c r="AJ770">
        <v>1</v>
      </c>
      <c r="AK770">
        <v>46</v>
      </c>
      <c r="AL770" t="s">
        <v>240</v>
      </c>
      <c r="AM770" t="s">
        <v>241</v>
      </c>
      <c r="AN770" t="s">
        <v>242</v>
      </c>
      <c r="AO770" t="s">
        <v>1736</v>
      </c>
      <c r="AP770" t="s">
        <v>1737</v>
      </c>
      <c r="AQ770" t="s">
        <v>74</v>
      </c>
      <c r="AR770" t="s">
        <v>1725</v>
      </c>
      <c r="AS770" t="s">
        <v>1738</v>
      </c>
      <c r="AT770" t="s">
        <v>13351</v>
      </c>
      <c r="AU770">
        <v>2010</v>
      </c>
      <c r="AV770">
        <v>25</v>
      </c>
      <c r="AW770" t="s">
        <v>74</v>
      </c>
      <c r="AX770" t="s">
        <v>74</v>
      </c>
      <c r="AY770" t="s">
        <v>74</v>
      </c>
      <c r="AZ770" t="s">
        <v>74</v>
      </c>
      <c r="BA770" t="s">
        <v>74</v>
      </c>
      <c r="BB770" t="s">
        <v>74</v>
      </c>
      <c r="BC770" t="s">
        <v>74</v>
      </c>
      <c r="BD770" t="s">
        <v>13370</v>
      </c>
      <c r="BE770" t="s">
        <v>13371</v>
      </c>
      <c r="BF770" t="str">
        <f>HYPERLINK("http://dx.doi.org/10.1029/2009PA001892","http://dx.doi.org/10.1029/2009PA001892")</f>
        <v>http://dx.doi.org/10.1029/2009PA001892</v>
      </c>
      <c r="BG770" t="s">
        <v>74</v>
      </c>
      <c r="BH770" t="s">
        <v>74</v>
      </c>
      <c r="BI770">
        <v>12</v>
      </c>
      <c r="BJ770" t="s">
        <v>1741</v>
      </c>
      <c r="BK770" t="s">
        <v>100</v>
      </c>
      <c r="BL770" t="s">
        <v>1742</v>
      </c>
      <c r="BM770" t="s">
        <v>13372</v>
      </c>
      <c r="BN770" t="s">
        <v>74</v>
      </c>
      <c r="BO770" t="s">
        <v>923</v>
      </c>
      <c r="BP770" t="s">
        <v>74</v>
      </c>
      <c r="BQ770" t="s">
        <v>74</v>
      </c>
      <c r="BR770" t="s">
        <v>103</v>
      </c>
      <c r="BS770" t="s">
        <v>13373</v>
      </c>
      <c r="BT770" t="str">
        <f>HYPERLINK("https%3A%2F%2Fwww.webofscience.com%2Fwos%2Fwoscc%2Ffull-record%2FWOS:000285841000001","View Full Record in Web of Science")</f>
        <v>View Full Record in Web of Science</v>
      </c>
    </row>
    <row r="771" spans="1:72" x14ac:dyDescent="0.15">
      <c r="A771" t="s">
        <v>72</v>
      </c>
      <c r="B771" t="s">
        <v>13374</v>
      </c>
      <c r="C771" t="s">
        <v>74</v>
      </c>
      <c r="D771" t="s">
        <v>74</v>
      </c>
      <c r="E771" t="s">
        <v>74</v>
      </c>
      <c r="F771" t="s">
        <v>13375</v>
      </c>
      <c r="G771" t="s">
        <v>74</v>
      </c>
      <c r="H771" t="s">
        <v>74</v>
      </c>
      <c r="I771" t="s">
        <v>13376</v>
      </c>
      <c r="J771" t="s">
        <v>13377</v>
      </c>
      <c r="K771" t="s">
        <v>74</v>
      </c>
      <c r="L771" t="s">
        <v>74</v>
      </c>
      <c r="M771" t="s">
        <v>7904</v>
      </c>
      <c r="N771" t="s">
        <v>79</v>
      </c>
      <c r="O771" t="s">
        <v>74</v>
      </c>
      <c r="P771" t="s">
        <v>74</v>
      </c>
      <c r="Q771" t="s">
        <v>74</v>
      </c>
      <c r="R771" t="s">
        <v>74</v>
      </c>
      <c r="S771" t="s">
        <v>74</v>
      </c>
      <c r="T771" t="s">
        <v>13378</v>
      </c>
      <c r="U771" t="s">
        <v>13379</v>
      </c>
      <c r="V771" t="s">
        <v>13380</v>
      </c>
      <c r="W771" t="s">
        <v>13381</v>
      </c>
      <c r="X771" t="s">
        <v>13382</v>
      </c>
      <c r="Y771" t="s">
        <v>13383</v>
      </c>
      <c r="Z771" t="s">
        <v>13384</v>
      </c>
      <c r="AA771" t="s">
        <v>74</v>
      </c>
      <c r="AB771" t="s">
        <v>74</v>
      </c>
      <c r="AC771" t="s">
        <v>74</v>
      </c>
      <c r="AD771" t="s">
        <v>74</v>
      </c>
      <c r="AE771" t="s">
        <v>74</v>
      </c>
      <c r="AF771" t="s">
        <v>74</v>
      </c>
      <c r="AG771">
        <v>94</v>
      </c>
      <c r="AH771">
        <v>11</v>
      </c>
      <c r="AI771">
        <v>12</v>
      </c>
      <c r="AJ771">
        <v>0</v>
      </c>
      <c r="AK771">
        <v>2</v>
      </c>
      <c r="AL771" t="s">
        <v>13385</v>
      </c>
      <c r="AM771" t="s">
        <v>13386</v>
      </c>
      <c r="AN771" t="s">
        <v>13387</v>
      </c>
      <c r="AO771" t="s">
        <v>13388</v>
      </c>
      <c r="AP771" t="s">
        <v>13389</v>
      </c>
      <c r="AQ771" t="s">
        <v>74</v>
      </c>
      <c r="AR771" t="s">
        <v>13377</v>
      </c>
      <c r="AS771" t="s">
        <v>13390</v>
      </c>
      <c r="AT771" t="s">
        <v>13391</v>
      </c>
      <c r="AU771">
        <v>2010</v>
      </c>
      <c r="AV771">
        <v>47</v>
      </c>
      <c r="AW771">
        <v>4</v>
      </c>
      <c r="AX771" t="s">
        <v>74</v>
      </c>
      <c r="AY771" t="s">
        <v>74</v>
      </c>
      <c r="AZ771" t="s">
        <v>74</v>
      </c>
      <c r="BA771" t="s">
        <v>74</v>
      </c>
      <c r="BB771">
        <v>461</v>
      </c>
      <c r="BC771">
        <v>478</v>
      </c>
      <c r="BD771" t="s">
        <v>74</v>
      </c>
      <c r="BE771" t="s">
        <v>13392</v>
      </c>
      <c r="BF771" t="str">
        <f>HYPERLINK("http://dx.doi.org/10.5710/AMGH.v47i4.5","http://dx.doi.org/10.5710/AMGH.v47i4.5")</f>
        <v>http://dx.doi.org/10.5710/AMGH.v47i4.5</v>
      </c>
      <c r="BG771" t="s">
        <v>74</v>
      </c>
      <c r="BH771" t="s">
        <v>74</v>
      </c>
      <c r="BI771">
        <v>18</v>
      </c>
      <c r="BJ771" t="s">
        <v>5596</v>
      </c>
      <c r="BK771" t="s">
        <v>100</v>
      </c>
      <c r="BL771" t="s">
        <v>5596</v>
      </c>
      <c r="BM771" t="s">
        <v>13393</v>
      </c>
      <c r="BN771" t="s">
        <v>74</v>
      </c>
      <c r="BO771" t="s">
        <v>74</v>
      </c>
      <c r="BP771" t="s">
        <v>74</v>
      </c>
      <c r="BQ771" t="s">
        <v>74</v>
      </c>
      <c r="BR771" t="s">
        <v>103</v>
      </c>
      <c r="BS771" t="s">
        <v>13394</v>
      </c>
      <c r="BT771" t="str">
        <f>HYPERLINK("https%3A%2F%2Fwww.webofscience.com%2Fwos%2Fwoscc%2Ffull-record%2FWOS:000290887400004","View Full Record in Web of Science")</f>
        <v>View Full Record in Web of Science</v>
      </c>
    </row>
    <row r="772" spans="1:72" x14ac:dyDescent="0.15">
      <c r="A772" t="s">
        <v>72</v>
      </c>
      <c r="B772" t="s">
        <v>13395</v>
      </c>
      <c r="C772" t="s">
        <v>74</v>
      </c>
      <c r="D772" t="s">
        <v>74</v>
      </c>
      <c r="E772" t="s">
        <v>74</v>
      </c>
      <c r="F772" t="s">
        <v>13396</v>
      </c>
      <c r="G772" t="s">
        <v>74</v>
      </c>
      <c r="H772" t="s">
        <v>74</v>
      </c>
      <c r="I772" t="s">
        <v>13397</v>
      </c>
      <c r="J772" t="s">
        <v>13398</v>
      </c>
      <c r="K772" t="s">
        <v>74</v>
      </c>
      <c r="L772" t="s">
        <v>74</v>
      </c>
      <c r="M772" t="s">
        <v>78</v>
      </c>
      <c r="N772" t="s">
        <v>79</v>
      </c>
      <c r="O772" t="s">
        <v>74</v>
      </c>
      <c r="P772" t="s">
        <v>74</v>
      </c>
      <c r="Q772" t="s">
        <v>74</v>
      </c>
      <c r="R772" t="s">
        <v>74</v>
      </c>
      <c r="S772" t="s">
        <v>74</v>
      </c>
      <c r="T772" t="s">
        <v>13399</v>
      </c>
      <c r="U772" t="s">
        <v>13400</v>
      </c>
      <c r="V772" t="s">
        <v>13401</v>
      </c>
      <c r="W772" t="s">
        <v>13402</v>
      </c>
      <c r="X772" t="s">
        <v>13403</v>
      </c>
      <c r="Y772" t="s">
        <v>13404</v>
      </c>
      <c r="Z772" t="s">
        <v>13405</v>
      </c>
      <c r="AA772" t="s">
        <v>13406</v>
      </c>
      <c r="AB772" t="s">
        <v>13407</v>
      </c>
      <c r="AC772" t="s">
        <v>13408</v>
      </c>
      <c r="AD772" t="s">
        <v>13409</v>
      </c>
      <c r="AE772" t="s">
        <v>13410</v>
      </c>
      <c r="AF772" t="s">
        <v>74</v>
      </c>
      <c r="AG772">
        <v>34</v>
      </c>
      <c r="AH772">
        <v>14</v>
      </c>
      <c r="AI772">
        <v>15</v>
      </c>
      <c r="AJ772">
        <v>0</v>
      </c>
      <c r="AK772">
        <v>3</v>
      </c>
      <c r="AL772" t="s">
        <v>13411</v>
      </c>
      <c r="AM772" t="s">
        <v>13412</v>
      </c>
      <c r="AN772" t="s">
        <v>13413</v>
      </c>
      <c r="AO772" t="s">
        <v>13414</v>
      </c>
      <c r="AP772" t="s">
        <v>13415</v>
      </c>
      <c r="AQ772" t="s">
        <v>74</v>
      </c>
      <c r="AR772" t="s">
        <v>13398</v>
      </c>
      <c r="AS772" t="s">
        <v>13416</v>
      </c>
      <c r="AT772" t="s">
        <v>13391</v>
      </c>
      <c r="AU772">
        <v>2010</v>
      </c>
      <c r="AV772">
        <v>34</v>
      </c>
      <c r="AW772">
        <v>4</v>
      </c>
      <c r="AX772" t="s">
        <v>74</v>
      </c>
      <c r="AY772" t="s">
        <v>74</v>
      </c>
      <c r="AZ772" t="s">
        <v>74</v>
      </c>
      <c r="BA772" t="s">
        <v>74</v>
      </c>
      <c r="BB772">
        <v>319</v>
      </c>
      <c r="BC772">
        <v>343</v>
      </c>
      <c r="BD772" t="s">
        <v>74</v>
      </c>
      <c r="BE772" t="s">
        <v>74</v>
      </c>
      <c r="BF772" t="s">
        <v>74</v>
      </c>
      <c r="BG772" t="s">
        <v>74</v>
      </c>
      <c r="BH772" t="s">
        <v>74</v>
      </c>
      <c r="BI772">
        <v>25</v>
      </c>
      <c r="BJ772" t="s">
        <v>674</v>
      </c>
      <c r="BK772" t="s">
        <v>100</v>
      </c>
      <c r="BL772" t="s">
        <v>674</v>
      </c>
      <c r="BM772" t="s">
        <v>13417</v>
      </c>
      <c r="BN772" t="s">
        <v>74</v>
      </c>
      <c r="BO772" t="s">
        <v>74</v>
      </c>
      <c r="BP772" t="s">
        <v>74</v>
      </c>
      <c r="BQ772" t="s">
        <v>74</v>
      </c>
      <c r="BR772" t="s">
        <v>103</v>
      </c>
      <c r="BS772" t="s">
        <v>13418</v>
      </c>
      <c r="BT772" t="str">
        <f>HYPERLINK("https%3A%2F%2Fwww.webofscience.com%2Fwos%2Fwoscc%2Ffull-record%2FWOS:000288587700001","View Full Record in Web of Science")</f>
        <v>View Full Record in Web of Science</v>
      </c>
    </row>
    <row r="773" spans="1:72" x14ac:dyDescent="0.15">
      <c r="A773" t="s">
        <v>72</v>
      </c>
      <c r="B773" t="s">
        <v>13419</v>
      </c>
      <c r="C773" t="s">
        <v>74</v>
      </c>
      <c r="D773" t="s">
        <v>74</v>
      </c>
      <c r="E773" t="s">
        <v>74</v>
      </c>
      <c r="F773" t="s">
        <v>13420</v>
      </c>
      <c r="G773" t="s">
        <v>74</v>
      </c>
      <c r="H773" t="s">
        <v>74</v>
      </c>
      <c r="I773" t="s">
        <v>13421</v>
      </c>
      <c r="J773" t="s">
        <v>1677</v>
      </c>
      <c r="K773" t="s">
        <v>74</v>
      </c>
      <c r="L773" t="s">
        <v>74</v>
      </c>
      <c r="M773" t="s">
        <v>78</v>
      </c>
      <c r="N773" t="s">
        <v>79</v>
      </c>
      <c r="O773" t="s">
        <v>74</v>
      </c>
      <c r="P773" t="s">
        <v>74</v>
      </c>
      <c r="Q773" t="s">
        <v>74</v>
      </c>
      <c r="R773" t="s">
        <v>74</v>
      </c>
      <c r="S773" t="s">
        <v>74</v>
      </c>
      <c r="T773" t="s">
        <v>74</v>
      </c>
      <c r="U773" t="s">
        <v>13422</v>
      </c>
      <c r="V773" t="s">
        <v>13423</v>
      </c>
      <c r="W773" t="s">
        <v>13424</v>
      </c>
      <c r="X773" t="s">
        <v>13425</v>
      </c>
      <c r="Y773" t="s">
        <v>13426</v>
      </c>
      <c r="Z773" t="s">
        <v>13427</v>
      </c>
      <c r="AA773" t="s">
        <v>13428</v>
      </c>
      <c r="AB773" t="s">
        <v>13429</v>
      </c>
      <c r="AC773" t="s">
        <v>13430</v>
      </c>
      <c r="AD773" t="s">
        <v>13431</v>
      </c>
      <c r="AE773" t="s">
        <v>13432</v>
      </c>
      <c r="AF773" t="s">
        <v>74</v>
      </c>
      <c r="AG773">
        <v>49</v>
      </c>
      <c r="AH773">
        <v>13</v>
      </c>
      <c r="AI773">
        <v>13</v>
      </c>
      <c r="AJ773">
        <v>0</v>
      </c>
      <c r="AK773">
        <v>20</v>
      </c>
      <c r="AL773" t="s">
        <v>240</v>
      </c>
      <c r="AM773" t="s">
        <v>241</v>
      </c>
      <c r="AN773" t="s">
        <v>242</v>
      </c>
      <c r="AO773" t="s">
        <v>1688</v>
      </c>
      <c r="AP773" t="s">
        <v>1689</v>
      </c>
      <c r="AQ773" t="s">
        <v>74</v>
      </c>
      <c r="AR773" t="s">
        <v>1690</v>
      </c>
      <c r="AS773" t="s">
        <v>1691</v>
      </c>
      <c r="AT773" t="s">
        <v>13391</v>
      </c>
      <c r="AU773">
        <v>2010</v>
      </c>
      <c r="AV773">
        <v>115</v>
      </c>
      <c r="AW773" t="s">
        <v>74</v>
      </c>
      <c r="AX773" t="s">
        <v>74</v>
      </c>
      <c r="AY773" t="s">
        <v>74</v>
      </c>
      <c r="AZ773" t="s">
        <v>74</v>
      </c>
      <c r="BA773" t="s">
        <v>74</v>
      </c>
      <c r="BB773" t="s">
        <v>74</v>
      </c>
      <c r="BC773" t="s">
        <v>74</v>
      </c>
      <c r="BD773" t="s">
        <v>13433</v>
      </c>
      <c r="BE773" t="s">
        <v>13434</v>
      </c>
      <c r="BF773" t="str">
        <f>HYPERLINK("http://dx.doi.org/10.1029/2010JD014791","http://dx.doi.org/10.1029/2010JD014791")</f>
        <v>http://dx.doi.org/10.1029/2010JD014791</v>
      </c>
      <c r="BG773" t="s">
        <v>74</v>
      </c>
      <c r="BH773" t="s">
        <v>74</v>
      </c>
      <c r="BI773">
        <v>14</v>
      </c>
      <c r="BJ773" t="s">
        <v>603</v>
      </c>
      <c r="BK773" t="s">
        <v>100</v>
      </c>
      <c r="BL773" t="s">
        <v>603</v>
      </c>
      <c r="BM773" t="s">
        <v>13435</v>
      </c>
      <c r="BN773" t="s">
        <v>74</v>
      </c>
      <c r="BO773" t="s">
        <v>252</v>
      </c>
      <c r="BP773" t="s">
        <v>74</v>
      </c>
      <c r="BQ773" t="s">
        <v>74</v>
      </c>
      <c r="BR773" t="s">
        <v>103</v>
      </c>
      <c r="BS773" t="s">
        <v>13436</v>
      </c>
      <c r="BT773" t="str">
        <f>HYPERLINK("https%3A%2F%2Fwww.webofscience.com%2Fwos%2Fwoscc%2Ffull-record%2FWOS:000285837500004","View Full Record in Web of Science")</f>
        <v>View Full Record in Web of Science</v>
      </c>
    </row>
    <row r="774" spans="1:72" x14ac:dyDescent="0.15">
      <c r="A774" t="s">
        <v>72</v>
      </c>
      <c r="B774" t="s">
        <v>13437</v>
      </c>
      <c r="C774" t="s">
        <v>74</v>
      </c>
      <c r="D774" t="s">
        <v>74</v>
      </c>
      <c r="E774" t="s">
        <v>74</v>
      </c>
      <c r="F774" t="s">
        <v>13438</v>
      </c>
      <c r="G774" t="s">
        <v>74</v>
      </c>
      <c r="H774" t="s">
        <v>74</v>
      </c>
      <c r="I774" t="s">
        <v>13439</v>
      </c>
      <c r="J774" t="s">
        <v>13440</v>
      </c>
      <c r="K774" t="s">
        <v>74</v>
      </c>
      <c r="L774" t="s">
        <v>74</v>
      </c>
      <c r="M774" t="s">
        <v>78</v>
      </c>
      <c r="N774" t="s">
        <v>79</v>
      </c>
      <c r="O774" t="s">
        <v>74</v>
      </c>
      <c r="P774" t="s">
        <v>74</v>
      </c>
      <c r="Q774" t="s">
        <v>74</v>
      </c>
      <c r="R774" t="s">
        <v>74</v>
      </c>
      <c r="S774" t="s">
        <v>74</v>
      </c>
      <c r="T774" t="s">
        <v>74</v>
      </c>
      <c r="U774" t="s">
        <v>13441</v>
      </c>
      <c r="V774" t="s">
        <v>13442</v>
      </c>
      <c r="W774" t="s">
        <v>13443</v>
      </c>
      <c r="X774" t="s">
        <v>13444</v>
      </c>
      <c r="Y774" t="s">
        <v>13445</v>
      </c>
      <c r="Z774" t="s">
        <v>13446</v>
      </c>
      <c r="AA774" t="s">
        <v>13447</v>
      </c>
      <c r="AB774" t="s">
        <v>13448</v>
      </c>
      <c r="AC774" t="s">
        <v>13449</v>
      </c>
      <c r="AD774" t="s">
        <v>13450</v>
      </c>
      <c r="AE774" t="s">
        <v>13451</v>
      </c>
      <c r="AF774" t="s">
        <v>74</v>
      </c>
      <c r="AG774">
        <v>87</v>
      </c>
      <c r="AH774">
        <v>98</v>
      </c>
      <c r="AI774">
        <v>108</v>
      </c>
      <c r="AJ774">
        <v>1</v>
      </c>
      <c r="AK774">
        <v>51</v>
      </c>
      <c r="AL774" t="s">
        <v>240</v>
      </c>
      <c r="AM774" t="s">
        <v>241</v>
      </c>
      <c r="AN774" t="s">
        <v>242</v>
      </c>
      <c r="AO774" t="s">
        <v>74</v>
      </c>
      <c r="AP774" t="s">
        <v>13452</v>
      </c>
      <c r="AQ774" t="s">
        <v>74</v>
      </c>
      <c r="AR774" t="s">
        <v>13440</v>
      </c>
      <c r="AS774" t="s">
        <v>13453</v>
      </c>
      <c r="AT774" t="s">
        <v>13454</v>
      </c>
      <c r="AU774">
        <v>2010</v>
      </c>
      <c r="AV774">
        <v>29</v>
      </c>
      <c r="AW774" t="s">
        <v>74</v>
      </c>
      <c r="AX774" t="s">
        <v>74</v>
      </c>
      <c r="AY774" t="s">
        <v>74</v>
      </c>
      <c r="AZ774" t="s">
        <v>74</v>
      </c>
      <c r="BA774" t="s">
        <v>74</v>
      </c>
      <c r="BB774" t="s">
        <v>74</v>
      </c>
      <c r="BC774" t="s">
        <v>74</v>
      </c>
      <c r="BD774" t="s">
        <v>13455</v>
      </c>
      <c r="BE774" t="s">
        <v>13456</v>
      </c>
      <c r="BF774" t="str">
        <f>HYPERLINK("http://dx.doi.org/10.1029/2010TC002734","http://dx.doi.org/10.1029/2010TC002734")</f>
        <v>http://dx.doi.org/10.1029/2010TC002734</v>
      </c>
      <c r="BG774" t="s">
        <v>74</v>
      </c>
      <c r="BH774" t="s">
        <v>74</v>
      </c>
      <c r="BI774">
        <v>27</v>
      </c>
      <c r="BJ774" t="s">
        <v>774</v>
      </c>
      <c r="BK774" t="s">
        <v>100</v>
      </c>
      <c r="BL774" t="s">
        <v>774</v>
      </c>
      <c r="BM774" t="s">
        <v>13457</v>
      </c>
      <c r="BN774" t="s">
        <v>74</v>
      </c>
      <c r="BO774" t="s">
        <v>1696</v>
      </c>
      <c r="BP774" t="s">
        <v>74</v>
      </c>
      <c r="BQ774" t="s">
        <v>74</v>
      </c>
      <c r="BR774" t="s">
        <v>103</v>
      </c>
      <c r="BS774" t="s">
        <v>13458</v>
      </c>
      <c r="BT774" t="str">
        <f>HYPERLINK("https%3A%2F%2Fwww.webofscience.com%2Fwos%2Fwoscc%2Ffull-record%2FWOS:000285836600002","View Full Record in Web of Science")</f>
        <v>View Full Record in Web of Science</v>
      </c>
    </row>
    <row r="775" spans="1:72" x14ac:dyDescent="0.15">
      <c r="A775" t="s">
        <v>72</v>
      </c>
      <c r="B775" t="s">
        <v>13459</v>
      </c>
      <c r="C775" t="s">
        <v>74</v>
      </c>
      <c r="D775" t="s">
        <v>74</v>
      </c>
      <c r="E775" t="s">
        <v>74</v>
      </c>
      <c r="F775" t="s">
        <v>13460</v>
      </c>
      <c r="G775" t="s">
        <v>74</v>
      </c>
      <c r="H775" t="s">
        <v>74</v>
      </c>
      <c r="I775" t="s">
        <v>13461</v>
      </c>
      <c r="J775" t="s">
        <v>229</v>
      </c>
      <c r="K775" t="s">
        <v>74</v>
      </c>
      <c r="L775" t="s">
        <v>74</v>
      </c>
      <c r="M775" t="s">
        <v>78</v>
      </c>
      <c r="N775" t="s">
        <v>79</v>
      </c>
      <c r="O775" t="s">
        <v>74</v>
      </c>
      <c r="P775" t="s">
        <v>74</v>
      </c>
      <c r="Q775" t="s">
        <v>74</v>
      </c>
      <c r="R775" t="s">
        <v>74</v>
      </c>
      <c r="S775" t="s">
        <v>74</v>
      </c>
      <c r="T775" t="s">
        <v>74</v>
      </c>
      <c r="U775" t="s">
        <v>13462</v>
      </c>
      <c r="V775" t="s">
        <v>13463</v>
      </c>
      <c r="W775" t="s">
        <v>13464</v>
      </c>
      <c r="X775" t="s">
        <v>2830</v>
      </c>
      <c r="Y775" t="s">
        <v>13465</v>
      </c>
      <c r="Z775" t="s">
        <v>13466</v>
      </c>
      <c r="AA775" t="s">
        <v>74</v>
      </c>
      <c r="AB775" t="s">
        <v>6008</v>
      </c>
      <c r="AC775" t="s">
        <v>13467</v>
      </c>
      <c r="AD775" t="s">
        <v>13468</v>
      </c>
      <c r="AE775" t="s">
        <v>13469</v>
      </c>
      <c r="AF775" t="s">
        <v>74</v>
      </c>
      <c r="AG775">
        <v>33</v>
      </c>
      <c r="AH775">
        <v>44</v>
      </c>
      <c r="AI775">
        <v>50</v>
      </c>
      <c r="AJ775">
        <v>0</v>
      </c>
      <c r="AK775">
        <v>20</v>
      </c>
      <c r="AL775" t="s">
        <v>240</v>
      </c>
      <c r="AM775" t="s">
        <v>241</v>
      </c>
      <c r="AN775" t="s">
        <v>242</v>
      </c>
      <c r="AO775" t="s">
        <v>243</v>
      </c>
      <c r="AP775" t="s">
        <v>244</v>
      </c>
      <c r="AQ775" t="s">
        <v>74</v>
      </c>
      <c r="AR775" t="s">
        <v>245</v>
      </c>
      <c r="AS775" t="s">
        <v>246</v>
      </c>
      <c r="AT775" t="s">
        <v>13470</v>
      </c>
      <c r="AU775">
        <v>2010</v>
      </c>
      <c r="AV775">
        <v>115</v>
      </c>
      <c r="AW775" t="s">
        <v>74</v>
      </c>
      <c r="AX775" t="s">
        <v>74</v>
      </c>
      <c r="AY775" t="s">
        <v>74</v>
      </c>
      <c r="AZ775" t="s">
        <v>74</v>
      </c>
      <c r="BA775" t="s">
        <v>74</v>
      </c>
      <c r="BB775" t="s">
        <v>74</v>
      </c>
      <c r="BC775" t="s">
        <v>74</v>
      </c>
      <c r="BD775" t="s">
        <v>13471</v>
      </c>
      <c r="BE775" t="s">
        <v>13472</v>
      </c>
      <c r="BF775" t="str">
        <f>HYPERLINK("http://dx.doi.org/10.1029/2010JC006156","http://dx.doi.org/10.1029/2010JC006156")</f>
        <v>http://dx.doi.org/10.1029/2010JC006156</v>
      </c>
      <c r="BG775" t="s">
        <v>74</v>
      </c>
      <c r="BH775" t="s">
        <v>74</v>
      </c>
      <c r="BI775">
        <v>37</v>
      </c>
      <c r="BJ775" t="s">
        <v>250</v>
      </c>
      <c r="BK775" t="s">
        <v>100</v>
      </c>
      <c r="BL775" t="s">
        <v>250</v>
      </c>
      <c r="BM775" t="s">
        <v>13473</v>
      </c>
      <c r="BN775" t="s">
        <v>74</v>
      </c>
      <c r="BO775" t="s">
        <v>172</v>
      </c>
      <c r="BP775" t="s">
        <v>74</v>
      </c>
      <c r="BQ775" t="s">
        <v>74</v>
      </c>
      <c r="BR775" t="s">
        <v>103</v>
      </c>
      <c r="BS775" t="s">
        <v>13474</v>
      </c>
      <c r="BT775" t="str">
        <f>HYPERLINK("https%3A%2F%2Fwww.webofscience.com%2Fwos%2Fwoscc%2Ffull-record%2FWOS:000285834800001","View Full Record in Web of Science")</f>
        <v>View Full Record in Web of Science</v>
      </c>
    </row>
    <row r="776" spans="1:72" x14ac:dyDescent="0.15">
      <c r="A776" t="s">
        <v>72</v>
      </c>
      <c r="B776" t="s">
        <v>13475</v>
      </c>
      <c r="C776" t="s">
        <v>74</v>
      </c>
      <c r="D776" t="s">
        <v>74</v>
      </c>
      <c r="E776" t="s">
        <v>74</v>
      </c>
      <c r="F776" t="s">
        <v>13476</v>
      </c>
      <c r="G776" t="s">
        <v>74</v>
      </c>
      <c r="H776" t="s">
        <v>74</v>
      </c>
      <c r="I776" t="s">
        <v>13477</v>
      </c>
      <c r="J776" t="s">
        <v>13478</v>
      </c>
      <c r="K776" t="s">
        <v>74</v>
      </c>
      <c r="L776" t="s">
        <v>74</v>
      </c>
      <c r="M776" t="s">
        <v>78</v>
      </c>
      <c r="N776" t="s">
        <v>79</v>
      </c>
      <c r="O776" t="s">
        <v>74</v>
      </c>
      <c r="P776" t="s">
        <v>74</v>
      </c>
      <c r="Q776" t="s">
        <v>74</v>
      </c>
      <c r="R776" t="s">
        <v>74</v>
      </c>
      <c r="S776" t="s">
        <v>74</v>
      </c>
      <c r="T776" t="s">
        <v>13479</v>
      </c>
      <c r="U776" t="s">
        <v>13480</v>
      </c>
      <c r="V776" t="s">
        <v>13481</v>
      </c>
      <c r="W776" t="s">
        <v>13482</v>
      </c>
      <c r="X776" t="s">
        <v>13483</v>
      </c>
      <c r="Y776" t="s">
        <v>13484</v>
      </c>
      <c r="Z776" t="s">
        <v>13485</v>
      </c>
      <c r="AA776" t="s">
        <v>13486</v>
      </c>
      <c r="AB776" t="s">
        <v>13487</v>
      </c>
      <c r="AC776" t="s">
        <v>74</v>
      </c>
      <c r="AD776" t="s">
        <v>74</v>
      </c>
      <c r="AE776" t="s">
        <v>74</v>
      </c>
      <c r="AF776" t="s">
        <v>74</v>
      </c>
      <c r="AG776">
        <v>157</v>
      </c>
      <c r="AH776">
        <v>28</v>
      </c>
      <c r="AI776">
        <v>31</v>
      </c>
      <c r="AJ776">
        <v>0</v>
      </c>
      <c r="AK776">
        <v>20</v>
      </c>
      <c r="AL776" t="s">
        <v>13488</v>
      </c>
      <c r="AM776" t="s">
        <v>13489</v>
      </c>
      <c r="AN776" t="s">
        <v>13490</v>
      </c>
      <c r="AO776" t="s">
        <v>13491</v>
      </c>
      <c r="AP776" t="s">
        <v>74</v>
      </c>
      <c r="AQ776" t="s">
        <v>74</v>
      </c>
      <c r="AR776" t="s">
        <v>13492</v>
      </c>
      <c r="AS776" t="s">
        <v>13493</v>
      </c>
      <c r="AT776" t="s">
        <v>13494</v>
      </c>
      <c r="AU776">
        <v>2010</v>
      </c>
      <c r="AV776">
        <v>99</v>
      </c>
      <c r="AW776">
        <v>12</v>
      </c>
      <c r="AX776" t="s">
        <v>74</v>
      </c>
      <c r="AY776" t="s">
        <v>74</v>
      </c>
      <c r="AZ776" t="s">
        <v>74</v>
      </c>
      <c r="BA776" t="s">
        <v>74</v>
      </c>
      <c r="BB776">
        <v>1770</v>
      </c>
      <c r="BC776">
        <v>1786</v>
      </c>
      <c r="BD776" t="s">
        <v>74</v>
      </c>
      <c r="BE776" t="s">
        <v>74</v>
      </c>
      <c r="BF776" t="s">
        <v>74</v>
      </c>
      <c r="BG776" t="s">
        <v>74</v>
      </c>
      <c r="BH776" t="s">
        <v>74</v>
      </c>
      <c r="BI776">
        <v>17</v>
      </c>
      <c r="BJ776" t="s">
        <v>1669</v>
      </c>
      <c r="BK776" t="s">
        <v>100</v>
      </c>
      <c r="BL776" t="s">
        <v>1670</v>
      </c>
      <c r="BM776" t="s">
        <v>13495</v>
      </c>
      <c r="BN776" t="s">
        <v>74</v>
      </c>
      <c r="BO776" t="s">
        <v>74</v>
      </c>
      <c r="BP776" t="s">
        <v>74</v>
      </c>
      <c r="BQ776" t="s">
        <v>74</v>
      </c>
      <c r="BR776" t="s">
        <v>103</v>
      </c>
      <c r="BS776" t="s">
        <v>13496</v>
      </c>
      <c r="BT776" t="str">
        <f>HYPERLINK("https%3A%2F%2Fwww.webofscience.com%2Fwos%2Fwoscc%2Ffull-record%2FWOS:000286028200024","View Full Record in Web of Science")</f>
        <v>View Full Record in Web of Science</v>
      </c>
    </row>
    <row r="777" spans="1:72" x14ac:dyDescent="0.15">
      <c r="A777" t="s">
        <v>72</v>
      </c>
      <c r="B777" t="s">
        <v>13497</v>
      </c>
      <c r="C777" t="s">
        <v>74</v>
      </c>
      <c r="D777" t="s">
        <v>74</v>
      </c>
      <c r="E777" t="s">
        <v>74</v>
      </c>
      <c r="F777" t="s">
        <v>13498</v>
      </c>
      <c r="G777" t="s">
        <v>74</v>
      </c>
      <c r="H777" t="s">
        <v>74</v>
      </c>
      <c r="I777" t="s">
        <v>13499</v>
      </c>
      <c r="J777" t="s">
        <v>13500</v>
      </c>
      <c r="K777" t="s">
        <v>74</v>
      </c>
      <c r="L777" t="s">
        <v>74</v>
      </c>
      <c r="M777" t="s">
        <v>78</v>
      </c>
      <c r="N777" t="s">
        <v>79</v>
      </c>
      <c r="O777" t="s">
        <v>74</v>
      </c>
      <c r="P777" t="s">
        <v>74</v>
      </c>
      <c r="Q777" t="s">
        <v>74</v>
      </c>
      <c r="R777" t="s">
        <v>74</v>
      </c>
      <c r="S777" t="s">
        <v>74</v>
      </c>
      <c r="T777" t="s">
        <v>74</v>
      </c>
      <c r="U777" t="s">
        <v>13501</v>
      </c>
      <c r="V777" t="s">
        <v>13502</v>
      </c>
      <c r="W777" t="s">
        <v>13503</v>
      </c>
      <c r="X777" t="s">
        <v>13504</v>
      </c>
      <c r="Y777" t="s">
        <v>13505</v>
      </c>
      <c r="Z777" t="s">
        <v>13506</v>
      </c>
      <c r="AA777" t="s">
        <v>13507</v>
      </c>
      <c r="AB777" t="s">
        <v>13508</v>
      </c>
      <c r="AC777" t="s">
        <v>13509</v>
      </c>
      <c r="AD777" t="s">
        <v>13509</v>
      </c>
      <c r="AE777" t="s">
        <v>13510</v>
      </c>
      <c r="AF777" t="s">
        <v>74</v>
      </c>
      <c r="AG777">
        <v>72</v>
      </c>
      <c r="AH777">
        <v>23</v>
      </c>
      <c r="AI777">
        <v>23</v>
      </c>
      <c r="AJ777">
        <v>0</v>
      </c>
      <c r="AK777">
        <v>8</v>
      </c>
      <c r="AL777" t="s">
        <v>240</v>
      </c>
      <c r="AM777" t="s">
        <v>241</v>
      </c>
      <c r="AN777" t="s">
        <v>242</v>
      </c>
      <c r="AO777" t="s">
        <v>13511</v>
      </c>
      <c r="AP777" t="s">
        <v>13512</v>
      </c>
      <c r="AQ777" t="s">
        <v>74</v>
      </c>
      <c r="AR777" t="s">
        <v>13513</v>
      </c>
      <c r="AS777" t="s">
        <v>13514</v>
      </c>
      <c r="AT777" t="s">
        <v>13515</v>
      </c>
      <c r="AU777">
        <v>2010</v>
      </c>
      <c r="AV777">
        <v>115</v>
      </c>
      <c r="AW777" t="s">
        <v>74</v>
      </c>
      <c r="AX777" t="s">
        <v>74</v>
      </c>
      <c r="AY777" t="s">
        <v>74</v>
      </c>
      <c r="AZ777" t="s">
        <v>74</v>
      </c>
      <c r="BA777" t="s">
        <v>74</v>
      </c>
      <c r="BB777" t="s">
        <v>74</v>
      </c>
      <c r="BC777" t="s">
        <v>74</v>
      </c>
      <c r="BD777" t="s">
        <v>13516</v>
      </c>
      <c r="BE777" t="s">
        <v>13517</v>
      </c>
      <c r="BF777" t="str">
        <f>HYPERLINK("http://dx.doi.org/10.1029/2009JB007123","http://dx.doi.org/10.1029/2009JB007123")</f>
        <v>http://dx.doi.org/10.1029/2009JB007123</v>
      </c>
      <c r="BG777" t="s">
        <v>74</v>
      </c>
      <c r="BH777" t="s">
        <v>74</v>
      </c>
      <c r="BI777">
        <v>17</v>
      </c>
      <c r="BJ777" t="s">
        <v>774</v>
      </c>
      <c r="BK777" t="s">
        <v>100</v>
      </c>
      <c r="BL777" t="s">
        <v>774</v>
      </c>
      <c r="BM777" t="s">
        <v>13518</v>
      </c>
      <c r="BN777" t="s">
        <v>74</v>
      </c>
      <c r="BO777" t="s">
        <v>252</v>
      </c>
      <c r="BP777" t="s">
        <v>74</v>
      </c>
      <c r="BQ777" t="s">
        <v>74</v>
      </c>
      <c r="BR777" t="s">
        <v>103</v>
      </c>
      <c r="BS777" t="s">
        <v>13519</v>
      </c>
      <c r="BT777" t="str">
        <f>HYPERLINK("https%3A%2F%2Fwww.webofscience.com%2Fwos%2Fwoscc%2Ffull-record%2FWOS:000285640200002","View Full Record in Web of Science")</f>
        <v>View Full Record in Web of Science</v>
      </c>
    </row>
    <row r="778" spans="1:72" x14ac:dyDescent="0.15">
      <c r="A778" t="s">
        <v>72</v>
      </c>
      <c r="B778" t="s">
        <v>13520</v>
      </c>
      <c r="C778" t="s">
        <v>74</v>
      </c>
      <c r="D778" t="s">
        <v>74</v>
      </c>
      <c r="E778" t="s">
        <v>74</v>
      </c>
      <c r="F778" t="s">
        <v>13521</v>
      </c>
      <c r="G778" t="s">
        <v>74</v>
      </c>
      <c r="H778" t="s">
        <v>74</v>
      </c>
      <c r="I778" t="s">
        <v>13522</v>
      </c>
      <c r="J778" t="s">
        <v>2045</v>
      </c>
      <c r="K778" t="s">
        <v>74</v>
      </c>
      <c r="L778" t="s">
        <v>74</v>
      </c>
      <c r="M778" t="s">
        <v>78</v>
      </c>
      <c r="N778" t="s">
        <v>79</v>
      </c>
      <c r="O778" t="s">
        <v>74</v>
      </c>
      <c r="P778" t="s">
        <v>74</v>
      </c>
      <c r="Q778" t="s">
        <v>74</v>
      </c>
      <c r="R778" t="s">
        <v>74</v>
      </c>
      <c r="S778" t="s">
        <v>74</v>
      </c>
      <c r="T778" t="s">
        <v>74</v>
      </c>
      <c r="U778" t="s">
        <v>13523</v>
      </c>
      <c r="V778" t="s">
        <v>13524</v>
      </c>
      <c r="W778" t="s">
        <v>13525</v>
      </c>
      <c r="X778" t="s">
        <v>13526</v>
      </c>
      <c r="Y778" t="s">
        <v>13527</v>
      </c>
      <c r="Z778" t="s">
        <v>13528</v>
      </c>
      <c r="AA778" t="s">
        <v>74</v>
      </c>
      <c r="AB778" t="s">
        <v>13529</v>
      </c>
      <c r="AC778" t="s">
        <v>13530</v>
      </c>
      <c r="AD778" t="s">
        <v>13531</v>
      </c>
      <c r="AE778" t="s">
        <v>13532</v>
      </c>
      <c r="AF778" t="s">
        <v>74</v>
      </c>
      <c r="AG778">
        <v>68</v>
      </c>
      <c r="AH778">
        <v>42</v>
      </c>
      <c r="AI778">
        <v>47</v>
      </c>
      <c r="AJ778">
        <v>1</v>
      </c>
      <c r="AK778">
        <v>33</v>
      </c>
      <c r="AL778" t="s">
        <v>240</v>
      </c>
      <c r="AM778" t="s">
        <v>241</v>
      </c>
      <c r="AN778" t="s">
        <v>242</v>
      </c>
      <c r="AO778" t="s">
        <v>2057</v>
      </c>
      <c r="AP778" t="s">
        <v>2058</v>
      </c>
      <c r="AQ778" t="s">
        <v>74</v>
      </c>
      <c r="AR778" t="s">
        <v>2059</v>
      </c>
      <c r="AS778" t="s">
        <v>2060</v>
      </c>
      <c r="AT778" t="s">
        <v>13515</v>
      </c>
      <c r="AU778">
        <v>2010</v>
      </c>
      <c r="AV778">
        <v>24</v>
      </c>
      <c r="AW778" t="s">
        <v>74</v>
      </c>
      <c r="AX778" t="s">
        <v>74</v>
      </c>
      <c r="AY778" t="s">
        <v>74</v>
      </c>
      <c r="AZ778" t="s">
        <v>74</v>
      </c>
      <c r="BA778" t="s">
        <v>74</v>
      </c>
      <c r="BB778" t="s">
        <v>74</v>
      </c>
      <c r="BC778" t="s">
        <v>74</v>
      </c>
      <c r="BD778" t="s">
        <v>13533</v>
      </c>
      <c r="BE778" t="s">
        <v>13534</v>
      </c>
      <c r="BF778" t="str">
        <f>HYPERLINK("http://dx.doi.org/10.1029/2010GB003856","http://dx.doi.org/10.1029/2010GB003856")</f>
        <v>http://dx.doi.org/10.1029/2010GB003856</v>
      </c>
      <c r="BG778" t="s">
        <v>74</v>
      </c>
      <c r="BH778" t="s">
        <v>74</v>
      </c>
      <c r="BI778">
        <v>15</v>
      </c>
      <c r="BJ778" t="s">
        <v>2064</v>
      </c>
      <c r="BK778" t="s">
        <v>100</v>
      </c>
      <c r="BL778" t="s">
        <v>2065</v>
      </c>
      <c r="BM778" t="s">
        <v>13535</v>
      </c>
      <c r="BN778" t="s">
        <v>74</v>
      </c>
      <c r="BO778" t="s">
        <v>74</v>
      </c>
      <c r="BP778" t="s">
        <v>74</v>
      </c>
      <c r="BQ778" t="s">
        <v>74</v>
      </c>
      <c r="BR778" t="s">
        <v>103</v>
      </c>
      <c r="BS778" t="s">
        <v>13536</v>
      </c>
      <c r="BT778" t="str">
        <f>HYPERLINK("https%3A%2F%2Fwww.webofscience.com%2Fwos%2Fwoscc%2Ffull-record%2FWOS:000285637100001","View Full Record in Web of Science")</f>
        <v>View Full Record in Web of Science</v>
      </c>
    </row>
    <row r="779" spans="1:72" x14ac:dyDescent="0.15">
      <c r="A779" t="s">
        <v>72</v>
      </c>
      <c r="B779" t="s">
        <v>13537</v>
      </c>
      <c r="C779" t="s">
        <v>74</v>
      </c>
      <c r="D779" t="s">
        <v>74</v>
      </c>
      <c r="E779" t="s">
        <v>74</v>
      </c>
      <c r="F779" t="s">
        <v>13538</v>
      </c>
      <c r="G779" t="s">
        <v>74</v>
      </c>
      <c r="H779" t="s">
        <v>74</v>
      </c>
      <c r="I779" t="s">
        <v>13539</v>
      </c>
      <c r="J779" t="s">
        <v>1677</v>
      </c>
      <c r="K779" t="s">
        <v>74</v>
      </c>
      <c r="L779" t="s">
        <v>74</v>
      </c>
      <c r="M779" t="s">
        <v>78</v>
      </c>
      <c r="N779" t="s">
        <v>79</v>
      </c>
      <c r="O779" t="s">
        <v>74</v>
      </c>
      <c r="P779" t="s">
        <v>74</v>
      </c>
      <c r="Q779" t="s">
        <v>74</v>
      </c>
      <c r="R779" t="s">
        <v>74</v>
      </c>
      <c r="S779" t="s">
        <v>74</v>
      </c>
      <c r="T779" t="s">
        <v>74</v>
      </c>
      <c r="U779" t="s">
        <v>13540</v>
      </c>
      <c r="V779" t="s">
        <v>13541</v>
      </c>
      <c r="W779" t="s">
        <v>13542</v>
      </c>
      <c r="X779" t="s">
        <v>13543</v>
      </c>
      <c r="Y779" t="s">
        <v>13544</v>
      </c>
      <c r="Z779" t="s">
        <v>13545</v>
      </c>
      <c r="AA779" t="s">
        <v>13546</v>
      </c>
      <c r="AB779" t="s">
        <v>13547</v>
      </c>
      <c r="AC779" t="s">
        <v>13548</v>
      </c>
      <c r="AD779" t="s">
        <v>13548</v>
      </c>
      <c r="AE779" t="s">
        <v>13549</v>
      </c>
      <c r="AF779" t="s">
        <v>74</v>
      </c>
      <c r="AG779">
        <v>106</v>
      </c>
      <c r="AH779">
        <v>81</v>
      </c>
      <c r="AI779">
        <v>94</v>
      </c>
      <c r="AJ779">
        <v>3</v>
      </c>
      <c r="AK779">
        <v>43</v>
      </c>
      <c r="AL779" t="s">
        <v>240</v>
      </c>
      <c r="AM779" t="s">
        <v>241</v>
      </c>
      <c r="AN779" t="s">
        <v>242</v>
      </c>
      <c r="AO779" t="s">
        <v>1688</v>
      </c>
      <c r="AP779" t="s">
        <v>1689</v>
      </c>
      <c r="AQ779" t="s">
        <v>74</v>
      </c>
      <c r="AR779" t="s">
        <v>1690</v>
      </c>
      <c r="AS779" t="s">
        <v>1691</v>
      </c>
      <c r="AT779" t="s">
        <v>13550</v>
      </c>
      <c r="AU779">
        <v>2010</v>
      </c>
      <c r="AV779">
        <v>115</v>
      </c>
      <c r="AW779" t="s">
        <v>74</v>
      </c>
      <c r="AX779" t="s">
        <v>74</v>
      </c>
      <c r="AY779" t="s">
        <v>74</v>
      </c>
      <c r="AZ779" t="s">
        <v>74</v>
      </c>
      <c r="BA779" t="s">
        <v>74</v>
      </c>
      <c r="BB779" t="s">
        <v>74</v>
      </c>
      <c r="BC779" t="s">
        <v>74</v>
      </c>
      <c r="BD779" t="s">
        <v>13551</v>
      </c>
      <c r="BE779" t="s">
        <v>13552</v>
      </c>
      <c r="BF779" t="str">
        <f>HYPERLINK("http://dx.doi.org/10.1029/2010JD014690","http://dx.doi.org/10.1029/2010JD014690")</f>
        <v>http://dx.doi.org/10.1029/2010JD014690</v>
      </c>
      <c r="BG779" t="s">
        <v>74</v>
      </c>
      <c r="BH779" t="s">
        <v>74</v>
      </c>
      <c r="BI779">
        <v>23</v>
      </c>
      <c r="BJ779" t="s">
        <v>603</v>
      </c>
      <c r="BK779" t="s">
        <v>100</v>
      </c>
      <c r="BL779" t="s">
        <v>603</v>
      </c>
      <c r="BM779" t="s">
        <v>13553</v>
      </c>
      <c r="BN779" t="s">
        <v>74</v>
      </c>
      <c r="BO779" t="s">
        <v>1720</v>
      </c>
      <c r="BP779" t="s">
        <v>74</v>
      </c>
      <c r="BQ779" t="s">
        <v>74</v>
      </c>
      <c r="BR779" t="s">
        <v>103</v>
      </c>
      <c r="BS779" t="s">
        <v>13554</v>
      </c>
      <c r="BT779" t="str">
        <f>HYPERLINK("https%3A%2F%2Fwww.webofscience.com%2Fwos%2Fwoscc%2Ffull-record%2FWOS:000285642200009","View Full Record in Web of Science")</f>
        <v>View Full Record in Web of Science</v>
      </c>
    </row>
    <row r="780" spans="1:72" x14ac:dyDescent="0.15">
      <c r="A780" t="s">
        <v>72</v>
      </c>
      <c r="B780" t="s">
        <v>13555</v>
      </c>
      <c r="C780" t="s">
        <v>74</v>
      </c>
      <c r="D780" t="s">
        <v>74</v>
      </c>
      <c r="E780" t="s">
        <v>74</v>
      </c>
      <c r="F780" t="s">
        <v>13556</v>
      </c>
      <c r="G780" t="s">
        <v>74</v>
      </c>
      <c r="H780" t="s">
        <v>74</v>
      </c>
      <c r="I780" t="s">
        <v>13557</v>
      </c>
      <c r="J780" t="s">
        <v>13558</v>
      </c>
      <c r="K780" t="s">
        <v>74</v>
      </c>
      <c r="L780" t="s">
        <v>74</v>
      </c>
      <c r="M780" t="s">
        <v>78</v>
      </c>
      <c r="N780" t="s">
        <v>79</v>
      </c>
      <c r="O780" t="s">
        <v>74</v>
      </c>
      <c r="P780" t="s">
        <v>74</v>
      </c>
      <c r="Q780" t="s">
        <v>74</v>
      </c>
      <c r="R780" t="s">
        <v>74</v>
      </c>
      <c r="S780" t="s">
        <v>74</v>
      </c>
      <c r="T780" t="s">
        <v>13559</v>
      </c>
      <c r="U780" t="s">
        <v>13560</v>
      </c>
      <c r="V780" t="s">
        <v>13561</v>
      </c>
      <c r="W780" t="s">
        <v>13562</v>
      </c>
      <c r="X780" t="s">
        <v>13563</v>
      </c>
      <c r="Y780" t="s">
        <v>13564</v>
      </c>
      <c r="Z780" t="s">
        <v>13565</v>
      </c>
      <c r="AA780" t="s">
        <v>13566</v>
      </c>
      <c r="AB780" t="s">
        <v>74</v>
      </c>
      <c r="AC780" t="s">
        <v>13567</v>
      </c>
      <c r="AD780" t="s">
        <v>13567</v>
      </c>
      <c r="AE780" t="s">
        <v>13568</v>
      </c>
      <c r="AF780" t="s">
        <v>74</v>
      </c>
      <c r="AG780">
        <v>66</v>
      </c>
      <c r="AH780">
        <v>46</v>
      </c>
      <c r="AI780">
        <v>64</v>
      </c>
      <c r="AJ780">
        <v>2</v>
      </c>
      <c r="AK780">
        <v>42</v>
      </c>
      <c r="AL780" t="s">
        <v>767</v>
      </c>
      <c r="AM780" t="s">
        <v>640</v>
      </c>
      <c r="AN780" t="s">
        <v>768</v>
      </c>
      <c r="AO780" t="s">
        <v>13569</v>
      </c>
      <c r="AP780" t="s">
        <v>13570</v>
      </c>
      <c r="AQ780" t="s">
        <v>74</v>
      </c>
      <c r="AR780" t="s">
        <v>13558</v>
      </c>
      <c r="AS780" t="s">
        <v>13571</v>
      </c>
      <c r="AT780" t="s">
        <v>13572</v>
      </c>
      <c r="AU780">
        <v>2010</v>
      </c>
      <c r="AV780">
        <v>310</v>
      </c>
      <c r="AW780" t="s">
        <v>2089</v>
      </c>
      <c r="AX780" t="s">
        <v>74</v>
      </c>
      <c r="AY780" t="s">
        <v>74</v>
      </c>
      <c r="AZ780" t="s">
        <v>74</v>
      </c>
      <c r="BA780" t="s">
        <v>74</v>
      </c>
      <c r="BB780">
        <v>164</v>
      </c>
      <c r="BC780">
        <v>172</v>
      </c>
      <c r="BD780" t="s">
        <v>74</v>
      </c>
      <c r="BE780" t="s">
        <v>13573</v>
      </c>
      <c r="BF780" t="str">
        <f>HYPERLINK("http://dx.doi.org/10.1016/j.aquaculture.2010.10.003","http://dx.doi.org/10.1016/j.aquaculture.2010.10.003")</f>
        <v>http://dx.doi.org/10.1016/j.aquaculture.2010.10.003</v>
      </c>
      <c r="BG780" t="s">
        <v>74</v>
      </c>
      <c r="BH780" t="s">
        <v>74</v>
      </c>
      <c r="BI780">
        <v>9</v>
      </c>
      <c r="BJ780" t="s">
        <v>6365</v>
      </c>
      <c r="BK780" t="s">
        <v>100</v>
      </c>
      <c r="BL780" t="s">
        <v>6365</v>
      </c>
      <c r="BM780" t="s">
        <v>13574</v>
      </c>
      <c r="BN780" t="s">
        <v>74</v>
      </c>
      <c r="BO780" t="s">
        <v>74</v>
      </c>
      <c r="BP780" t="s">
        <v>74</v>
      </c>
      <c r="BQ780" t="s">
        <v>74</v>
      </c>
      <c r="BR780" t="s">
        <v>103</v>
      </c>
      <c r="BS780" t="s">
        <v>13575</v>
      </c>
      <c r="BT780" t="str">
        <f>HYPERLINK("https%3A%2F%2Fwww.webofscience.com%2Fwos%2Fwoscc%2Ffull-record%2FWOS:000286161200024","View Full Record in Web of Science")</f>
        <v>View Full Record in Web of Science</v>
      </c>
    </row>
    <row r="781" spans="1:72" x14ac:dyDescent="0.15">
      <c r="A781" t="s">
        <v>72</v>
      </c>
      <c r="B781" t="s">
        <v>13576</v>
      </c>
      <c r="C781" t="s">
        <v>74</v>
      </c>
      <c r="D781" t="s">
        <v>74</v>
      </c>
      <c r="E781" t="s">
        <v>74</v>
      </c>
      <c r="F781" t="s">
        <v>13577</v>
      </c>
      <c r="G781" t="s">
        <v>74</v>
      </c>
      <c r="H781" t="s">
        <v>74</v>
      </c>
      <c r="I781" t="s">
        <v>13578</v>
      </c>
      <c r="J781" t="s">
        <v>1649</v>
      </c>
      <c r="K781" t="s">
        <v>74</v>
      </c>
      <c r="L781" t="s">
        <v>74</v>
      </c>
      <c r="M781" t="s">
        <v>78</v>
      </c>
      <c r="N781" t="s">
        <v>79</v>
      </c>
      <c r="O781" t="s">
        <v>74</v>
      </c>
      <c r="P781" t="s">
        <v>74</v>
      </c>
      <c r="Q781" t="s">
        <v>74</v>
      </c>
      <c r="R781" t="s">
        <v>74</v>
      </c>
      <c r="S781" t="s">
        <v>74</v>
      </c>
      <c r="T781" t="s">
        <v>74</v>
      </c>
      <c r="U781" t="s">
        <v>13579</v>
      </c>
      <c r="V781" t="s">
        <v>13580</v>
      </c>
      <c r="W781" t="s">
        <v>13581</v>
      </c>
      <c r="X781" t="s">
        <v>13582</v>
      </c>
      <c r="Y781" t="s">
        <v>13583</v>
      </c>
      <c r="Z781" t="s">
        <v>13584</v>
      </c>
      <c r="AA781" t="s">
        <v>74</v>
      </c>
      <c r="AB781" t="s">
        <v>13585</v>
      </c>
      <c r="AC781" t="s">
        <v>13586</v>
      </c>
      <c r="AD781" t="s">
        <v>13586</v>
      </c>
      <c r="AE781" t="s">
        <v>13587</v>
      </c>
      <c r="AF781" t="s">
        <v>74</v>
      </c>
      <c r="AG781">
        <v>41</v>
      </c>
      <c r="AH781">
        <v>35</v>
      </c>
      <c r="AI781">
        <v>40</v>
      </c>
      <c r="AJ781">
        <v>1</v>
      </c>
      <c r="AK781">
        <v>39</v>
      </c>
      <c r="AL781" t="s">
        <v>1661</v>
      </c>
      <c r="AM781" t="s">
        <v>1662</v>
      </c>
      <c r="AN781" t="s">
        <v>1663</v>
      </c>
      <c r="AO781" t="s">
        <v>1664</v>
      </c>
      <c r="AP781" t="s">
        <v>74</v>
      </c>
      <c r="AQ781" t="s">
        <v>74</v>
      </c>
      <c r="AR781" t="s">
        <v>1649</v>
      </c>
      <c r="AS781" t="s">
        <v>1665</v>
      </c>
      <c r="AT781" t="s">
        <v>13572</v>
      </c>
      <c r="AU781">
        <v>2010</v>
      </c>
      <c r="AV781">
        <v>5</v>
      </c>
      <c r="AW781">
        <v>12</v>
      </c>
      <c r="AX781" t="s">
        <v>74</v>
      </c>
      <c r="AY781" t="s">
        <v>74</v>
      </c>
      <c r="AZ781" t="s">
        <v>74</v>
      </c>
      <c r="BA781" t="s">
        <v>74</v>
      </c>
      <c r="BB781" t="s">
        <v>74</v>
      </c>
      <c r="BC781" t="s">
        <v>74</v>
      </c>
      <c r="BD781" t="s">
        <v>13588</v>
      </c>
      <c r="BE781" t="s">
        <v>13589</v>
      </c>
      <c r="BF781" t="str">
        <f>HYPERLINK("http://dx.doi.org/10.1371/journal.pone.0015197","http://dx.doi.org/10.1371/journal.pone.0015197")</f>
        <v>http://dx.doi.org/10.1371/journal.pone.0015197</v>
      </c>
      <c r="BG781" t="s">
        <v>74</v>
      </c>
      <c r="BH781" t="s">
        <v>74</v>
      </c>
      <c r="BI781">
        <v>6</v>
      </c>
      <c r="BJ781" t="s">
        <v>1669</v>
      </c>
      <c r="BK781" t="s">
        <v>100</v>
      </c>
      <c r="BL781" t="s">
        <v>1670</v>
      </c>
      <c r="BM781" t="s">
        <v>13590</v>
      </c>
      <c r="BN781">
        <v>21203557</v>
      </c>
      <c r="BO781" t="s">
        <v>1765</v>
      </c>
      <c r="BP781" t="s">
        <v>74</v>
      </c>
      <c r="BQ781" t="s">
        <v>74</v>
      </c>
      <c r="BR781" t="s">
        <v>103</v>
      </c>
      <c r="BS781" t="s">
        <v>13591</v>
      </c>
      <c r="BT781" t="str">
        <f>HYPERLINK("https%3A%2F%2Fwww.webofscience.com%2Fwos%2Fwoscc%2Ffull-record%2FWOS:000285578000023","View Full Record in Web of Science")</f>
        <v>View Full Record in Web of Science</v>
      </c>
    </row>
    <row r="782" spans="1:72" x14ac:dyDescent="0.15">
      <c r="A782" t="s">
        <v>72</v>
      </c>
      <c r="B782" t="s">
        <v>13592</v>
      </c>
      <c r="C782" t="s">
        <v>74</v>
      </c>
      <c r="D782" t="s">
        <v>74</v>
      </c>
      <c r="E782" t="s">
        <v>74</v>
      </c>
      <c r="F782" t="s">
        <v>13593</v>
      </c>
      <c r="G782" t="s">
        <v>74</v>
      </c>
      <c r="H782" t="s">
        <v>74</v>
      </c>
      <c r="I782" t="s">
        <v>13594</v>
      </c>
      <c r="J782" t="s">
        <v>1649</v>
      </c>
      <c r="K782" t="s">
        <v>74</v>
      </c>
      <c r="L782" t="s">
        <v>74</v>
      </c>
      <c r="M782" t="s">
        <v>78</v>
      </c>
      <c r="N782" t="s">
        <v>79</v>
      </c>
      <c r="O782" t="s">
        <v>74</v>
      </c>
      <c r="P782" t="s">
        <v>74</v>
      </c>
      <c r="Q782" t="s">
        <v>74</v>
      </c>
      <c r="R782" t="s">
        <v>74</v>
      </c>
      <c r="S782" t="s">
        <v>74</v>
      </c>
      <c r="T782" t="s">
        <v>74</v>
      </c>
      <c r="U782" t="s">
        <v>13595</v>
      </c>
      <c r="V782" t="s">
        <v>13596</v>
      </c>
      <c r="W782" t="s">
        <v>13597</v>
      </c>
      <c r="X782" t="s">
        <v>13598</v>
      </c>
      <c r="Y782" t="s">
        <v>13599</v>
      </c>
      <c r="Z782" t="s">
        <v>13600</v>
      </c>
      <c r="AA782" t="s">
        <v>74</v>
      </c>
      <c r="AB782" t="s">
        <v>74</v>
      </c>
      <c r="AC782" t="s">
        <v>13601</v>
      </c>
      <c r="AD782" t="s">
        <v>13602</v>
      </c>
      <c r="AE782" t="s">
        <v>13603</v>
      </c>
      <c r="AF782" t="s">
        <v>74</v>
      </c>
      <c r="AG782">
        <v>59</v>
      </c>
      <c r="AH782">
        <v>28</v>
      </c>
      <c r="AI782">
        <v>30</v>
      </c>
      <c r="AJ782">
        <v>1</v>
      </c>
      <c r="AK782">
        <v>21</v>
      </c>
      <c r="AL782" t="s">
        <v>1661</v>
      </c>
      <c r="AM782" t="s">
        <v>1662</v>
      </c>
      <c r="AN782" t="s">
        <v>1760</v>
      </c>
      <c r="AO782" t="s">
        <v>1664</v>
      </c>
      <c r="AP782" t="s">
        <v>74</v>
      </c>
      <c r="AQ782" t="s">
        <v>74</v>
      </c>
      <c r="AR782" t="s">
        <v>1649</v>
      </c>
      <c r="AS782" t="s">
        <v>1665</v>
      </c>
      <c r="AT782" t="s">
        <v>13572</v>
      </c>
      <c r="AU782">
        <v>2010</v>
      </c>
      <c r="AV782">
        <v>5</v>
      </c>
      <c r="AW782">
        <v>12</v>
      </c>
      <c r="AX782" t="s">
        <v>74</v>
      </c>
      <c r="AY782" t="s">
        <v>74</v>
      </c>
      <c r="AZ782" t="s">
        <v>74</v>
      </c>
      <c r="BA782" t="s">
        <v>74</v>
      </c>
      <c r="BB782" t="s">
        <v>74</v>
      </c>
      <c r="BC782" t="s">
        <v>74</v>
      </c>
      <c r="BD782" t="s">
        <v>13604</v>
      </c>
      <c r="BE782" t="s">
        <v>13605</v>
      </c>
      <c r="BF782" t="str">
        <f>HYPERLINK("http://dx.doi.org/10.1371/journal.pone.0015362","http://dx.doi.org/10.1371/journal.pone.0015362")</f>
        <v>http://dx.doi.org/10.1371/journal.pone.0015362</v>
      </c>
      <c r="BG782" t="s">
        <v>74</v>
      </c>
      <c r="BH782" t="s">
        <v>74</v>
      </c>
      <c r="BI782">
        <v>7</v>
      </c>
      <c r="BJ782" t="s">
        <v>1669</v>
      </c>
      <c r="BK782" t="s">
        <v>100</v>
      </c>
      <c r="BL782" t="s">
        <v>1670</v>
      </c>
      <c r="BM782" t="s">
        <v>13590</v>
      </c>
      <c r="BN782">
        <v>21203524</v>
      </c>
      <c r="BO782" t="s">
        <v>4333</v>
      </c>
      <c r="BP782" t="s">
        <v>74</v>
      </c>
      <c r="BQ782" t="s">
        <v>74</v>
      </c>
      <c r="BR782" t="s">
        <v>103</v>
      </c>
      <c r="BS782" t="s">
        <v>13606</v>
      </c>
      <c r="BT782" t="str">
        <f>HYPERLINK("https%3A%2F%2Fwww.webofscience.com%2Fwos%2Fwoscc%2Ffull-record%2FWOS:000285578000031","View Full Record in Web of Science")</f>
        <v>View Full Record in Web of Science</v>
      </c>
    </row>
    <row r="783" spans="1:72" x14ac:dyDescent="0.15">
      <c r="A783" t="s">
        <v>72</v>
      </c>
      <c r="B783" t="s">
        <v>13607</v>
      </c>
      <c r="C783" t="s">
        <v>74</v>
      </c>
      <c r="D783" t="s">
        <v>74</v>
      </c>
      <c r="E783" t="s">
        <v>74</v>
      </c>
      <c r="F783" t="s">
        <v>13608</v>
      </c>
      <c r="G783" t="s">
        <v>74</v>
      </c>
      <c r="H783" t="s">
        <v>74</v>
      </c>
      <c r="I783" t="s">
        <v>13609</v>
      </c>
      <c r="J783" t="s">
        <v>229</v>
      </c>
      <c r="K783" t="s">
        <v>74</v>
      </c>
      <c r="L783" t="s">
        <v>74</v>
      </c>
      <c r="M783" t="s">
        <v>78</v>
      </c>
      <c r="N783" t="s">
        <v>79</v>
      </c>
      <c r="O783" t="s">
        <v>74</v>
      </c>
      <c r="P783" t="s">
        <v>74</v>
      </c>
      <c r="Q783" t="s">
        <v>74</v>
      </c>
      <c r="R783" t="s">
        <v>74</v>
      </c>
      <c r="S783" t="s">
        <v>74</v>
      </c>
      <c r="T783" t="s">
        <v>74</v>
      </c>
      <c r="U783" t="s">
        <v>13610</v>
      </c>
      <c r="V783" t="s">
        <v>13611</v>
      </c>
      <c r="W783" t="s">
        <v>13612</v>
      </c>
      <c r="X783" t="s">
        <v>13613</v>
      </c>
      <c r="Y783" t="s">
        <v>13614</v>
      </c>
      <c r="Z783" t="s">
        <v>13615</v>
      </c>
      <c r="AA783" t="s">
        <v>74</v>
      </c>
      <c r="AB783" t="s">
        <v>74</v>
      </c>
      <c r="AC783" t="s">
        <v>74</v>
      </c>
      <c r="AD783" t="s">
        <v>74</v>
      </c>
      <c r="AE783" t="s">
        <v>74</v>
      </c>
      <c r="AF783" t="s">
        <v>74</v>
      </c>
      <c r="AG783">
        <v>59</v>
      </c>
      <c r="AH783">
        <v>20</v>
      </c>
      <c r="AI783">
        <v>21</v>
      </c>
      <c r="AJ783">
        <v>0</v>
      </c>
      <c r="AK783">
        <v>16</v>
      </c>
      <c r="AL783" t="s">
        <v>240</v>
      </c>
      <c r="AM783" t="s">
        <v>241</v>
      </c>
      <c r="AN783" t="s">
        <v>242</v>
      </c>
      <c r="AO783" t="s">
        <v>243</v>
      </c>
      <c r="AP783" t="s">
        <v>244</v>
      </c>
      <c r="AQ783" t="s">
        <v>74</v>
      </c>
      <c r="AR783" t="s">
        <v>245</v>
      </c>
      <c r="AS783" t="s">
        <v>246</v>
      </c>
      <c r="AT783" t="s">
        <v>13616</v>
      </c>
      <c r="AU783">
        <v>2010</v>
      </c>
      <c r="AV783">
        <v>115</v>
      </c>
      <c r="AW783" t="s">
        <v>74</v>
      </c>
      <c r="AX783" t="s">
        <v>74</v>
      </c>
      <c r="AY783" t="s">
        <v>74</v>
      </c>
      <c r="AZ783" t="s">
        <v>74</v>
      </c>
      <c r="BA783" t="s">
        <v>74</v>
      </c>
      <c r="BB783" t="s">
        <v>74</v>
      </c>
      <c r="BC783" t="s">
        <v>74</v>
      </c>
      <c r="BD783" t="s">
        <v>13617</v>
      </c>
      <c r="BE783" t="s">
        <v>13618</v>
      </c>
      <c r="BF783" t="str">
        <f>HYPERLINK("http://dx.doi.org/10.1029/2010JC006250","http://dx.doi.org/10.1029/2010JC006250")</f>
        <v>http://dx.doi.org/10.1029/2010JC006250</v>
      </c>
      <c r="BG783" t="s">
        <v>74</v>
      </c>
      <c r="BH783" t="s">
        <v>74</v>
      </c>
      <c r="BI783">
        <v>14</v>
      </c>
      <c r="BJ783" t="s">
        <v>250</v>
      </c>
      <c r="BK783" t="s">
        <v>100</v>
      </c>
      <c r="BL783" t="s">
        <v>250</v>
      </c>
      <c r="BM783" t="s">
        <v>13619</v>
      </c>
      <c r="BN783" t="s">
        <v>74</v>
      </c>
      <c r="BO783" t="s">
        <v>74</v>
      </c>
      <c r="BP783" t="s">
        <v>74</v>
      </c>
      <c r="BQ783" t="s">
        <v>74</v>
      </c>
      <c r="BR783" t="s">
        <v>103</v>
      </c>
      <c r="BS783" t="s">
        <v>13620</v>
      </c>
      <c r="BT783" t="str">
        <f>HYPERLINK("https%3A%2F%2Fwww.webofscience.com%2Fwos%2Fwoscc%2Ffull-record%2FWOS:000285642900005","View Full Record in Web of Science")</f>
        <v>View Full Record in Web of Science</v>
      </c>
    </row>
    <row r="784" spans="1:72" x14ac:dyDescent="0.15">
      <c r="A784" t="s">
        <v>72</v>
      </c>
      <c r="B784" t="s">
        <v>13621</v>
      </c>
      <c r="C784" t="s">
        <v>74</v>
      </c>
      <c r="D784" t="s">
        <v>74</v>
      </c>
      <c r="E784" t="s">
        <v>74</v>
      </c>
      <c r="F784" t="s">
        <v>13622</v>
      </c>
      <c r="G784" t="s">
        <v>74</v>
      </c>
      <c r="H784" t="s">
        <v>74</v>
      </c>
      <c r="I784" t="s">
        <v>13623</v>
      </c>
      <c r="J784" t="s">
        <v>1701</v>
      </c>
      <c r="K784" t="s">
        <v>74</v>
      </c>
      <c r="L784" t="s">
        <v>74</v>
      </c>
      <c r="M784" t="s">
        <v>78</v>
      </c>
      <c r="N784" t="s">
        <v>79</v>
      </c>
      <c r="O784" t="s">
        <v>74</v>
      </c>
      <c r="P784" t="s">
        <v>74</v>
      </c>
      <c r="Q784" t="s">
        <v>74</v>
      </c>
      <c r="R784" t="s">
        <v>74</v>
      </c>
      <c r="S784" t="s">
        <v>74</v>
      </c>
      <c r="T784" t="s">
        <v>74</v>
      </c>
      <c r="U784" t="s">
        <v>13624</v>
      </c>
      <c r="V784" t="s">
        <v>13625</v>
      </c>
      <c r="W784" t="s">
        <v>13626</v>
      </c>
      <c r="X784" t="s">
        <v>13627</v>
      </c>
      <c r="Y784" t="s">
        <v>13628</v>
      </c>
      <c r="Z784" t="s">
        <v>13629</v>
      </c>
      <c r="AA784" t="s">
        <v>13630</v>
      </c>
      <c r="AB784" t="s">
        <v>13631</v>
      </c>
      <c r="AC784" t="s">
        <v>13632</v>
      </c>
      <c r="AD784" t="s">
        <v>13633</v>
      </c>
      <c r="AE784" t="s">
        <v>13634</v>
      </c>
      <c r="AF784" t="s">
        <v>74</v>
      </c>
      <c r="AG784">
        <v>37</v>
      </c>
      <c r="AH784">
        <v>26</v>
      </c>
      <c r="AI784">
        <v>29</v>
      </c>
      <c r="AJ784">
        <v>0</v>
      </c>
      <c r="AK784">
        <v>6</v>
      </c>
      <c r="AL784" t="s">
        <v>240</v>
      </c>
      <c r="AM784" t="s">
        <v>241</v>
      </c>
      <c r="AN784" t="s">
        <v>242</v>
      </c>
      <c r="AO784" t="s">
        <v>1713</v>
      </c>
      <c r="AP784" t="s">
        <v>1714</v>
      </c>
      <c r="AQ784" t="s">
        <v>74</v>
      </c>
      <c r="AR784" t="s">
        <v>1715</v>
      </c>
      <c r="AS784" t="s">
        <v>1716</v>
      </c>
      <c r="AT784" t="s">
        <v>13635</v>
      </c>
      <c r="AU784">
        <v>2010</v>
      </c>
      <c r="AV784">
        <v>115</v>
      </c>
      <c r="AW784" t="s">
        <v>74</v>
      </c>
      <c r="AX784" t="s">
        <v>74</v>
      </c>
      <c r="AY784" t="s">
        <v>74</v>
      </c>
      <c r="AZ784" t="s">
        <v>74</v>
      </c>
      <c r="BA784" t="s">
        <v>74</v>
      </c>
      <c r="BB784" t="s">
        <v>74</v>
      </c>
      <c r="BC784" t="s">
        <v>74</v>
      </c>
      <c r="BD784" t="s">
        <v>13636</v>
      </c>
      <c r="BE784" t="s">
        <v>13637</v>
      </c>
      <c r="BF784" t="str">
        <f>HYPERLINK("http://dx.doi.org/10.1029/2010JA015777","http://dx.doi.org/10.1029/2010JA015777")</f>
        <v>http://dx.doi.org/10.1029/2010JA015777</v>
      </c>
      <c r="BG784" t="s">
        <v>74</v>
      </c>
      <c r="BH784" t="s">
        <v>74</v>
      </c>
      <c r="BI784">
        <v>10</v>
      </c>
      <c r="BJ784" t="s">
        <v>373</v>
      </c>
      <c r="BK784" t="s">
        <v>100</v>
      </c>
      <c r="BL784" t="s">
        <v>373</v>
      </c>
      <c r="BM784" t="s">
        <v>13638</v>
      </c>
      <c r="BN784" t="s">
        <v>74</v>
      </c>
      <c r="BO784" t="s">
        <v>172</v>
      </c>
      <c r="BP784" t="s">
        <v>74</v>
      </c>
      <c r="BQ784" t="s">
        <v>74</v>
      </c>
      <c r="BR784" t="s">
        <v>103</v>
      </c>
      <c r="BS784" t="s">
        <v>13639</v>
      </c>
      <c r="BT784" t="str">
        <f>HYPERLINK("https%3A%2F%2Fwww.webofscience.com%2Fwos%2Fwoscc%2Ffull-record%2FWOS:000285469600002","View Full Record in Web of Science")</f>
        <v>View Full Record in Web of Science</v>
      </c>
    </row>
    <row r="785" spans="1:72" x14ac:dyDescent="0.15">
      <c r="A785" t="s">
        <v>72</v>
      </c>
      <c r="B785" t="s">
        <v>13640</v>
      </c>
      <c r="C785" t="s">
        <v>74</v>
      </c>
      <c r="D785" t="s">
        <v>74</v>
      </c>
      <c r="E785" t="s">
        <v>74</v>
      </c>
      <c r="F785" t="s">
        <v>13641</v>
      </c>
      <c r="G785" t="s">
        <v>74</v>
      </c>
      <c r="H785" t="s">
        <v>74</v>
      </c>
      <c r="I785" t="s">
        <v>13642</v>
      </c>
      <c r="J785" t="s">
        <v>1957</v>
      </c>
      <c r="K785" t="s">
        <v>74</v>
      </c>
      <c r="L785" t="s">
        <v>74</v>
      </c>
      <c r="M785" t="s">
        <v>78</v>
      </c>
      <c r="N785" t="s">
        <v>79</v>
      </c>
      <c r="O785" t="s">
        <v>74</v>
      </c>
      <c r="P785" t="s">
        <v>74</v>
      </c>
      <c r="Q785" t="s">
        <v>74</v>
      </c>
      <c r="R785" t="s">
        <v>74</v>
      </c>
      <c r="S785" t="s">
        <v>74</v>
      </c>
      <c r="T785" t="s">
        <v>74</v>
      </c>
      <c r="U785" t="s">
        <v>13643</v>
      </c>
      <c r="V785" t="s">
        <v>13644</v>
      </c>
      <c r="W785" t="s">
        <v>13645</v>
      </c>
      <c r="X785" t="s">
        <v>13646</v>
      </c>
      <c r="Y785" t="s">
        <v>13647</v>
      </c>
      <c r="Z785" t="s">
        <v>13648</v>
      </c>
      <c r="AA785" t="s">
        <v>13649</v>
      </c>
      <c r="AB785" t="s">
        <v>74</v>
      </c>
      <c r="AC785" t="s">
        <v>13650</v>
      </c>
      <c r="AD785" t="s">
        <v>13651</v>
      </c>
      <c r="AE785" t="s">
        <v>13652</v>
      </c>
      <c r="AF785" t="s">
        <v>74</v>
      </c>
      <c r="AG785">
        <v>38</v>
      </c>
      <c r="AH785">
        <v>103</v>
      </c>
      <c r="AI785">
        <v>118</v>
      </c>
      <c r="AJ785">
        <v>1</v>
      </c>
      <c r="AK785">
        <v>75</v>
      </c>
      <c r="AL785" t="s">
        <v>1969</v>
      </c>
      <c r="AM785" t="s">
        <v>241</v>
      </c>
      <c r="AN785" t="s">
        <v>1970</v>
      </c>
      <c r="AO785" t="s">
        <v>1971</v>
      </c>
      <c r="AP785" t="s">
        <v>1972</v>
      </c>
      <c r="AQ785" t="s">
        <v>74</v>
      </c>
      <c r="AR785" t="s">
        <v>1957</v>
      </c>
      <c r="AS785" t="s">
        <v>1973</v>
      </c>
      <c r="AT785" t="s">
        <v>13635</v>
      </c>
      <c r="AU785">
        <v>2010</v>
      </c>
      <c r="AV785">
        <v>330</v>
      </c>
      <c r="AW785">
        <v>6011</v>
      </c>
      <c r="AX785" t="s">
        <v>74</v>
      </c>
      <c r="AY785" t="s">
        <v>74</v>
      </c>
      <c r="AZ785" t="s">
        <v>74</v>
      </c>
      <c r="BA785" t="s">
        <v>74</v>
      </c>
      <c r="BB785">
        <v>1663</v>
      </c>
      <c r="BC785">
        <v>1666</v>
      </c>
      <c r="BD785" t="s">
        <v>74</v>
      </c>
      <c r="BE785" t="s">
        <v>13653</v>
      </c>
      <c r="BF785" t="str">
        <f>HYPERLINK("http://dx.doi.org/10.1126/science.1197257","http://dx.doi.org/10.1126/science.1197257")</f>
        <v>http://dx.doi.org/10.1126/science.1197257</v>
      </c>
      <c r="BG785" t="s">
        <v>74</v>
      </c>
      <c r="BH785" t="s">
        <v>74</v>
      </c>
      <c r="BI785">
        <v>4</v>
      </c>
      <c r="BJ785" t="s">
        <v>1669</v>
      </c>
      <c r="BK785" t="s">
        <v>100</v>
      </c>
      <c r="BL785" t="s">
        <v>1670</v>
      </c>
      <c r="BM785" t="s">
        <v>13654</v>
      </c>
      <c r="BN785">
        <v>21127215</v>
      </c>
      <c r="BO785" t="s">
        <v>252</v>
      </c>
      <c r="BP785" t="s">
        <v>74</v>
      </c>
      <c r="BQ785" t="s">
        <v>74</v>
      </c>
      <c r="BR785" t="s">
        <v>103</v>
      </c>
      <c r="BS785" t="s">
        <v>13655</v>
      </c>
      <c r="BT785" t="str">
        <f>HYPERLINK("https%3A%2F%2Fwww.webofscience.com%2Fwos%2Fwoscc%2Ffull-record%2FWOS:000285390500063","View Full Record in Web of Science")</f>
        <v>View Full Record in Web of Science</v>
      </c>
    </row>
    <row r="786" spans="1:72" x14ac:dyDescent="0.15">
      <c r="A786" t="s">
        <v>72</v>
      </c>
      <c r="B786" t="s">
        <v>13656</v>
      </c>
      <c r="C786" t="s">
        <v>74</v>
      </c>
      <c r="D786" t="s">
        <v>74</v>
      </c>
      <c r="E786" t="s">
        <v>74</v>
      </c>
      <c r="F786" t="s">
        <v>13657</v>
      </c>
      <c r="G786" t="s">
        <v>74</v>
      </c>
      <c r="H786" t="s">
        <v>74</v>
      </c>
      <c r="I786" t="s">
        <v>13658</v>
      </c>
      <c r="J786" t="s">
        <v>13659</v>
      </c>
      <c r="K786" t="s">
        <v>74</v>
      </c>
      <c r="L786" t="s">
        <v>74</v>
      </c>
      <c r="M786" t="s">
        <v>78</v>
      </c>
      <c r="N786" t="s">
        <v>79</v>
      </c>
      <c r="O786" t="s">
        <v>74</v>
      </c>
      <c r="P786" t="s">
        <v>74</v>
      </c>
      <c r="Q786" t="s">
        <v>74</v>
      </c>
      <c r="R786" t="s">
        <v>74</v>
      </c>
      <c r="S786" t="s">
        <v>74</v>
      </c>
      <c r="T786" t="s">
        <v>13660</v>
      </c>
      <c r="U786" t="s">
        <v>13661</v>
      </c>
      <c r="V786" t="s">
        <v>13662</v>
      </c>
      <c r="W786" t="s">
        <v>13663</v>
      </c>
      <c r="X786" t="s">
        <v>13664</v>
      </c>
      <c r="Y786" t="s">
        <v>13665</v>
      </c>
      <c r="Z786" t="s">
        <v>13666</v>
      </c>
      <c r="AA786" t="s">
        <v>74</v>
      </c>
      <c r="AB786" t="s">
        <v>13667</v>
      </c>
      <c r="AC786" t="s">
        <v>13668</v>
      </c>
      <c r="AD786" t="s">
        <v>13668</v>
      </c>
      <c r="AE786" t="s">
        <v>13669</v>
      </c>
      <c r="AF786" t="s">
        <v>74</v>
      </c>
      <c r="AG786">
        <v>43</v>
      </c>
      <c r="AH786">
        <v>17</v>
      </c>
      <c r="AI786">
        <v>18</v>
      </c>
      <c r="AJ786">
        <v>0</v>
      </c>
      <c r="AK786">
        <v>17</v>
      </c>
      <c r="AL786" t="s">
        <v>666</v>
      </c>
      <c r="AM786" t="s">
        <v>667</v>
      </c>
      <c r="AN786" t="s">
        <v>668</v>
      </c>
      <c r="AO786" t="s">
        <v>13670</v>
      </c>
      <c r="AP786" t="s">
        <v>13671</v>
      </c>
      <c r="AQ786" t="s">
        <v>74</v>
      </c>
      <c r="AR786" t="s">
        <v>13672</v>
      </c>
      <c r="AS786" t="s">
        <v>13673</v>
      </c>
      <c r="AT786" t="s">
        <v>13674</v>
      </c>
      <c r="AU786">
        <v>2010</v>
      </c>
      <c r="AV786">
        <v>91</v>
      </c>
      <c r="AW786">
        <v>6</v>
      </c>
      <c r="AX786" t="s">
        <v>74</v>
      </c>
      <c r="AY786" t="s">
        <v>74</v>
      </c>
      <c r="AZ786" t="s">
        <v>74</v>
      </c>
      <c r="BA786" t="s">
        <v>74</v>
      </c>
      <c r="BB786">
        <v>1365</v>
      </c>
      <c r="BC786">
        <v>1374</v>
      </c>
      <c r="BD786" t="s">
        <v>74</v>
      </c>
      <c r="BE786" t="s">
        <v>13675</v>
      </c>
      <c r="BF786" t="str">
        <f>HYPERLINK("http://dx.doi.org/10.1644/10-MAMM-A-080.1","http://dx.doi.org/10.1644/10-MAMM-A-080.1")</f>
        <v>http://dx.doi.org/10.1644/10-MAMM-A-080.1</v>
      </c>
      <c r="BG786" t="s">
        <v>74</v>
      </c>
      <c r="BH786" t="s">
        <v>74</v>
      </c>
      <c r="BI786">
        <v>10</v>
      </c>
      <c r="BJ786" t="s">
        <v>674</v>
      </c>
      <c r="BK786" t="s">
        <v>100</v>
      </c>
      <c r="BL786" t="s">
        <v>674</v>
      </c>
      <c r="BM786" t="s">
        <v>13676</v>
      </c>
      <c r="BN786" t="s">
        <v>74</v>
      </c>
      <c r="BO786" t="s">
        <v>252</v>
      </c>
      <c r="BP786" t="s">
        <v>74</v>
      </c>
      <c r="BQ786" t="s">
        <v>74</v>
      </c>
      <c r="BR786" t="s">
        <v>103</v>
      </c>
      <c r="BS786" t="s">
        <v>13677</v>
      </c>
      <c r="BT786" t="str">
        <f>HYPERLINK("https%3A%2F%2Fwww.webofscience.com%2Fwos%2Fwoscc%2Ffull-record%2FWOS:000285533100007","View Full Record in Web of Science")</f>
        <v>View Full Record in Web of Science</v>
      </c>
    </row>
    <row r="787" spans="1:72" x14ac:dyDescent="0.15">
      <c r="A787" t="s">
        <v>72</v>
      </c>
      <c r="B787" t="s">
        <v>13678</v>
      </c>
      <c r="C787" t="s">
        <v>74</v>
      </c>
      <c r="D787" t="s">
        <v>74</v>
      </c>
      <c r="E787" t="s">
        <v>74</v>
      </c>
      <c r="F787" t="s">
        <v>13679</v>
      </c>
      <c r="G787" t="s">
        <v>74</v>
      </c>
      <c r="H787" t="s">
        <v>74</v>
      </c>
      <c r="I787" t="s">
        <v>13680</v>
      </c>
      <c r="J787" t="s">
        <v>229</v>
      </c>
      <c r="K787" t="s">
        <v>74</v>
      </c>
      <c r="L787" t="s">
        <v>74</v>
      </c>
      <c r="M787" t="s">
        <v>78</v>
      </c>
      <c r="N787" t="s">
        <v>79</v>
      </c>
      <c r="O787" t="s">
        <v>74</v>
      </c>
      <c r="P787" t="s">
        <v>74</v>
      </c>
      <c r="Q787" t="s">
        <v>74</v>
      </c>
      <c r="R787" t="s">
        <v>74</v>
      </c>
      <c r="S787" t="s">
        <v>74</v>
      </c>
      <c r="T787" t="s">
        <v>74</v>
      </c>
      <c r="U787" t="s">
        <v>13681</v>
      </c>
      <c r="V787" t="s">
        <v>13682</v>
      </c>
      <c r="W787" t="s">
        <v>13683</v>
      </c>
      <c r="X787" t="s">
        <v>13684</v>
      </c>
      <c r="Y787" t="s">
        <v>13685</v>
      </c>
      <c r="Z787" t="s">
        <v>13686</v>
      </c>
      <c r="AA787" t="s">
        <v>13687</v>
      </c>
      <c r="AB787" t="s">
        <v>13688</v>
      </c>
      <c r="AC787" t="s">
        <v>13689</v>
      </c>
      <c r="AD787" t="s">
        <v>13690</v>
      </c>
      <c r="AE787" t="s">
        <v>13691</v>
      </c>
      <c r="AF787" t="s">
        <v>74</v>
      </c>
      <c r="AG787">
        <v>38</v>
      </c>
      <c r="AH787">
        <v>79</v>
      </c>
      <c r="AI787">
        <v>90</v>
      </c>
      <c r="AJ787">
        <v>3</v>
      </c>
      <c r="AK787">
        <v>38</v>
      </c>
      <c r="AL787" t="s">
        <v>240</v>
      </c>
      <c r="AM787" t="s">
        <v>241</v>
      </c>
      <c r="AN787" t="s">
        <v>242</v>
      </c>
      <c r="AO787" t="s">
        <v>243</v>
      </c>
      <c r="AP787" t="s">
        <v>244</v>
      </c>
      <c r="AQ787" t="s">
        <v>74</v>
      </c>
      <c r="AR787" t="s">
        <v>245</v>
      </c>
      <c r="AS787" t="s">
        <v>246</v>
      </c>
      <c r="AT787" t="s">
        <v>13674</v>
      </c>
      <c r="AU787">
        <v>2010</v>
      </c>
      <c r="AV787">
        <v>115</v>
      </c>
      <c r="AW787" t="s">
        <v>74</v>
      </c>
      <c r="AX787" t="s">
        <v>74</v>
      </c>
      <c r="AY787" t="s">
        <v>74</v>
      </c>
      <c r="AZ787" t="s">
        <v>74</v>
      </c>
      <c r="BA787" t="s">
        <v>74</v>
      </c>
      <c r="BB787" t="s">
        <v>74</v>
      </c>
      <c r="BC787" t="s">
        <v>74</v>
      </c>
      <c r="BD787" t="s">
        <v>13692</v>
      </c>
      <c r="BE787" t="s">
        <v>13693</v>
      </c>
      <c r="BF787" t="str">
        <f>HYPERLINK("http://dx.doi.org/10.1029/2010JC006500","http://dx.doi.org/10.1029/2010JC006500")</f>
        <v>http://dx.doi.org/10.1029/2010JC006500</v>
      </c>
      <c r="BG787" t="s">
        <v>74</v>
      </c>
      <c r="BH787" t="s">
        <v>74</v>
      </c>
      <c r="BI787">
        <v>11</v>
      </c>
      <c r="BJ787" t="s">
        <v>250</v>
      </c>
      <c r="BK787" t="s">
        <v>100</v>
      </c>
      <c r="BL787" t="s">
        <v>250</v>
      </c>
      <c r="BM787" t="s">
        <v>13694</v>
      </c>
      <c r="BN787" t="s">
        <v>74</v>
      </c>
      <c r="BO787" t="s">
        <v>252</v>
      </c>
      <c r="BP787" t="s">
        <v>74</v>
      </c>
      <c r="BQ787" t="s">
        <v>74</v>
      </c>
      <c r="BR787" t="s">
        <v>103</v>
      </c>
      <c r="BS787" t="s">
        <v>13695</v>
      </c>
      <c r="BT787" t="str">
        <f>HYPERLINK("https%3A%2F%2Fwww.webofscience.com%2Fwos%2Fwoscc%2Ffull-record%2FWOS:000285465500007","View Full Record in Web of Science")</f>
        <v>View Full Record in Web of Science</v>
      </c>
    </row>
    <row r="788" spans="1:72" x14ac:dyDescent="0.15">
      <c r="A788" t="s">
        <v>72</v>
      </c>
      <c r="B788" t="s">
        <v>13696</v>
      </c>
      <c r="C788" t="s">
        <v>74</v>
      </c>
      <c r="D788" t="s">
        <v>74</v>
      </c>
      <c r="E788" t="s">
        <v>74</v>
      </c>
      <c r="F788" t="s">
        <v>13697</v>
      </c>
      <c r="G788" t="s">
        <v>74</v>
      </c>
      <c r="H788" t="s">
        <v>74</v>
      </c>
      <c r="I788" t="s">
        <v>13698</v>
      </c>
      <c r="J788" t="s">
        <v>13659</v>
      </c>
      <c r="K788" t="s">
        <v>74</v>
      </c>
      <c r="L788" t="s">
        <v>74</v>
      </c>
      <c r="M788" t="s">
        <v>78</v>
      </c>
      <c r="N788" t="s">
        <v>79</v>
      </c>
      <c r="O788" t="s">
        <v>74</v>
      </c>
      <c r="P788" t="s">
        <v>74</v>
      </c>
      <c r="Q788" t="s">
        <v>74</v>
      </c>
      <c r="R788" t="s">
        <v>74</v>
      </c>
      <c r="S788" t="s">
        <v>74</v>
      </c>
      <c r="T788" t="s">
        <v>13699</v>
      </c>
      <c r="U788" t="s">
        <v>13700</v>
      </c>
      <c r="V788" t="s">
        <v>13701</v>
      </c>
      <c r="W788" t="s">
        <v>13702</v>
      </c>
      <c r="X788" t="s">
        <v>13703</v>
      </c>
      <c r="Y788" t="s">
        <v>13704</v>
      </c>
      <c r="Z788" t="s">
        <v>13705</v>
      </c>
      <c r="AA788" t="s">
        <v>13706</v>
      </c>
      <c r="AB788" t="s">
        <v>10806</v>
      </c>
      <c r="AC788" t="s">
        <v>13707</v>
      </c>
      <c r="AD788" t="s">
        <v>13707</v>
      </c>
      <c r="AE788" t="s">
        <v>13708</v>
      </c>
      <c r="AF788" t="s">
        <v>74</v>
      </c>
      <c r="AG788">
        <v>59</v>
      </c>
      <c r="AH788">
        <v>46</v>
      </c>
      <c r="AI788">
        <v>50</v>
      </c>
      <c r="AJ788">
        <v>0</v>
      </c>
      <c r="AK788">
        <v>34</v>
      </c>
      <c r="AL788" t="s">
        <v>13709</v>
      </c>
      <c r="AM788" t="s">
        <v>9918</v>
      </c>
      <c r="AN788" t="s">
        <v>13710</v>
      </c>
      <c r="AO788" t="s">
        <v>13670</v>
      </c>
      <c r="AP788" t="s">
        <v>74</v>
      </c>
      <c r="AQ788" t="s">
        <v>74</v>
      </c>
      <c r="AR788" t="s">
        <v>13672</v>
      </c>
      <c r="AS788" t="s">
        <v>13673</v>
      </c>
      <c r="AT788" t="s">
        <v>13674</v>
      </c>
      <c r="AU788">
        <v>2010</v>
      </c>
      <c r="AV788">
        <v>91</v>
      </c>
      <c r="AW788">
        <v>6</v>
      </c>
      <c r="AX788" t="s">
        <v>74</v>
      </c>
      <c r="AY788" t="s">
        <v>74</v>
      </c>
      <c r="AZ788" t="s">
        <v>74</v>
      </c>
      <c r="BA788" t="s">
        <v>74</v>
      </c>
      <c r="BB788">
        <v>1484</v>
      </c>
      <c r="BC788">
        <v>1495</v>
      </c>
      <c r="BD788" t="s">
        <v>74</v>
      </c>
      <c r="BE788" t="s">
        <v>13711</v>
      </c>
      <c r="BF788" t="str">
        <f>HYPERLINK("http://dx.doi.org/10.1644/09-MAMM-A-299.1","http://dx.doi.org/10.1644/09-MAMM-A-299.1")</f>
        <v>http://dx.doi.org/10.1644/09-MAMM-A-299.1</v>
      </c>
      <c r="BG788" t="s">
        <v>74</v>
      </c>
      <c r="BH788" t="s">
        <v>74</v>
      </c>
      <c r="BI788">
        <v>12</v>
      </c>
      <c r="BJ788" t="s">
        <v>674</v>
      </c>
      <c r="BK788" t="s">
        <v>100</v>
      </c>
      <c r="BL788" t="s">
        <v>674</v>
      </c>
      <c r="BM788" t="s">
        <v>13676</v>
      </c>
      <c r="BN788" t="s">
        <v>74</v>
      </c>
      <c r="BO788" t="s">
        <v>252</v>
      </c>
      <c r="BP788" t="s">
        <v>74</v>
      </c>
      <c r="BQ788" t="s">
        <v>74</v>
      </c>
      <c r="BR788" t="s">
        <v>103</v>
      </c>
      <c r="BS788" t="s">
        <v>13712</v>
      </c>
      <c r="BT788" t="str">
        <f>HYPERLINK("https%3A%2F%2Fwww.webofscience.com%2Fwos%2Fwoscc%2Ffull-record%2FWOS:000285533100019","View Full Record in Web of Science")</f>
        <v>View Full Record in Web of Science</v>
      </c>
    </row>
    <row r="789" spans="1:72" x14ac:dyDescent="0.15">
      <c r="A789" t="s">
        <v>72</v>
      </c>
      <c r="B789" t="s">
        <v>13713</v>
      </c>
      <c r="C789" t="s">
        <v>74</v>
      </c>
      <c r="D789" t="s">
        <v>74</v>
      </c>
      <c r="E789" t="s">
        <v>74</v>
      </c>
      <c r="F789" t="s">
        <v>13714</v>
      </c>
      <c r="G789" t="s">
        <v>74</v>
      </c>
      <c r="H789" t="s">
        <v>74</v>
      </c>
      <c r="I789" t="s">
        <v>13715</v>
      </c>
      <c r="J789" t="s">
        <v>1333</v>
      </c>
      <c r="K789" t="s">
        <v>74</v>
      </c>
      <c r="L789" t="s">
        <v>74</v>
      </c>
      <c r="M789" t="s">
        <v>78</v>
      </c>
      <c r="N789" t="s">
        <v>79</v>
      </c>
      <c r="O789" t="s">
        <v>74</v>
      </c>
      <c r="P789" t="s">
        <v>74</v>
      </c>
      <c r="Q789" t="s">
        <v>74</v>
      </c>
      <c r="R789" t="s">
        <v>74</v>
      </c>
      <c r="S789" t="s">
        <v>74</v>
      </c>
      <c r="T789" t="s">
        <v>13716</v>
      </c>
      <c r="U789" t="s">
        <v>13717</v>
      </c>
      <c r="V789" t="s">
        <v>13718</v>
      </c>
      <c r="W789" t="s">
        <v>13719</v>
      </c>
      <c r="X789" t="s">
        <v>13720</v>
      </c>
      <c r="Y789" t="s">
        <v>13721</v>
      </c>
      <c r="Z789" t="s">
        <v>13722</v>
      </c>
      <c r="AA789" t="s">
        <v>13723</v>
      </c>
      <c r="AB789" t="s">
        <v>13724</v>
      </c>
      <c r="AC789" t="s">
        <v>13725</v>
      </c>
      <c r="AD789" t="s">
        <v>13726</v>
      </c>
      <c r="AE789" t="s">
        <v>13727</v>
      </c>
      <c r="AF789" t="s">
        <v>74</v>
      </c>
      <c r="AG789">
        <v>112</v>
      </c>
      <c r="AH789">
        <v>7</v>
      </c>
      <c r="AI789">
        <v>10</v>
      </c>
      <c r="AJ789">
        <v>1</v>
      </c>
      <c r="AK789">
        <v>27</v>
      </c>
      <c r="AL789" t="s">
        <v>767</v>
      </c>
      <c r="AM789" t="s">
        <v>640</v>
      </c>
      <c r="AN789" t="s">
        <v>768</v>
      </c>
      <c r="AO789" t="s">
        <v>1346</v>
      </c>
      <c r="AP789" t="s">
        <v>1347</v>
      </c>
      <c r="AQ789" t="s">
        <v>74</v>
      </c>
      <c r="AR789" t="s">
        <v>1348</v>
      </c>
      <c r="AS789" t="s">
        <v>1349</v>
      </c>
      <c r="AT789" t="s">
        <v>13728</v>
      </c>
      <c r="AU789">
        <v>2010</v>
      </c>
      <c r="AV789">
        <v>298</v>
      </c>
      <c r="AW789" t="s">
        <v>601</v>
      </c>
      <c r="AX789" t="s">
        <v>74</v>
      </c>
      <c r="AY789" t="s">
        <v>74</v>
      </c>
      <c r="AZ789" t="s">
        <v>74</v>
      </c>
      <c r="BA789" t="s">
        <v>74</v>
      </c>
      <c r="BB789">
        <v>201</v>
      </c>
      <c r="BC789">
        <v>209</v>
      </c>
      <c r="BD789" t="s">
        <v>74</v>
      </c>
      <c r="BE789" t="s">
        <v>13729</v>
      </c>
      <c r="BF789" t="str">
        <f>HYPERLINK("http://dx.doi.org/10.1016/j.palaeo.2010.09.025","http://dx.doi.org/10.1016/j.palaeo.2010.09.025")</f>
        <v>http://dx.doi.org/10.1016/j.palaeo.2010.09.025</v>
      </c>
      <c r="BG789" t="s">
        <v>74</v>
      </c>
      <c r="BH789" t="s">
        <v>74</v>
      </c>
      <c r="BI789">
        <v>9</v>
      </c>
      <c r="BJ789" t="s">
        <v>1352</v>
      </c>
      <c r="BK789" t="s">
        <v>100</v>
      </c>
      <c r="BL789" t="s">
        <v>1353</v>
      </c>
      <c r="BM789" t="s">
        <v>13730</v>
      </c>
      <c r="BN789" t="s">
        <v>74</v>
      </c>
      <c r="BO789" t="s">
        <v>74</v>
      </c>
      <c r="BP789" t="s">
        <v>74</v>
      </c>
      <c r="BQ789" t="s">
        <v>74</v>
      </c>
      <c r="BR789" t="s">
        <v>103</v>
      </c>
      <c r="BS789" t="s">
        <v>13731</v>
      </c>
      <c r="BT789" t="str">
        <f>HYPERLINK("https%3A%2F%2Fwww.webofscience.com%2Fwos%2Fwoscc%2Ffull-record%2FWOS:000286406400003","View Full Record in Web of Science")</f>
        <v>View Full Record in Web of Science</v>
      </c>
    </row>
    <row r="790" spans="1:72" x14ac:dyDescent="0.15">
      <c r="A790" t="s">
        <v>72</v>
      </c>
      <c r="B790" t="s">
        <v>13732</v>
      </c>
      <c r="C790" t="s">
        <v>74</v>
      </c>
      <c r="D790" t="s">
        <v>74</v>
      </c>
      <c r="E790" t="s">
        <v>74</v>
      </c>
      <c r="F790" t="s">
        <v>13733</v>
      </c>
      <c r="G790" t="s">
        <v>74</v>
      </c>
      <c r="H790" t="s">
        <v>74</v>
      </c>
      <c r="I790" t="s">
        <v>13734</v>
      </c>
      <c r="J790" t="s">
        <v>1333</v>
      </c>
      <c r="K790" t="s">
        <v>74</v>
      </c>
      <c r="L790" t="s">
        <v>74</v>
      </c>
      <c r="M790" t="s">
        <v>78</v>
      </c>
      <c r="N790" t="s">
        <v>79</v>
      </c>
      <c r="O790" t="s">
        <v>74</v>
      </c>
      <c r="P790" t="s">
        <v>74</v>
      </c>
      <c r="Q790" t="s">
        <v>74</v>
      </c>
      <c r="R790" t="s">
        <v>74</v>
      </c>
      <c r="S790" t="s">
        <v>74</v>
      </c>
      <c r="T790" t="s">
        <v>13735</v>
      </c>
      <c r="U790" t="s">
        <v>13736</v>
      </c>
      <c r="V790" t="s">
        <v>13737</v>
      </c>
      <c r="W790" t="s">
        <v>13738</v>
      </c>
      <c r="X790" t="s">
        <v>3605</v>
      </c>
      <c r="Y790" t="s">
        <v>13739</v>
      </c>
      <c r="Z790" t="s">
        <v>13740</v>
      </c>
      <c r="AA790" t="s">
        <v>13741</v>
      </c>
      <c r="AB790" t="s">
        <v>13742</v>
      </c>
      <c r="AC790" t="s">
        <v>74</v>
      </c>
      <c r="AD790" t="s">
        <v>74</v>
      </c>
      <c r="AE790" t="s">
        <v>74</v>
      </c>
      <c r="AF790" t="s">
        <v>74</v>
      </c>
      <c r="AG790">
        <v>40</v>
      </c>
      <c r="AH790">
        <v>11</v>
      </c>
      <c r="AI790">
        <v>11</v>
      </c>
      <c r="AJ790">
        <v>1</v>
      </c>
      <c r="AK790">
        <v>16</v>
      </c>
      <c r="AL790" t="s">
        <v>639</v>
      </c>
      <c r="AM790" t="s">
        <v>640</v>
      </c>
      <c r="AN790" t="s">
        <v>641</v>
      </c>
      <c r="AO790" t="s">
        <v>1346</v>
      </c>
      <c r="AP790" t="s">
        <v>1347</v>
      </c>
      <c r="AQ790" t="s">
        <v>74</v>
      </c>
      <c r="AR790" t="s">
        <v>1348</v>
      </c>
      <c r="AS790" t="s">
        <v>1349</v>
      </c>
      <c r="AT790" t="s">
        <v>13728</v>
      </c>
      <c r="AU790">
        <v>2010</v>
      </c>
      <c r="AV790">
        <v>298</v>
      </c>
      <c r="AW790" t="s">
        <v>601</v>
      </c>
      <c r="AX790" t="s">
        <v>74</v>
      </c>
      <c r="AY790" t="s">
        <v>74</v>
      </c>
      <c r="AZ790" t="s">
        <v>74</v>
      </c>
      <c r="BA790" t="s">
        <v>74</v>
      </c>
      <c r="BB790">
        <v>271</v>
      </c>
      <c r="BC790">
        <v>277</v>
      </c>
      <c r="BD790" t="s">
        <v>74</v>
      </c>
      <c r="BE790" t="s">
        <v>13743</v>
      </c>
      <c r="BF790" t="str">
        <f>HYPERLINK("http://dx.doi.org/10.1016/j.palaeo.2010.09.033","http://dx.doi.org/10.1016/j.palaeo.2010.09.033")</f>
        <v>http://dx.doi.org/10.1016/j.palaeo.2010.09.033</v>
      </c>
      <c r="BG790" t="s">
        <v>74</v>
      </c>
      <c r="BH790" t="s">
        <v>74</v>
      </c>
      <c r="BI790">
        <v>7</v>
      </c>
      <c r="BJ790" t="s">
        <v>1352</v>
      </c>
      <c r="BK790" t="s">
        <v>100</v>
      </c>
      <c r="BL790" t="s">
        <v>1353</v>
      </c>
      <c r="BM790" t="s">
        <v>13730</v>
      </c>
      <c r="BN790" t="s">
        <v>74</v>
      </c>
      <c r="BO790" t="s">
        <v>74</v>
      </c>
      <c r="BP790" t="s">
        <v>74</v>
      </c>
      <c r="BQ790" t="s">
        <v>74</v>
      </c>
      <c r="BR790" t="s">
        <v>103</v>
      </c>
      <c r="BS790" t="s">
        <v>13744</v>
      </c>
      <c r="BT790" t="str">
        <f>HYPERLINK("https%3A%2F%2Fwww.webofscience.com%2Fwos%2Fwoscc%2Ffull-record%2FWOS:000286406400009","View Full Record in Web of Science")</f>
        <v>View Full Record in Web of Science</v>
      </c>
    </row>
    <row r="791" spans="1:72" x14ac:dyDescent="0.15">
      <c r="A791" t="s">
        <v>72</v>
      </c>
      <c r="B791" t="s">
        <v>13745</v>
      </c>
      <c r="C791" t="s">
        <v>74</v>
      </c>
      <c r="D791" t="s">
        <v>74</v>
      </c>
      <c r="E791" t="s">
        <v>74</v>
      </c>
      <c r="F791" t="s">
        <v>13746</v>
      </c>
      <c r="G791" t="s">
        <v>74</v>
      </c>
      <c r="H791" t="s">
        <v>74</v>
      </c>
      <c r="I791" t="s">
        <v>13747</v>
      </c>
      <c r="J791" t="s">
        <v>1884</v>
      </c>
      <c r="K791" t="s">
        <v>74</v>
      </c>
      <c r="L791" t="s">
        <v>74</v>
      </c>
      <c r="M791" t="s">
        <v>78</v>
      </c>
      <c r="N791" t="s">
        <v>79</v>
      </c>
      <c r="O791" t="s">
        <v>74</v>
      </c>
      <c r="P791" t="s">
        <v>74</v>
      </c>
      <c r="Q791" t="s">
        <v>74</v>
      </c>
      <c r="R791" t="s">
        <v>74</v>
      </c>
      <c r="S791" t="s">
        <v>74</v>
      </c>
      <c r="T791" t="s">
        <v>74</v>
      </c>
      <c r="U791" t="s">
        <v>13748</v>
      </c>
      <c r="V791" t="s">
        <v>13749</v>
      </c>
      <c r="W791" t="s">
        <v>13750</v>
      </c>
      <c r="X791" t="s">
        <v>13751</v>
      </c>
      <c r="Y791" t="s">
        <v>13752</v>
      </c>
      <c r="Z791" t="s">
        <v>13753</v>
      </c>
      <c r="AA791" t="s">
        <v>13754</v>
      </c>
      <c r="AB791" t="s">
        <v>13755</v>
      </c>
      <c r="AC791" t="s">
        <v>13756</v>
      </c>
      <c r="AD791" t="s">
        <v>13757</v>
      </c>
      <c r="AE791" t="s">
        <v>13758</v>
      </c>
      <c r="AF791" t="s">
        <v>74</v>
      </c>
      <c r="AG791">
        <v>60</v>
      </c>
      <c r="AH791">
        <v>58</v>
      </c>
      <c r="AI791">
        <v>65</v>
      </c>
      <c r="AJ791">
        <v>0</v>
      </c>
      <c r="AK791">
        <v>26</v>
      </c>
      <c r="AL791" t="s">
        <v>718</v>
      </c>
      <c r="AM791" t="s">
        <v>719</v>
      </c>
      <c r="AN791" t="s">
        <v>720</v>
      </c>
      <c r="AO791" t="s">
        <v>1894</v>
      </c>
      <c r="AP791" t="s">
        <v>1895</v>
      </c>
      <c r="AQ791" t="s">
        <v>74</v>
      </c>
      <c r="AR791" t="s">
        <v>1896</v>
      </c>
      <c r="AS791" t="s">
        <v>1897</v>
      </c>
      <c r="AT791" t="s">
        <v>13728</v>
      </c>
      <c r="AU791">
        <v>2010</v>
      </c>
      <c r="AV791">
        <v>74</v>
      </c>
      <c r="AW791">
        <v>24</v>
      </c>
      <c r="AX791" t="s">
        <v>74</v>
      </c>
      <c r="AY791" t="s">
        <v>74</v>
      </c>
      <c r="AZ791" t="s">
        <v>74</v>
      </c>
      <c r="BA791" t="s">
        <v>74</v>
      </c>
      <c r="BB791">
        <v>7307</v>
      </c>
      <c r="BC791">
        <v>7328</v>
      </c>
      <c r="BD791" t="s">
        <v>74</v>
      </c>
      <c r="BE791" t="s">
        <v>13759</v>
      </c>
      <c r="BF791" t="str">
        <f>HYPERLINK("http://dx.doi.org/10.1016/j.gca.2010.09.009","http://dx.doi.org/10.1016/j.gca.2010.09.009")</f>
        <v>http://dx.doi.org/10.1016/j.gca.2010.09.009</v>
      </c>
      <c r="BG791" t="s">
        <v>74</v>
      </c>
      <c r="BH791" t="s">
        <v>74</v>
      </c>
      <c r="BI791">
        <v>22</v>
      </c>
      <c r="BJ791" t="s">
        <v>774</v>
      </c>
      <c r="BK791" t="s">
        <v>100</v>
      </c>
      <c r="BL791" t="s">
        <v>774</v>
      </c>
      <c r="BM791" t="s">
        <v>13760</v>
      </c>
      <c r="BN791" t="s">
        <v>74</v>
      </c>
      <c r="BO791" t="s">
        <v>74</v>
      </c>
      <c r="BP791" t="s">
        <v>74</v>
      </c>
      <c r="BQ791" t="s">
        <v>74</v>
      </c>
      <c r="BR791" t="s">
        <v>103</v>
      </c>
      <c r="BS791" t="s">
        <v>13761</v>
      </c>
      <c r="BT791" t="str">
        <f>HYPERLINK("https%3A%2F%2Fwww.webofscience.com%2Fwos%2Fwoscc%2Ffull-record%2FWOS:000285076600022","View Full Record in Web of Science")</f>
        <v>View Full Record in Web of Science</v>
      </c>
    </row>
    <row r="792" spans="1:72" x14ac:dyDescent="0.15">
      <c r="A792" t="s">
        <v>72</v>
      </c>
      <c r="B792" t="s">
        <v>13762</v>
      </c>
      <c r="C792" t="s">
        <v>74</v>
      </c>
      <c r="D792" t="s">
        <v>74</v>
      </c>
      <c r="E792" t="s">
        <v>74</v>
      </c>
      <c r="F792" t="s">
        <v>13763</v>
      </c>
      <c r="G792" t="s">
        <v>74</v>
      </c>
      <c r="H792" t="s">
        <v>74</v>
      </c>
      <c r="I792" t="s">
        <v>13764</v>
      </c>
      <c r="J792" t="s">
        <v>1006</v>
      </c>
      <c r="K792" t="s">
        <v>74</v>
      </c>
      <c r="L792" t="s">
        <v>74</v>
      </c>
      <c r="M792" t="s">
        <v>78</v>
      </c>
      <c r="N792" t="s">
        <v>79</v>
      </c>
      <c r="O792" t="s">
        <v>74</v>
      </c>
      <c r="P792" t="s">
        <v>74</v>
      </c>
      <c r="Q792" t="s">
        <v>74</v>
      </c>
      <c r="R792" t="s">
        <v>74</v>
      </c>
      <c r="S792" t="s">
        <v>74</v>
      </c>
      <c r="T792" t="s">
        <v>74</v>
      </c>
      <c r="U792" t="s">
        <v>13765</v>
      </c>
      <c r="V792" t="s">
        <v>13766</v>
      </c>
      <c r="W792" t="s">
        <v>13767</v>
      </c>
      <c r="X792" t="s">
        <v>13768</v>
      </c>
      <c r="Y792" t="s">
        <v>13769</v>
      </c>
      <c r="Z792" t="s">
        <v>13770</v>
      </c>
      <c r="AA792" t="s">
        <v>13771</v>
      </c>
      <c r="AB792" t="s">
        <v>13772</v>
      </c>
      <c r="AC792" t="s">
        <v>13773</v>
      </c>
      <c r="AD792" t="s">
        <v>13774</v>
      </c>
      <c r="AE792" t="s">
        <v>13775</v>
      </c>
      <c r="AF792" t="s">
        <v>74</v>
      </c>
      <c r="AG792">
        <v>54</v>
      </c>
      <c r="AH792">
        <v>46</v>
      </c>
      <c r="AI792">
        <v>50</v>
      </c>
      <c r="AJ792">
        <v>0</v>
      </c>
      <c r="AK792">
        <v>19</v>
      </c>
      <c r="AL792" t="s">
        <v>1018</v>
      </c>
      <c r="AM792" t="s">
        <v>1019</v>
      </c>
      <c r="AN792" t="s">
        <v>1150</v>
      </c>
      <c r="AO792" t="s">
        <v>1021</v>
      </c>
      <c r="AP792" t="s">
        <v>1022</v>
      </c>
      <c r="AQ792" t="s">
        <v>74</v>
      </c>
      <c r="AR792" t="s">
        <v>1023</v>
      </c>
      <c r="AS792" t="s">
        <v>1024</v>
      </c>
      <c r="AT792" t="s">
        <v>13728</v>
      </c>
      <c r="AU792">
        <v>2010</v>
      </c>
      <c r="AV792">
        <v>23</v>
      </c>
      <c r="AW792">
        <v>24</v>
      </c>
      <c r="AX792" t="s">
        <v>74</v>
      </c>
      <c r="AY792" t="s">
        <v>74</v>
      </c>
      <c r="AZ792" t="s">
        <v>74</v>
      </c>
      <c r="BA792" t="s">
        <v>74</v>
      </c>
      <c r="BB792">
        <v>6526</v>
      </c>
      <c r="BC792">
        <v>6541</v>
      </c>
      <c r="BD792" t="s">
        <v>74</v>
      </c>
      <c r="BE792" t="s">
        <v>13776</v>
      </c>
      <c r="BF792" t="str">
        <f>HYPERLINK("http://dx.doi.org/10.1175/2010JCLI3620.1","http://dx.doi.org/10.1175/2010JCLI3620.1")</f>
        <v>http://dx.doi.org/10.1175/2010JCLI3620.1</v>
      </c>
      <c r="BG792" t="s">
        <v>74</v>
      </c>
      <c r="BH792" t="s">
        <v>74</v>
      </c>
      <c r="BI792">
        <v>16</v>
      </c>
      <c r="BJ792" t="s">
        <v>603</v>
      </c>
      <c r="BK792" t="s">
        <v>100</v>
      </c>
      <c r="BL792" t="s">
        <v>603</v>
      </c>
      <c r="BM792" t="s">
        <v>13777</v>
      </c>
      <c r="BN792" t="s">
        <v>74</v>
      </c>
      <c r="BO792" t="s">
        <v>1854</v>
      </c>
      <c r="BP792" t="s">
        <v>74</v>
      </c>
      <c r="BQ792" t="s">
        <v>74</v>
      </c>
      <c r="BR792" t="s">
        <v>103</v>
      </c>
      <c r="BS792" t="s">
        <v>13778</v>
      </c>
      <c r="BT792" t="str">
        <f>HYPERLINK("https%3A%2F%2Fwww.webofscience.com%2Fwos%2Fwoscc%2Ffull-record%2FWOS:000286553500005","View Full Record in Web of Science")</f>
        <v>View Full Record in Web of Science</v>
      </c>
    </row>
    <row r="793" spans="1:72" x14ac:dyDescent="0.15">
      <c r="A793" t="s">
        <v>72</v>
      </c>
      <c r="B793" t="s">
        <v>13779</v>
      </c>
      <c r="C793" t="s">
        <v>74</v>
      </c>
      <c r="D793" t="s">
        <v>74</v>
      </c>
      <c r="E793" t="s">
        <v>74</v>
      </c>
      <c r="F793" t="s">
        <v>13780</v>
      </c>
      <c r="G793" t="s">
        <v>74</v>
      </c>
      <c r="H793" t="s">
        <v>74</v>
      </c>
      <c r="I793" t="s">
        <v>13781</v>
      </c>
      <c r="J793" t="s">
        <v>13782</v>
      </c>
      <c r="K793" t="s">
        <v>74</v>
      </c>
      <c r="L793" t="s">
        <v>74</v>
      </c>
      <c r="M793" t="s">
        <v>78</v>
      </c>
      <c r="N793" t="s">
        <v>79</v>
      </c>
      <c r="O793" t="s">
        <v>74</v>
      </c>
      <c r="P793" t="s">
        <v>74</v>
      </c>
      <c r="Q793" t="s">
        <v>74</v>
      </c>
      <c r="R793" t="s">
        <v>74</v>
      </c>
      <c r="S793" t="s">
        <v>74</v>
      </c>
      <c r="T793" t="s">
        <v>13783</v>
      </c>
      <c r="U793" t="s">
        <v>13784</v>
      </c>
      <c r="V793" t="s">
        <v>13785</v>
      </c>
      <c r="W793" t="s">
        <v>13786</v>
      </c>
      <c r="X793" t="s">
        <v>13787</v>
      </c>
      <c r="Y793" t="s">
        <v>13788</v>
      </c>
      <c r="Z793" t="s">
        <v>13789</v>
      </c>
      <c r="AA793" t="s">
        <v>13790</v>
      </c>
      <c r="AB793" t="s">
        <v>13791</v>
      </c>
      <c r="AC793" t="s">
        <v>13792</v>
      </c>
      <c r="AD793" t="s">
        <v>13793</v>
      </c>
      <c r="AE793" t="s">
        <v>13794</v>
      </c>
      <c r="AF793" t="s">
        <v>74</v>
      </c>
      <c r="AG793">
        <v>45</v>
      </c>
      <c r="AH793">
        <v>18</v>
      </c>
      <c r="AI793">
        <v>21</v>
      </c>
      <c r="AJ793">
        <v>1</v>
      </c>
      <c r="AK793">
        <v>23</v>
      </c>
      <c r="AL793" t="s">
        <v>13795</v>
      </c>
      <c r="AM793" t="s">
        <v>2335</v>
      </c>
      <c r="AN793" t="s">
        <v>13796</v>
      </c>
      <c r="AO793" t="s">
        <v>13797</v>
      </c>
      <c r="AP793" t="s">
        <v>13798</v>
      </c>
      <c r="AQ793" t="s">
        <v>74</v>
      </c>
      <c r="AR793" t="s">
        <v>13799</v>
      </c>
      <c r="AS793" t="s">
        <v>13800</v>
      </c>
      <c r="AT793" t="s">
        <v>13728</v>
      </c>
      <c r="AU793">
        <v>2010</v>
      </c>
      <c r="AV793">
        <v>213</v>
      </c>
      <c r="AW793">
        <v>24</v>
      </c>
      <c r="AX793" t="s">
        <v>74</v>
      </c>
      <c r="AY793" t="s">
        <v>74</v>
      </c>
      <c r="AZ793" t="s">
        <v>74</v>
      </c>
      <c r="BA793" t="s">
        <v>74</v>
      </c>
      <c r="BB793">
        <v>4304</v>
      </c>
      <c r="BC793">
        <v>4312</v>
      </c>
      <c r="BD793" t="s">
        <v>74</v>
      </c>
      <c r="BE793" t="s">
        <v>13801</v>
      </c>
      <c r="BF793" t="str">
        <f>HYPERLINK("http://dx.doi.org/10.1242/jeb.044941","http://dx.doi.org/10.1242/jeb.044941")</f>
        <v>http://dx.doi.org/10.1242/jeb.044941</v>
      </c>
      <c r="BG793" t="s">
        <v>74</v>
      </c>
      <c r="BH793" t="s">
        <v>74</v>
      </c>
      <c r="BI793">
        <v>9</v>
      </c>
      <c r="BJ793" t="s">
        <v>6468</v>
      </c>
      <c r="BK793" t="s">
        <v>100</v>
      </c>
      <c r="BL793" t="s">
        <v>6469</v>
      </c>
      <c r="BM793" t="s">
        <v>13802</v>
      </c>
      <c r="BN793">
        <v>21113012</v>
      </c>
      <c r="BO793" t="s">
        <v>74</v>
      </c>
      <c r="BP793" t="s">
        <v>74</v>
      </c>
      <c r="BQ793" t="s">
        <v>74</v>
      </c>
      <c r="BR793" t="s">
        <v>103</v>
      </c>
      <c r="BS793" t="s">
        <v>13803</v>
      </c>
      <c r="BT793" t="str">
        <f>HYPERLINK("https%3A%2F%2Fwww.webofscience.com%2Fwos%2Fwoscc%2Ffull-record%2FWOS:000284626100026","View Full Record in Web of Science")</f>
        <v>View Full Record in Web of Science</v>
      </c>
    </row>
    <row r="794" spans="1:72" x14ac:dyDescent="0.15">
      <c r="A794" t="s">
        <v>72</v>
      </c>
      <c r="B794" t="s">
        <v>13804</v>
      </c>
      <c r="C794" t="s">
        <v>74</v>
      </c>
      <c r="D794" t="s">
        <v>74</v>
      </c>
      <c r="E794" t="s">
        <v>74</v>
      </c>
      <c r="F794" t="s">
        <v>13805</v>
      </c>
      <c r="G794" t="s">
        <v>74</v>
      </c>
      <c r="H794" t="s">
        <v>74</v>
      </c>
      <c r="I794" t="s">
        <v>13806</v>
      </c>
      <c r="J794" t="s">
        <v>13807</v>
      </c>
      <c r="K794" t="s">
        <v>74</v>
      </c>
      <c r="L794" t="s">
        <v>74</v>
      </c>
      <c r="M794" t="s">
        <v>78</v>
      </c>
      <c r="N794" t="s">
        <v>79</v>
      </c>
      <c r="O794" t="s">
        <v>74</v>
      </c>
      <c r="P794" t="s">
        <v>74</v>
      </c>
      <c r="Q794" t="s">
        <v>74</v>
      </c>
      <c r="R794" t="s">
        <v>74</v>
      </c>
      <c r="S794" t="s">
        <v>74</v>
      </c>
      <c r="T794" t="s">
        <v>74</v>
      </c>
      <c r="U794" t="s">
        <v>13808</v>
      </c>
      <c r="V794" t="s">
        <v>13809</v>
      </c>
      <c r="W794" t="s">
        <v>13810</v>
      </c>
      <c r="X794" t="s">
        <v>5738</v>
      </c>
      <c r="Y794" t="s">
        <v>13811</v>
      </c>
      <c r="Z794" t="s">
        <v>13812</v>
      </c>
      <c r="AA794" t="s">
        <v>13813</v>
      </c>
      <c r="AB794" t="s">
        <v>13814</v>
      </c>
      <c r="AC794" t="s">
        <v>13815</v>
      </c>
      <c r="AD794" t="s">
        <v>13815</v>
      </c>
      <c r="AE794" t="s">
        <v>13816</v>
      </c>
      <c r="AF794" t="s">
        <v>74</v>
      </c>
      <c r="AG794">
        <v>34</v>
      </c>
      <c r="AH794">
        <v>6</v>
      </c>
      <c r="AI794">
        <v>6</v>
      </c>
      <c r="AJ794">
        <v>0</v>
      </c>
      <c r="AK794">
        <v>11</v>
      </c>
      <c r="AL794" t="s">
        <v>214</v>
      </c>
      <c r="AM794" t="s">
        <v>215</v>
      </c>
      <c r="AN794" t="s">
        <v>216</v>
      </c>
      <c r="AO794" t="s">
        <v>13817</v>
      </c>
      <c r="AP794" t="s">
        <v>13818</v>
      </c>
      <c r="AQ794" t="s">
        <v>74</v>
      </c>
      <c r="AR794" t="s">
        <v>13819</v>
      </c>
      <c r="AS794" t="s">
        <v>13820</v>
      </c>
      <c r="AT794" t="s">
        <v>13728</v>
      </c>
      <c r="AU794">
        <v>2010</v>
      </c>
      <c r="AV794" t="s">
        <v>13821</v>
      </c>
      <c r="AW794">
        <v>8</v>
      </c>
      <c r="AX794" t="s">
        <v>74</v>
      </c>
      <c r="AY794" t="s">
        <v>74</v>
      </c>
      <c r="AZ794" t="s">
        <v>74</v>
      </c>
      <c r="BA794" t="s">
        <v>74</v>
      </c>
      <c r="BB794">
        <v>645</v>
      </c>
      <c r="BC794">
        <v>652</v>
      </c>
      <c r="BD794" t="s">
        <v>74</v>
      </c>
      <c r="BE794" t="s">
        <v>13822</v>
      </c>
      <c r="BF794" t="str">
        <f>HYPERLINK("http://dx.doi.org/10.1002/jez.b.21365","http://dx.doi.org/10.1002/jez.b.21365")</f>
        <v>http://dx.doi.org/10.1002/jez.b.21365</v>
      </c>
      <c r="BG794" t="s">
        <v>74</v>
      </c>
      <c r="BH794" t="s">
        <v>74</v>
      </c>
      <c r="BI794">
        <v>8</v>
      </c>
      <c r="BJ794" t="s">
        <v>13823</v>
      </c>
      <c r="BK794" t="s">
        <v>100</v>
      </c>
      <c r="BL794" t="s">
        <v>13823</v>
      </c>
      <c r="BM794" t="s">
        <v>13824</v>
      </c>
      <c r="BN794">
        <v>20623506</v>
      </c>
      <c r="BO794" t="s">
        <v>74</v>
      </c>
      <c r="BP794" t="s">
        <v>74</v>
      </c>
      <c r="BQ794" t="s">
        <v>74</v>
      </c>
      <c r="BR794" t="s">
        <v>103</v>
      </c>
      <c r="BS794" t="s">
        <v>13825</v>
      </c>
      <c r="BT794" t="str">
        <f>HYPERLINK("https%3A%2F%2Fwww.webofscience.com%2Fwos%2Fwoscc%2Ffull-record%2FWOS:000284857200005","View Full Record in Web of Science")</f>
        <v>View Full Record in Web of Science</v>
      </c>
    </row>
    <row r="795" spans="1:72" x14ac:dyDescent="0.15">
      <c r="A795" t="s">
        <v>72</v>
      </c>
      <c r="B795" t="s">
        <v>13826</v>
      </c>
      <c r="C795" t="s">
        <v>74</v>
      </c>
      <c r="D795" t="s">
        <v>74</v>
      </c>
      <c r="E795" t="s">
        <v>74</v>
      </c>
      <c r="F795" t="s">
        <v>13827</v>
      </c>
      <c r="G795" t="s">
        <v>74</v>
      </c>
      <c r="H795" t="s">
        <v>74</v>
      </c>
      <c r="I795" t="s">
        <v>13828</v>
      </c>
      <c r="J795" t="s">
        <v>229</v>
      </c>
      <c r="K795" t="s">
        <v>74</v>
      </c>
      <c r="L795" t="s">
        <v>74</v>
      </c>
      <c r="M795" t="s">
        <v>78</v>
      </c>
      <c r="N795" t="s">
        <v>79</v>
      </c>
      <c r="O795" t="s">
        <v>74</v>
      </c>
      <c r="P795" t="s">
        <v>74</v>
      </c>
      <c r="Q795" t="s">
        <v>74</v>
      </c>
      <c r="R795" t="s">
        <v>74</v>
      </c>
      <c r="S795" t="s">
        <v>74</v>
      </c>
      <c r="T795" t="s">
        <v>74</v>
      </c>
      <c r="U795" t="s">
        <v>13829</v>
      </c>
      <c r="V795" t="s">
        <v>13830</v>
      </c>
      <c r="W795" t="s">
        <v>13831</v>
      </c>
      <c r="X795" t="s">
        <v>13832</v>
      </c>
      <c r="Y795" t="s">
        <v>13833</v>
      </c>
      <c r="Z795" t="s">
        <v>13834</v>
      </c>
      <c r="AA795" t="s">
        <v>13835</v>
      </c>
      <c r="AB795" t="s">
        <v>13836</v>
      </c>
      <c r="AC795" t="s">
        <v>13837</v>
      </c>
      <c r="AD795" t="s">
        <v>13838</v>
      </c>
      <c r="AE795" t="s">
        <v>13839</v>
      </c>
      <c r="AF795" t="s">
        <v>74</v>
      </c>
      <c r="AG795">
        <v>31</v>
      </c>
      <c r="AH795">
        <v>2</v>
      </c>
      <c r="AI795">
        <v>2</v>
      </c>
      <c r="AJ795">
        <v>0</v>
      </c>
      <c r="AK795">
        <v>9</v>
      </c>
      <c r="AL795" t="s">
        <v>240</v>
      </c>
      <c r="AM795" t="s">
        <v>241</v>
      </c>
      <c r="AN795" t="s">
        <v>242</v>
      </c>
      <c r="AO795" t="s">
        <v>243</v>
      </c>
      <c r="AP795" t="s">
        <v>244</v>
      </c>
      <c r="AQ795" t="s">
        <v>74</v>
      </c>
      <c r="AR795" t="s">
        <v>245</v>
      </c>
      <c r="AS795" t="s">
        <v>246</v>
      </c>
      <c r="AT795" t="s">
        <v>13728</v>
      </c>
      <c r="AU795">
        <v>2010</v>
      </c>
      <c r="AV795">
        <v>115</v>
      </c>
      <c r="AW795" t="s">
        <v>74</v>
      </c>
      <c r="AX795" t="s">
        <v>74</v>
      </c>
      <c r="AY795" t="s">
        <v>74</v>
      </c>
      <c r="AZ795" t="s">
        <v>74</v>
      </c>
      <c r="BA795" t="s">
        <v>74</v>
      </c>
      <c r="BB795" t="s">
        <v>74</v>
      </c>
      <c r="BC795" t="s">
        <v>74</v>
      </c>
      <c r="BD795" t="s">
        <v>13840</v>
      </c>
      <c r="BE795" t="s">
        <v>13841</v>
      </c>
      <c r="BF795" t="str">
        <f>HYPERLINK("http://dx.doi.org/10.1029/2010JC006101","http://dx.doi.org/10.1029/2010JC006101")</f>
        <v>http://dx.doi.org/10.1029/2010JC006101</v>
      </c>
      <c r="BG795" t="s">
        <v>74</v>
      </c>
      <c r="BH795" t="s">
        <v>74</v>
      </c>
      <c r="BI795">
        <v>10</v>
      </c>
      <c r="BJ795" t="s">
        <v>250</v>
      </c>
      <c r="BK795" t="s">
        <v>100</v>
      </c>
      <c r="BL795" t="s">
        <v>250</v>
      </c>
      <c r="BM795" t="s">
        <v>13842</v>
      </c>
      <c r="BN795" t="s">
        <v>74</v>
      </c>
      <c r="BO795" t="s">
        <v>10627</v>
      </c>
      <c r="BP795" t="s">
        <v>74</v>
      </c>
      <c r="BQ795" t="s">
        <v>74</v>
      </c>
      <c r="BR795" t="s">
        <v>103</v>
      </c>
      <c r="BS795" t="s">
        <v>13843</v>
      </c>
      <c r="BT795" t="str">
        <f>HYPERLINK("https%3A%2F%2Fwww.webofscience.com%2Fwos%2Fwoscc%2Ffull-record%2FWOS:000285465200002","View Full Record in Web of Science")</f>
        <v>View Full Record in Web of Science</v>
      </c>
    </row>
    <row r="796" spans="1:72" x14ac:dyDescent="0.15">
      <c r="A796" t="s">
        <v>72</v>
      </c>
      <c r="B796" t="s">
        <v>13844</v>
      </c>
      <c r="C796" t="s">
        <v>74</v>
      </c>
      <c r="D796" t="s">
        <v>74</v>
      </c>
      <c r="E796" t="s">
        <v>74</v>
      </c>
      <c r="F796" t="s">
        <v>13845</v>
      </c>
      <c r="G796" t="s">
        <v>74</v>
      </c>
      <c r="H796" t="s">
        <v>74</v>
      </c>
      <c r="I796" t="s">
        <v>13846</v>
      </c>
      <c r="J796" t="s">
        <v>1333</v>
      </c>
      <c r="K796" t="s">
        <v>74</v>
      </c>
      <c r="L796" t="s">
        <v>74</v>
      </c>
      <c r="M796" t="s">
        <v>78</v>
      </c>
      <c r="N796" t="s">
        <v>403</v>
      </c>
      <c r="O796" t="s">
        <v>74</v>
      </c>
      <c r="P796" t="s">
        <v>74</v>
      </c>
      <c r="Q796" t="s">
        <v>74</v>
      </c>
      <c r="R796" t="s">
        <v>74</v>
      </c>
      <c r="S796" t="s">
        <v>74</v>
      </c>
      <c r="T796" t="s">
        <v>13847</v>
      </c>
      <c r="U796" t="s">
        <v>13848</v>
      </c>
      <c r="V796" t="s">
        <v>13849</v>
      </c>
      <c r="W796" t="s">
        <v>13850</v>
      </c>
      <c r="X796" t="s">
        <v>8836</v>
      </c>
      <c r="Y796" t="s">
        <v>13851</v>
      </c>
      <c r="Z796" t="s">
        <v>13852</v>
      </c>
      <c r="AA796" t="s">
        <v>13853</v>
      </c>
      <c r="AB796" t="s">
        <v>13854</v>
      </c>
      <c r="AC796" t="s">
        <v>74</v>
      </c>
      <c r="AD796" t="s">
        <v>74</v>
      </c>
      <c r="AE796" t="s">
        <v>74</v>
      </c>
      <c r="AF796" t="s">
        <v>74</v>
      </c>
      <c r="AG796">
        <v>20</v>
      </c>
      <c r="AH796">
        <v>3</v>
      </c>
      <c r="AI796">
        <v>3</v>
      </c>
      <c r="AJ796">
        <v>0</v>
      </c>
      <c r="AK796">
        <v>15</v>
      </c>
      <c r="AL796" t="s">
        <v>639</v>
      </c>
      <c r="AM796" t="s">
        <v>640</v>
      </c>
      <c r="AN796" t="s">
        <v>641</v>
      </c>
      <c r="AO796" t="s">
        <v>1346</v>
      </c>
      <c r="AP796" t="s">
        <v>74</v>
      </c>
      <c r="AQ796" t="s">
        <v>74</v>
      </c>
      <c r="AR796" t="s">
        <v>1348</v>
      </c>
      <c r="AS796" t="s">
        <v>1349</v>
      </c>
      <c r="AT796" t="s">
        <v>13728</v>
      </c>
      <c r="AU796">
        <v>2010</v>
      </c>
      <c r="AV796">
        <v>298</v>
      </c>
      <c r="AW796" t="s">
        <v>601</v>
      </c>
      <c r="AX796" t="s">
        <v>74</v>
      </c>
      <c r="AY796" t="s">
        <v>74</v>
      </c>
      <c r="AZ796" t="s">
        <v>74</v>
      </c>
      <c r="BA796" t="s">
        <v>74</v>
      </c>
      <c r="BB796">
        <v>437</v>
      </c>
      <c r="BC796">
        <v>442</v>
      </c>
      <c r="BD796" t="s">
        <v>74</v>
      </c>
      <c r="BE796" t="s">
        <v>13855</v>
      </c>
      <c r="BF796" t="str">
        <f>HYPERLINK("http://dx.doi.org/10.1016/j.palaeo.2010.10.023","http://dx.doi.org/10.1016/j.palaeo.2010.10.023")</f>
        <v>http://dx.doi.org/10.1016/j.palaeo.2010.10.023</v>
      </c>
      <c r="BG796" t="s">
        <v>74</v>
      </c>
      <c r="BH796" t="s">
        <v>74</v>
      </c>
      <c r="BI796">
        <v>6</v>
      </c>
      <c r="BJ796" t="s">
        <v>1352</v>
      </c>
      <c r="BK796" t="s">
        <v>100</v>
      </c>
      <c r="BL796" t="s">
        <v>1353</v>
      </c>
      <c r="BM796" t="s">
        <v>13730</v>
      </c>
      <c r="BN796" t="s">
        <v>74</v>
      </c>
      <c r="BO796" t="s">
        <v>74</v>
      </c>
      <c r="BP796" t="s">
        <v>74</v>
      </c>
      <c r="BQ796" t="s">
        <v>74</v>
      </c>
      <c r="BR796" t="s">
        <v>103</v>
      </c>
      <c r="BS796" t="s">
        <v>13856</v>
      </c>
      <c r="BT796" t="str">
        <f>HYPERLINK("https%3A%2F%2Fwww.webofscience.com%2Fwos%2Fwoscc%2Ffull-record%2FWOS:000286406400025","View Full Record in Web of Science")</f>
        <v>View Full Record in Web of Science</v>
      </c>
    </row>
    <row r="797" spans="1:72" x14ac:dyDescent="0.15">
      <c r="A797" t="s">
        <v>72</v>
      </c>
      <c r="B797" t="s">
        <v>13857</v>
      </c>
      <c r="C797" t="s">
        <v>74</v>
      </c>
      <c r="D797" t="s">
        <v>74</v>
      </c>
      <c r="E797" t="s">
        <v>74</v>
      </c>
      <c r="F797" t="s">
        <v>13858</v>
      </c>
      <c r="G797" t="s">
        <v>74</v>
      </c>
      <c r="H797" t="s">
        <v>74</v>
      </c>
      <c r="I797" t="s">
        <v>13859</v>
      </c>
      <c r="J797" t="s">
        <v>13860</v>
      </c>
      <c r="K797" t="s">
        <v>74</v>
      </c>
      <c r="L797" t="s">
        <v>74</v>
      </c>
      <c r="M797" t="s">
        <v>78</v>
      </c>
      <c r="N797" t="s">
        <v>79</v>
      </c>
      <c r="O797" t="s">
        <v>74</v>
      </c>
      <c r="P797" t="s">
        <v>74</v>
      </c>
      <c r="Q797" t="s">
        <v>74</v>
      </c>
      <c r="R797" t="s">
        <v>74</v>
      </c>
      <c r="S797" t="s">
        <v>74</v>
      </c>
      <c r="T797" t="s">
        <v>13861</v>
      </c>
      <c r="U797" t="s">
        <v>13862</v>
      </c>
      <c r="V797" t="s">
        <v>13863</v>
      </c>
      <c r="W797" t="s">
        <v>13864</v>
      </c>
      <c r="X797" t="s">
        <v>13865</v>
      </c>
      <c r="Y797" t="s">
        <v>13866</v>
      </c>
      <c r="Z797" t="s">
        <v>13867</v>
      </c>
      <c r="AA797" t="s">
        <v>13868</v>
      </c>
      <c r="AB797" t="s">
        <v>13869</v>
      </c>
      <c r="AC797" t="s">
        <v>13870</v>
      </c>
      <c r="AD797" t="s">
        <v>13871</v>
      </c>
      <c r="AE797" t="s">
        <v>13872</v>
      </c>
      <c r="AF797" t="s">
        <v>74</v>
      </c>
      <c r="AG797">
        <v>49</v>
      </c>
      <c r="AH797">
        <v>34</v>
      </c>
      <c r="AI797">
        <v>40</v>
      </c>
      <c r="AJ797">
        <v>0</v>
      </c>
      <c r="AK797">
        <v>53</v>
      </c>
      <c r="AL797" t="s">
        <v>13873</v>
      </c>
      <c r="AM797" t="s">
        <v>91</v>
      </c>
      <c r="AN797" t="s">
        <v>13874</v>
      </c>
      <c r="AO797" t="s">
        <v>13875</v>
      </c>
      <c r="AP797" t="s">
        <v>13876</v>
      </c>
      <c r="AQ797" t="s">
        <v>74</v>
      </c>
      <c r="AR797" t="s">
        <v>13877</v>
      </c>
      <c r="AS797" t="s">
        <v>13878</v>
      </c>
      <c r="AT797" t="s">
        <v>13728</v>
      </c>
      <c r="AU797">
        <v>2010</v>
      </c>
      <c r="AV797">
        <v>114</v>
      </c>
      <c r="AW797">
        <v>12</v>
      </c>
      <c r="AX797" t="s">
        <v>74</v>
      </c>
      <c r="AY797" t="s">
        <v>74</v>
      </c>
      <c r="AZ797" t="s">
        <v>74</v>
      </c>
      <c r="BA797" t="s">
        <v>74</v>
      </c>
      <c r="BB797">
        <v>2888</v>
      </c>
      <c r="BC797">
        <v>2896</v>
      </c>
      <c r="BD797" t="s">
        <v>74</v>
      </c>
      <c r="BE797" t="s">
        <v>13879</v>
      </c>
      <c r="BF797" t="str">
        <f>HYPERLINK("http://dx.doi.org/10.1016/j.rse.2010.07.006","http://dx.doi.org/10.1016/j.rse.2010.07.006")</f>
        <v>http://dx.doi.org/10.1016/j.rse.2010.07.006</v>
      </c>
      <c r="BG797" t="s">
        <v>74</v>
      </c>
      <c r="BH797" t="s">
        <v>74</v>
      </c>
      <c r="BI797">
        <v>9</v>
      </c>
      <c r="BJ797" t="s">
        <v>13880</v>
      </c>
      <c r="BK797" t="s">
        <v>100</v>
      </c>
      <c r="BL797" t="s">
        <v>13881</v>
      </c>
      <c r="BM797" t="s">
        <v>13882</v>
      </c>
      <c r="BN797" t="s">
        <v>74</v>
      </c>
      <c r="BO797" t="s">
        <v>74</v>
      </c>
      <c r="BP797" t="s">
        <v>74</v>
      </c>
      <c r="BQ797" t="s">
        <v>74</v>
      </c>
      <c r="BR797" t="s">
        <v>103</v>
      </c>
      <c r="BS797" t="s">
        <v>13883</v>
      </c>
      <c r="BT797" t="str">
        <f>HYPERLINK("https%3A%2F%2Fwww.webofscience.com%2Fwos%2Fwoscc%2Ffull-record%2FWOS:000283400100006","View Full Record in Web of Science")</f>
        <v>View Full Record in Web of Science</v>
      </c>
    </row>
    <row r="798" spans="1:72" x14ac:dyDescent="0.15">
      <c r="A798" t="s">
        <v>72</v>
      </c>
      <c r="B798" t="s">
        <v>13884</v>
      </c>
      <c r="C798" t="s">
        <v>74</v>
      </c>
      <c r="D798" t="s">
        <v>74</v>
      </c>
      <c r="E798" t="s">
        <v>74</v>
      </c>
      <c r="F798" t="s">
        <v>13885</v>
      </c>
      <c r="G798" t="s">
        <v>74</v>
      </c>
      <c r="H798" t="s">
        <v>74</v>
      </c>
      <c r="I798" t="s">
        <v>13886</v>
      </c>
      <c r="J798" t="s">
        <v>13887</v>
      </c>
      <c r="K798" t="s">
        <v>74</v>
      </c>
      <c r="L798" t="s">
        <v>74</v>
      </c>
      <c r="M798" t="s">
        <v>78</v>
      </c>
      <c r="N798" t="s">
        <v>79</v>
      </c>
      <c r="O798" t="s">
        <v>74</v>
      </c>
      <c r="P798" t="s">
        <v>74</v>
      </c>
      <c r="Q798" t="s">
        <v>74</v>
      </c>
      <c r="R798" t="s">
        <v>74</v>
      </c>
      <c r="S798" t="s">
        <v>74</v>
      </c>
      <c r="T798" t="s">
        <v>13888</v>
      </c>
      <c r="U798" t="s">
        <v>13889</v>
      </c>
      <c r="V798" t="s">
        <v>13890</v>
      </c>
      <c r="W798" t="s">
        <v>13891</v>
      </c>
      <c r="X798" t="s">
        <v>13892</v>
      </c>
      <c r="Y798" t="s">
        <v>13893</v>
      </c>
      <c r="Z798" t="s">
        <v>74</v>
      </c>
      <c r="AA798" t="s">
        <v>74</v>
      </c>
      <c r="AB798" t="s">
        <v>74</v>
      </c>
      <c r="AC798" t="s">
        <v>13894</v>
      </c>
      <c r="AD798" t="s">
        <v>1687</v>
      </c>
      <c r="AE798" t="s">
        <v>74</v>
      </c>
      <c r="AF798" t="s">
        <v>74</v>
      </c>
      <c r="AG798">
        <v>97</v>
      </c>
      <c r="AH798">
        <v>45</v>
      </c>
      <c r="AI798">
        <v>46</v>
      </c>
      <c r="AJ798">
        <v>0</v>
      </c>
      <c r="AK798">
        <v>33</v>
      </c>
      <c r="AL798" t="s">
        <v>767</v>
      </c>
      <c r="AM798" t="s">
        <v>640</v>
      </c>
      <c r="AN798" t="s">
        <v>768</v>
      </c>
      <c r="AO798" t="s">
        <v>13895</v>
      </c>
      <c r="AP798" t="s">
        <v>13896</v>
      </c>
      <c r="AQ798" t="s">
        <v>74</v>
      </c>
      <c r="AR798" t="s">
        <v>13897</v>
      </c>
      <c r="AS798" t="s">
        <v>13898</v>
      </c>
      <c r="AT798" t="s">
        <v>13728</v>
      </c>
      <c r="AU798">
        <v>2010</v>
      </c>
      <c r="AV798">
        <v>232</v>
      </c>
      <c r="AW798" t="s">
        <v>601</v>
      </c>
      <c r="AX798" t="s">
        <v>74</v>
      </c>
      <c r="AY798" t="s">
        <v>74</v>
      </c>
      <c r="AZ798" t="s">
        <v>967</v>
      </c>
      <c r="BA798" t="s">
        <v>74</v>
      </c>
      <c r="BB798">
        <v>98</v>
      </c>
      <c r="BC798">
        <v>118</v>
      </c>
      <c r="BD798" t="s">
        <v>74</v>
      </c>
      <c r="BE798" t="s">
        <v>13899</v>
      </c>
      <c r="BF798" t="str">
        <f>HYPERLINK("http://dx.doi.org/10.1016/j.sedgeo.2009.11.004","http://dx.doi.org/10.1016/j.sedgeo.2009.11.004")</f>
        <v>http://dx.doi.org/10.1016/j.sedgeo.2009.11.004</v>
      </c>
      <c r="BG798" t="s">
        <v>74</v>
      </c>
      <c r="BH798" t="s">
        <v>74</v>
      </c>
      <c r="BI798">
        <v>21</v>
      </c>
      <c r="BJ798" t="s">
        <v>397</v>
      </c>
      <c r="BK798" t="s">
        <v>100</v>
      </c>
      <c r="BL798" t="s">
        <v>397</v>
      </c>
      <c r="BM798" t="s">
        <v>13900</v>
      </c>
      <c r="BN798" t="s">
        <v>74</v>
      </c>
      <c r="BO798" t="s">
        <v>172</v>
      </c>
      <c r="BP798" t="s">
        <v>74</v>
      </c>
      <c r="BQ798" t="s">
        <v>74</v>
      </c>
      <c r="BR798" t="s">
        <v>103</v>
      </c>
      <c r="BS798" t="s">
        <v>13901</v>
      </c>
      <c r="BT798" t="str">
        <f>HYPERLINK("https%3A%2F%2Fwww.webofscience.com%2Fwos%2Fwoscc%2Ffull-record%2FWOS:000285118000002","View Full Record in Web of Science")</f>
        <v>View Full Record in Web of Science</v>
      </c>
    </row>
    <row r="799" spans="1:72" x14ac:dyDescent="0.15">
      <c r="A799" t="s">
        <v>72</v>
      </c>
      <c r="B799" t="s">
        <v>13902</v>
      </c>
      <c r="C799" t="s">
        <v>74</v>
      </c>
      <c r="D799" t="s">
        <v>74</v>
      </c>
      <c r="E799" t="s">
        <v>74</v>
      </c>
      <c r="F799" t="s">
        <v>13903</v>
      </c>
      <c r="G799" t="s">
        <v>74</v>
      </c>
      <c r="H799" t="s">
        <v>74</v>
      </c>
      <c r="I799" t="s">
        <v>13904</v>
      </c>
      <c r="J799" t="s">
        <v>229</v>
      </c>
      <c r="K799" t="s">
        <v>74</v>
      </c>
      <c r="L799" t="s">
        <v>74</v>
      </c>
      <c r="M799" t="s">
        <v>78</v>
      </c>
      <c r="N799" t="s">
        <v>79</v>
      </c>
      <c r="O799" t="s">
        <v>74</v>
      </c>
      <c r="P799" t="s">
        <v>74</v>
      </c>
      <c r="Q799" t="s">
        <v>74</v>
      </c>
      <c r="R799" t="s">
        <v>74</v>
      </c>
      <c r="S799" t="s">
        <v>74</v>
      </c>
      <c r="T799" t="s">
        <v>74</v>
      </c>
      <c r="U799" t="s">
        <v>13905</v>
      </c>
      <c r="V799" t="s">
        <v>13906</v>
      </c>
      <c r="W799" t="s">
        <v>13907</v>
      </c>
      <c r="X799" t="s">
        <v>13908</v>
      </c>
      <c r="Y799" t="s">
        <v>13909</v>
      </c>
      <c r="Z799" t="s">
        <v>13910</v>
      </c>
      <c r="AA799" t="s">
        <v>13911</v>
      </c>
      <c r="AB799" t="s">
        <v>13912</v>
      </c>
      <c r="AC799" t="s">
        <v>13913</v>
      </c>
      <c r="AD799" t="s">
        <v>13914</v>
      </c>
      <c r="AE799" t="s">
        <v>13915</v>
      </c>
      <c r="AF799" t="s">
        <v>74</v>
      </c>
      <c r="AG799">
        <v>65</v>
      </c>
      <c r="AH799">
        <v>61</v>
      </c>
      <c r="AI799">
        <v>63</v>
      </c>
      <c r="AJ799">
        <v>0</v>
      </c>
      <c r="AK799">
        <v>55</v>
      </c>
      <c r="AL799" t="s">
        <v>240</v>
      </c>
      <c r="AM799" t="s">
        <v>241</v>
      </c>
      <c r="AN799" t="s">
        <v>242</v>
      </c>
      <c r="AO799" t="s">
        <v>243</v>
      </c>
      <c r="AP799" t="s">
        <v>244</v>
      </c>
      <c r="AQ799" t="s">
        <v>74</v>
      </c>
      <c r="AR799" t="s">
        <v>245</v>
      </c>
      <c r="AS799" t="s">
        <v>246</v>
      </c>
      <c r="AT799" t="s">
        <v>13916</v>
      </c>
      <c r="AU799">
        <v>2010</v>
      </c>
      <c r="AV799">
        <v>115</v>
      </c>
      <c r="AW799" t="s">
        <v>74</v>
      </c>
      <c r="AX799" t="s">
        <v>74</v>
      </c>
      <c r="AY799" t="s">
        <v>74</v>
      </c>
      <c r="AZ799" t="s">
        <v>74</v>
      </c>
      <c r="BA799" t="s">
        <v>74</v>
      </c>
      <c r="BB799" t="s">
        <v>74</v>
      </c>
      <c r="BC799" t="s">
        <v>74</v>
      </c>
      <c r="BD799" t="s">
        <v>13917</v>
      </c>
      <c r="BE799" t="s">
        <v>13918</v>
      </c>
      <c r="BF799" t="str">
        <f>HYPERLINK("http://dx.doi.org/10.1029/2009JC006083","http://dx.doi.org/10.1029/2009JC006083")</f>
        <v>http://dx.doi.org/10.1029/2009JC006083</v>
      </c>
      <c r="BG799" t="s">
        <v>74</v>
      </c>
      <c r="BH799" t="s">
        <v>74</v>
      </c>
      <c r="BI799">
        <v>15</v>
      </c>
      <c r="BJ799" t="s">
        <v>250</v>
      </c>
      <c r="BK799" t="s">
        <v>100</v>
      </c>
      <c r="BL799" t="s">
        <v>250</v>
      </c>
      <c r="BM799" t="s">
        <v>13919</v>
      </c>
      <c r="BN799" t="s">
        <v>74</v>
      </c>
      <c r="BO799" t="s">
        <v>726</v>
      </c>
      <c r="BP799" t="s">
        <v>74</v>
      </c>
      <c r="BQ799" t="s">
        <v>74</v>
      </c>
      <c r="BR799" t="s">
        <v>103</v>
      </c>
      <c r="BS799" t="s">
        <v>13920</v>
      </c>
      <c r="BT799" t="str">
        <f>HYPERLINK("https%3A%2F%2Fwww.webofscience.com%2Fwos%2Fwoscc%2Ffull-record%2FWOS:000285465000001","View Full Record in Web of Science")</f>
        <v>View Full Record in Web of Science</v>
      </c>
    </row>
    <row r="800" spans="1:72" x14ac:dyDescent="0.15">
      <c r="A800" t="s">
        <v>72</v>
      </c>
      <c r="B800" t="s">
        <v>13921</v>
      </c>
      <c r="C800" t="s">
        <v>74</v>
      </c>
      <c r="D800" t="s">
        <v>74</v>
      </c>
      <c r="E800" t="s">
        <v>74</v>
      </c>
      <c r="F800" t="s">
        <v>13922</v>
      </c>
      <c r="G800" t="s">
        <v>74</v>
      </c>
      <c r="H800" t="s">
        <v>74</v>
      </c>
      <c r="I800" t="s">
        <v>13923</v>
      </c>
      <c r="J800" t="s">
        <v>1859</v>
      </c>
      <c r="K800" t="s">
        <v>74</v>
      </c>
      <c r="L800" t="s">
        <v>74</v>
      </c>
      <c r="M800" t="s">
        <v>78</v>
      </c>
      <c r="N800" t="s">
        <v>79</v>
      </c>
      <c r="O800" t="s">
        <v>74</v>
      </c>
      <c r="P800" t="s">
        <v>74</v>
      </c>
      <c r="Q800" t="s">
        <v>74</v>
      </c>
      <c r="R800" t="s">
        <v>74</v>
      </c>
      <c r="S800" t="s">
        <v>74</v>
      </c>
      <c r="T800" t="s">
        <v>13924</v>
      </c>
      <c r="U800" t="s">
        <v>13925</v>
      </c>
      <c r="V800" t="s">
        <v>13926</v>
      </c>
      <c r="W800" t="s">
        <v>13927</v>
      </c>
      <c r="X800" t="s">
        <v>13928</v>
      </c>
      <c r="Y800" t="s">
        <v>13929</v>
      </c>
      <c r="Z800" t="s">
        <v>13930</v>
      </c>
      <c r="AA800" t="s">
        <v>74</v>
      </c>
      <c r="AB800" t="s">
        <v>13931</v>
      </c>
      <c r="AC800" t="s">
        <v>13932</v>
      </c>
      <c r="AD800" t="s">
        <v>13933</v>
      </c>
      <c r="AE800" t="s">
        <v>13934</v>
      </c>
      <c r="AF800" t="s">
        <v>74</v>
      </c>
      <c r="AG800">
        <v>52</v>
      </c>
      <c r="AH800">
        <v>17</v>
      </c>
      <c r="AI800">
        <v>25</v>
      </c>
      <c r="AJ800">
        <v>1</v>
      </c>
      <c r="AK800">
        <v>1</v>
      </c>
      <c r="AL800" t="s">
        <v>1872</v>
      </c>
      <c r="AM800" t="s">
        <v>241</v>
      </c>
      <c r="AN800" t="s">
        <v>1873</v>
      </c>
      <c r="AO800" t="s">
        <v>1874</v>
      </c>
      <c r="AP800" t="s">
        <v>13935</v>
      </c>
      <c r="AQ800" t="s">
        <v>74</v>
      </c>
      <c r="AR800" t="s">
        <v>1875</v>
      </c>
      <c r="AS800" t="s">
        <v>1876</v>
      </c>
      <c r="AT800" t="s">
        <v>13916</v>
      </c>
      <c r="AU800">
        <v>2010</v>
      </c>
      <c r="AV800">
        <v>107</v>
      </c>
      <c r="AW800">
        <v>50</v>
      </c>
      <c r="AX800" t="s">
        <v>74</v>
      </c>
      <c r="AY800" t="s">
        <v>74</v>
      </c>
      <c r="AZ800" t="s">
        <v>74</v>
      </c>
      <c r="BA800" t="s">
        <v>74</v>
      </c>
      <c r="BB800">
        <v>21355</v>
      </c>
      <c r="BC800">
        <v>21359</v>
      </c>
      <c r="BD800" t="s">
        <v>74</v>
      </c>
      <c r="BE800" t="s">
        <v>13936</v>
      </c>
      <c r="BF800" t="str">
        <f>HYPERLINK("http://dx.doi.org/10.1073/pnas.1007250107","http://dx.doi.org/10.1073/pnas.1007250107")</f>
        <v>http://dx.doi.org/10.1073/pnas.1007250107</v>
      </c>
      <c r="BG800" t="s">
        <v>74</v>
      </c>
      <c r="BH800" t="s">
        <v>74</v>
      </c>
      <c r="BI800">
        <v>5</v>
      </c>
      <c r="BJ800" t="s">
        <v>1669</v>
      </c>
      <c r="BK800" t="s">
        <v>100</v>
      </c>
      <c r="BL800" t="s">
        <v>1670</v>
      </c>
      <c r="BM800" t="s">
        <v>13937</v>
      </c>
      <c r="BN800">
        <v>21115838</v>
      </c>
      <c r="BO800" t="s">
        <v>726</v>
      </c>
      <c r="BP800" t="s">
        <v>74</v>
      </c>
      <c r="BQ800" t="s">
        <v>74</v>
      </c>
      <c r="BR800" t="s">
        <v>103</v>
      </c>
      <c r="BS800" t="s">
        <v>13938</v>
      </c>
      <c r="BT800" t="str">
        <f>HYPERLINK("https%3A%2F%2Fwww.webofscience.com%2Fwos%2Fwoscc%2Ffull-record%2FWOS:000285521500027","View Full Record in Web of Science")</f>
        <v>View Full Record in Web of Science</v>
      </c>
    </row>
    <row r="801" spans="1:72" x14ac:dyDescent="0.15">
      <c r="A801" t="s">
        <v>72</v>
      </c>
      <c r="B801" t="s">
        <v>13939</v>
      </c>
      <c r="C801" t="s">
        <v>74</v>
      </c>
      <c r="D801" t="s">
        <v>74</v>
      </c>
      <c r="E801" t="s">
        <v>74</v>
      </c>
      <c r="F801" t="s">
        <v>13940</v>
      </c>
      <c r="G801" t="s">
        <v>74</v>
      </c>
      <c r="H801" t="s">
        <v>74</v>
      </c>
      <c r="I801" t="s">
        <v>13941</v>
      </c>
      <c r="J801" t="s">
        <v>1859</v>
      </c>
      <c r="K801" t="s">
        <v>74</v>
      </c>
      <c r="L801" t="s">
        <v>74</v>
      </c>
      <c r="M801" t="s">
        <v>78</v>
      </c>
      <c r="N801" t="s">
        <v>79</v>
      </c>
      <c r="O801" t="s">
        <v>74</v>
      </c>
      <c r="P801" t="s">
        <v>74</v>
      </c>
      <c r="Q801" t="s">
        <v>74</v>
      </c>
      <c r="R801" t="s">
        <v>74</v>
      </c>
      <c r="S801" t="s">
        <v>74</v>
      </c>
      <c r="T801" t="s">
        <v>13942</v>
      </c>
      <c r="U801" t="s">
        <v>13943</v>
      </c>
      <c r="V801" t="s">
        <v>13944</v>
      </c>
      <c r="W801" t="s">
        <v>13945</v>
      </c>
      <c r="X801" t="s">
        <v>13946</v>
      </c>
      <c r="Y801" t="s">
        <v>13947</v>
      </c>
      <c r="Z801" t="s">
        <v>13948</v>
      </c>
      <c r="AA801" t="s">
        <v>13949</v>
      </c>
      <c r="AB801" t="s">
        <v>13950</v>
      </c>
      <c r="AC801" t="s">
        <v>13951</v>
      </c>
      <c r="AD801" t="s">
        <v>13952</v>
      </c>
      <c r="AE801" t="s">
        <v>13953</v>
      </c>
      <c r="AF801" t="s">
        <v>74</v>
      </c>
      <c r="AG801">
        <v>46</v>
      </c>
      <c r="AH801">
        <v>86</v>
      </c>
      <c r="AI801">
        <v>117</v>
      </c>
      <c r="AJ801">
        <v>2</v>
      </c>
      <c r="AK801">
        <v>76</v>
      </c>
      <c r="AL801" t="s">
        <v>1872</v>
      </c>
      <c r="AM801" t="s">
        <v>241</v>
      </c>
      <c r="AN801" t="s">
        <v>1873</v>
      </c>
      <c r="AO801" t="s">
        <v>1874</v>
      </c>
      <c r="AP801" t="s">
        <v>13935</v>
      </c>
      <c r="AQ801" t="s">
        <v>74</v>
      </c>
      <c r="AR801" t="s">
        <v>1875</v>
      </c>
      <c r="AS801" t="s">
        <v>1876</v>
      </c>
      <c r="AT801" t="s">
        <v>13916</v>
      </c>
      <c r="AU801">
        <v>2010</v>
      </c>
      <c r="AV801">
        <v>107</v>
      </c>
      <c r="AW801">
        <v>50</v>
      </c>
      <c r="AX801" t="s">
        <v>74</v>
      </c>
      <c r="AY801" t="s">
        <v>74</v>
      </c>
      <c r="AZ801" t="s">
        <v>74</v>
      </c>
      <c r="BA801" t="s">
        <v>74</v>
      </c>
      <c r="BB801">
        <v>21593</v>
      </c>
      <c r="BC801">
        <v>21598</v>
      </c>
      <c r="BD801" t="s">
        <v>74</v>
      </c>
      <c r="BE801" t="s">
        <v>13954</v>
      </c>
      <c r="BF801" t="str">
        <f>HYPERLINK("http://dx.doi.org/10.1073/pnas.1007883107","http://dx.doi.org/10.1073/pnas.1007883107")</f>
        <v>http://dx.doi.org/10.1073/pnas.1007883107</v>
      </c>
      <c r="BG801" t="s">
        <v>74</v>
      </c>
      <c r="BH801" t="s">
        <v>74</v>
      </c>
      <c r="BI801">
        <v>6</v>
      </c>
      <c r="BJ801" t="s">
        <v>1669</v>
      </c>
      <c r="BK801" t="s">
        <v>100</v>
      </c>
      <c r="BL801" t="s">
        <v>1670</v>
      </c>
      <c r="BM801" t="s">
        <v>13937</v>
      </c>
      <c r="BN801">
        <v>21115821</v>
      </c>
      <c r="BO801" t="s">
        <v>726</v>
      </c>
      <c r="BP801" t="s">
        <v>74</v>
      </c>
      <c r="BQ801" t="s">
        <v>74</v>
      </c>
      <c r="BR801" t="s">
        <v>103</v>
      </c>
      <c r="BS801" t="s">
        <v>13955</v>
      </c>
      <c r="BT801" t="str">
        <f>HYPERLINK("https%3A%2F%2Fwww.webofscience.com%2Fwos%2Fwoscc%2Ffull-record%2FWOS:000285521500068","View Full Record in Web of Science")</f>
        <v>View Full Record in Web of Science</v>
      </c>
    </row>
    <row r="802" spans="1:72" x14ac:dyDescent="0.15">
      <c r="A802" t="s">
        <v>72</v>
      </c>
      <c r="B802" t="s">
        <v>13956</v>
      </c>
      <c r="C802" t="s">
        <v>74</v>
      </c>
      <c r="D802" t="s">
        <v>74</v>
      </c>
      <c r="E802" t="s">
        <v>74</v>
      </c>
      <c r="F802" t="s">
        <v>13957</v>
      </c>
      <c r="G802" t="s">
        <v>74</v>
      </c>
      <c r="H802" t="s">
        <v>74</v>
      </c>
      <c r="I802" t="s">
        <v>13958</v>
      </c>
      <c r="J802" t="s">
        <v>13959</v>
      </c>
      <c r="K802" t="s">
        <v>74</v>
      </c>
      <c r="L802" t="s">
        <v>74</v>
      </c>
      <c r="M802" t="s">
        <v>78</v>
      </c>
      <c r="N802" t="s">
        <v>79</v>
      </c>
      <c r="O802" t="s">
        <v>74</v>
      </c>
      <c r="P802" t="s">
        <v>74</v>
      </c>
      <c r="Q802" t="s">
        <v>74</v>
      </c>
      <c r="R802" t="s">
        <v>74</v>
      </c>
      <c r="S802" t="s">
        <v>74</v>
      </c>
      <c r="T802" t="s">
        <v>13960</v>
      </c>
      <c r="U802" t="s">
        <v>13961</v>
      </c>
      <c r="V802" t="s">
        <v>13962</v>
      </c>
      <c r="W802" t="s">
        <v>13963</v>
      </c>
      <c r="X802" t="s">
        <v>13964</v>
      </c>
      <c r="Y802" t="s">
        <v>13965</v>
      </c>
      <c r="Z802" t="s">
        <v>13966</v>
      </c>
      <c r="AA802" t="s">
        <v>74</v>
      </c>
      <c r="AB802" t="s">
        <v>74</v>
      </c>
      <c r="AC802" t="s">
        <v>13967</v>
      </c>
      <c r="AD802" t="s">
        <v>13968</v>
      </c>
      <c r="AE802" t="s">
        <v>13969</v>
      </c>
      <c r="AF802" t="s">
        <v>74</v>
      </c>
      <c r="AG802">
        <v>33</v>
      </c>
      <c r="AH802">
        <v>11</v>
      </c>
      <c r="AI802">
        <v>14</v>
      </c>
      <c r="AJ802">
        <v>2</v>
      </c>
      <c r="AK802">
        <v>24</v>
      </c>
      <c r="AL802" t="s">
        <v>639</v>
      </c>
      <c r="AM802" t="s">
        <v>640</v>
      </c>
      <c r="AN802" t="s">
        <v>641</v>
      </c>
      <c r="AO802" t="s">
        <v>13970</v>
      </c>
      <c r="AP802" t="s">
        <v>13971</v>
      </c>
      <c r="AQ802" t="s">
        <v>74</v>
      </c>
      <c r="AR802" t="s">
        <v>13972</v>
      </c>
      <c r="AS802" t="s">
        <v>13973</v>
      </c>
      <c r="AT802" t="s">
        <v>13974</v>
      </c>
      <c r="AU802">
        <v>2010</v>
      </c>
      <c r="AV802">
        <v>76</v>
      </c>
      <c r="AW802">
        <v>2</v>
      </c>
      <c r="AX802" t="s">
        <v>74</v>
      </c>
      <c r="AY802" t="s">
        <v>74</v>
      </c>
      <c r="AZ802" t="s">
        <v>74</v>
      </c>
      <c r="BA802" t="s">
        <v>74</v>
      </c>
      <c r="BB802">
        <v>215</v>
      </c>
      <c r="BC802">
        <v>221</v>
      </c>
      <c r="BD802" t="s">
        <v>74</v>
      </c>
      <c r="BE802" t="s">
        <v>13975</v>
      </c>
      <c r="BF802" t="str">
        <f>HYPERLINK("http://dx.doi.org/10.1016/j.seppur.2010.10.011","http://dx.doi.org/10.1016/j.seppur.2010.10.011")</f>
        <v>http://dx.doi.org/10.1016/j.seppur.2010.10.011</v>
      </c>
      <c r="BG802" t="s">
        <v>74</v>
      </c>
      <c r="BH802" t="s">
        <v>74</v>
      </c>
      <c r="BI802">
        <v>7</v>
      </c>
      <c r="BJ802" t="s">
        <v>13976</v>
      </c>
      <c r="BK802" t="s">
        <v>100</v>
      </c>
      <c r="BL802" t="s">
        <v>2927</v>
      </c>
      <c r="BM802" t="s">
        <v>13977</v>
      </c>
      <c r="BN802" t="s">
        <v>74</v>
      </c>
      <c r="BO802" t="s">
        <v>74</v>
      </c>
      <c r="BP802" t="s">
        <v>74</v>
      </c>
      <c r="BQ802" t="s">
        <v>74</v>
      </c>
      <c r="BR802" t="s">
        <v>103</v>
      </c>
      <c r="BS802" t="s">
        <v>13978</v>
      </c>
      <c r="BT802" t="str">
        <f>HYPERLINK("https%3A%2F%2Fwww.webofscience.com%2Fwos%2Fwoscc%2Ffull-record%2FWOS:000286089800017","View Full Record in Web of Science")</f>
        <v>View Full Record in Web of Science</v>
      </c>
    </row>
    <row r="803" spans="1:72" x14ac:dyDescent="0.15">
      <c r="A803" t="s">
        <v>72</v>
      </c>
      <c r="B803" t="s">
        <v>13979</v>
      </c>
      <c r="C803" t="s">
        <v>74</v>
      </c>
      <c r="D803" t="s">
        <v>74</v>
      </c>
      <c r="E803" t="s">
        <v>74</v>
      </c>
      <c r="F803" t="s">
        <v>13980</v>
      </c>
      <c r="G803" t="s">
        <v>74</v>
      </c>
      <c r="H803" t="s">
        <v>74</v>
      </c>
      <c r="I803" t="s">
        <v>13981</v>
      </c>
      <c r="J803" t="s">
        <v>13982</v>
      </c>
      <c r="K803" t="s">
        <v>74</v>
      </c>
      <c r="L803" t="s">
        <v>74</v>
      </c>
      <c r="M803" t="s">
        <v>78</v>
      </c>
      <c r="N803" t="s">
        <v>681</v>
      </c>
      <c r="O803" t="s">
        <v>74</v>
      </c>
      <c r="P803" t="s">
        <v>74</v>
      </c>
      <c r="Q803" t="s">
        <v>74</v>
      </c>
      <c r="R803" t="s">
        <v>74</v>
      </c>
      <c r="S803" t="s">
        <v>74</v>
      </c>
      <c r="T803" t="s">
        <v>13983</v>
      </c>
      <c r="U803" t="s">
        <v>13984</v>
      </c>
      <c r="V803" t="s">
        <v>13985</v>
      </c>
      <c r="W803" t="s">
        <v>13986</v>
      </c>
      <c r="X803" t="s">
        <v>8792</v>
      </c>
      <c r="Y803" t="s">
        <v>13987</v>
      </c>
      <c r="Z803" t="s">
        <v>13988</v>
      </c>
      <c r="AA803" t="s">
        <v>74</v>
      </c>
      <c r="AB803" t="s">
        <v>13989</v>
      </c>
      <c r="AC803" t="s">
        <v>13990</v>
      </c>
      <c r="AD803" t="s">
        <v>13990</v>
      </c>
      <c r="AE803" t="s">
        <v>13991</v>
      </c>
      <c r="AF803" t="s">
        <v>74</v>
      </c>
      <c r="AG803">
        <v>99</v>
      </c>
      <c r="AH803">
        <v>33</v>
      </c>
      <c r="AI803">
        <v>35</v>
      </c>
      <c r="AJ803">
        <v>3</v>
      </c>
      <c r="AK803">
        <v>76</v>
      </c>
      <c r="AL803" t="s">
        <v>13204</v>
      </c>
      <c r="AM803" t="s">
        <v>13205</v>
      </c>
      <c r="AN803" t="s">
        <v>13992</v>
      </c>
      <c r="AO803" t="s">
        <v>13993</v>
      </c>
      <c r="AP803" t="s">
        <v>13994</v>
      </c>
      <c r="AQ803" t="s">
        <v>74</v>
      </c>
      <c r="AR803" t="s">
        <v>13982</v>
      </c>
      <c r="AS803" t="s">
        <v>13995</v>
      </c>
      <c r="AT803" t="s">
        <v>13996</v>
      </c>
      <c r="AU803">
        <v>2010</v>
      </c>
      <c r="AV803">
        <v>11</v>
      </c>
      <c r="AW803">
        <v>18</v>
      </c>
      <c r="AX803" t="s">
        <v>74</v>
      </c>
      <c r="AY803" t="s">
        <v>74</v>
      </c>
      <c r="AZ803" t="s">
        <v>74</v>
      </c>
      <c r="BA803" t="s">
        <v>74</v>
      </c>
      <c r="BB803">
        <v>2489</v>
      </c>
      <c r="BC803">
        <v>2498</v>
      </c>
      <c r="BD803" t="s">
        <v>74</v>
      </c>
      <c r="BE803" t="s">
        <v>13997</v>
      </c>
      <c r="BF803" t="str">
        <f>HYPERLINK("http://dx.doi.org/10.1002/cbic.201000509","http://dx.doi.org/10.1002/cbic.201000509")</f>
        <v>http://dx.doi.org/10.1002/cbic.201000509</v>
      </c>
      <c r="BG803" t="s">
        <v>74</v>
      </c>
      <c r="BH803" t="s">
        <v>74</v>
      </c>
      <c r="BI803">
        <v>10</v>
      </c>
      <c r="BJ803" t="s">
        <v>13998</v>
      </c>
      <c r="BK803" t="s">
        <v>100</v>
      </c>
      <c r="BL803" t="s">
        <v>699</v>
      </c>
      <c r="BM803" t="s">
        <v>13999</v>
      </c>
      <c r="BN803">
        <v>21108270</v>
      </c>
      <c r="BO803" t="s">
        <v>74</v>
      </c>
      <c r="BP803" t="s">
        <v>74</v>
      </c>
      <c r="BQ803" t="s">
        <v>74</v>
      </c>
      <c r="BR803" t="s">
        <v>103</v>
      </c>
      <c r="BS803" t="s">
        <v>14000</v>
      </c>
      <c r="BT803" t="str">
        <f>HYPERLINK("https%3A%2F%2Fwww.webofscience.com%2Fwos%2Fwoscc%2Ffull-record%2FWOS:000285253200001","View Full Record in Web of Science")</f>
        <v>View Full Record in Web of Science</v>
      </c>
    </row>
    <row r="804" spans="1:72" x14ac:dyDescent="0.15">
      <c r="A804" t="s">
        <v>72</v>
      </c>
      <c r="B804" t="s">
        <v>14001</v>
      </c>
      <c r="C804" t="s">
        <v>74</v>
      </c>
      <c r="D804" t="s">
        <v>74</v>
      </c>
      <c r="E804" t="s">
        <v>74</v>
      </c>
      <c r="F804" t="s">
        <v>14002</v>
      </c>
      <c r="G804" t="s">
        <v>74</v>
      </c>
      <c r="H804" t="s">
        <v>74</v>
      </c>
      <c r="I804" t="s">
        <v>14003</v>
      </c>
      <c r="J804" t="s">
        <v>1957</v>
      </c>
      <c r="K804" t="s">
        <v>74</v>
      </c>
      <c r="L804" t="s">
        <v>74</v>
      </c>
      <c r="M804" t="s">
        <v>78</v>
      </c>
      <c r="N804" t="s">
        <v>79</v>
      </c>
      <c r="O804" t="s">
        <v>74</v>
      </c>
      <c r="P804" t="s">
        <v>74</v>
      </c>
      <c r="Q804" t="s">
        <v>74</v>
      </c>
      <c r="R804" t="s">
        <v>74</v>
      </c>
      <c r="S804" t="s">
        <v>74</v>
      </c>
      <c r="T804" t="s">
        <v>74</v>
      </c>
      <c r="U804" t="s">
        <v>14004</v>
      </c>
      <c r="V804" t="s">
        <v>14005</v>
      </c>
      <c r="W804" t="s">
        <v>14006</v>
      </c>
      <c r="X804" t="s">
        <v>14007</v>
      </c>
      <c r="Y804" t="s">
        <v>14008</v>
      </c>
      <c r="Z804" t="s">
        <v>14009</v>
      </c>
      <c r="AA804" t="s">
        <v>14010</v>
      </c>
      <c r="AB804" t="s">
        <v>14011</v>
      </c>
      <c r="AC804" t="s">
        <v>14012</v>
      </c>
      <c r="AD804" t="s">
        <v>14013</v>
      </c>
      <c r="AE804" t="s">
        <v>74</v>
      </c>
      <c r="AF804" t="s">
        <v>74</v>
      </c>
      <c r="AG804">
        <v>41</v>
      </c>
      <c r="AH804">
        <v>1017</v>
      </c>
      <c r="AI804">
        <v>1182</v>
      </c>
      <c r="AJ804">
        <v>27</v>
      </c>
      <c r="AK804">
        <v>1062</v>
      </c>
      <c r="AL804" t="s">
        <v>1969</v>
      </c>
      <c r="AM804" t="s">
        <v>241</v>
      </c>
      <c r="AN804" t="s">
        <v>1970</v>
      </c>
      <c r="AO804" t="s">
        <v>1971</v>
      </c>
      <c r="AP804" t="s">
        <v>1972</v>
      </c>
      <c r="AQ804" t="s">
        <v>74</v>
      </c>
      <c r="AR804" t="s">
        <v>1957</v>
      </c>
      <c r="AS804" t="s">
        <v>1973</v>
      </c>
      <c r="AT804" t="s">
        <v>13996</v>
      </c>
      <c r="AU804">
        <v>2010</v>
      </c>
      <c r="AV804">
        <v>330</v>
      </c>
      <c r="AW804">
        <v>6010</v>
      </c>
      <c r="AX804" t="s">
        <v>74</v>
      </c>
      <c r="AY804" t="s">
        <v>74</v>
      </c>
      <c r="AZ804" t="s">
        <v>74</v>
      </c>
      <c r="BA804" t="s">
        <v>74</v>
      </c>
      <c r="BB804">
        <v>1503</v>
      </c>
      <c r="BC804">
        <v>1509</v>
      </c>
      <c r="BD804" t="s">
        <v>74</v>
      </c>
      <c r="BE804" t="s">
        <v>14014</v>
      </c>
      <c r="BF804" t="str">
        <f>HYPERLINK("http://dx.doi.org/10.1126/science.1194442","http://dx.doi.org/10.1126/science.1194442")</f>
        <v>http://dx.doi.org/10.1126/science.1194442</v>
      </c>
      <c r="BG804" t="s">
        <v>74</v>
      </c>
      <c r="BH804" t="s">
        <v>74</v>
      </c>
      <c r="BI804">
        <v>7</v>
      </c>
      <c r="BJ804" t="s">
        <v>1669</v>
      </c>
      <c r="BK804" t="s">
        <v>100</v>
      </c>
      <c r="BL804" t="s">
        <v>1670</v>
      </c>
      <c r="BM804" t="s">
        <v>14015</v>
      </c>
      <c r="BN804">
        <v>20978281</v>
      </c>
      <c r="BO804" t="s">
        <v>12153</v>
      </c>
      <c r="BP804" t="s">
        <v>74</v>
      </c>
      <c r="BQ804" t="s">
        <v>74</v>
      </c>
      <c r="BR804" t="s">
        <v>103</v>
      </c>
      <c r="BS804" t="s">
        <v>14016</v>
      </c>
      <c r="BT804" t="str">
        <f>HYPERLINK("https%3A%2F%2Fwww.webofscience.com%2Fwos%2Fwoscc%2Ffull-record%2FWOS:000285153500055","View Full Record in Web of Science")</f>
        <v>View Full Record in Web of Science</v>
      </c>
    </row>
    <row r="805" spans="1:72" x14ac:dyDescent="0.15">
      <c r="A805" t="s">
        <v>72</v>
      </c>
      <c r="B805" t="s">
        <v>14017</v>
      </c>
      <c r="C805" t="s">
        <v>74</v>
      </c>
      <c r="D805" t="s">
        <v>74</v>
      </c>
      <c r="E805" t="s">
        <v>74</v>
      </c>
      <c r="F805" t="s">
        <v>14018</v>
      </c>
      <c r="G805" t="s">
        <v>74</v>
      </c>
      <c r="H805" t="s">
        <v>74</v>
      </c>
      <c r="I805" t="s">
        <v>14019</v>
      </c>
      <c r="J805" t="s">
        <v>2045</v>
      </c>
      <c r="K805" t="s">
        <v>74</v>
      </c>
      <c r="L805" t="s">
        <v>74</v>
      </c>
      <c r="M805" t="s">
        <v>78</v>
      </c>
      <c r="N805" t="s">
        <v>79</v>
      </c>
      <c r="O805" t="s">
        <v>74</v>
      </c>
      <c r="P805" t="s">
        <v>74</v>
      </c>
      <c r="Q805" t="s">
        <v>74</v>
      </c>
      <c r="R805" t="s">
        <v>74</v>
      </c>
      <c r="S805" t="s">
        <v>74</v>
      </c>
      <c r="T805" t="s">
        <v>74</v>
      </c>
      <c r="U805" t="s">
        <v>14020</v>
      </c>
      <c r="V805" t="s">
        <v>14021</v>
      </c>
      <c r="W805" t="s">
        <v>14022</v>
      </c>
      <c r="X805" t="s">
        <v>14023</v>
      </c>
      <c r="Y805" t="s">
        <v>14024</v>
      </c>
      <c r="Z805" t="s">
        <v>14025</v>
      </c>
      <c r="AA805" t="s">
        <v>14026</v>
      </c>
      <c r="AB805" t="s">
        <v>14027</v>
      </c>
      <c r="AC805" t="s">
        <v>14028</v>
      </c>
      <c r="AD805" t="s">
        <v>14029</v>
      </c>
      <c r="AE805" t="s">
        <v>14030</v>
      </c>
      <c r="AF805" t="s">
        <v>74</v>
      </c>
      <c r="AG805">
        <v>86</v>
      </c>
      <c r="AH805">
        <v>119</v>
      </c>
      <c r="AI805">
        <v>122</v>
      </c>
      <c r="AJ805">
        <v>1</v>
      </c>
      <c r="AK805">
        <v>62</v>
      </c>
      <c r="AL805" t="s">
        <v>240</v>
      </c>
      <c r="AM805" t="s">
        <v>241</v>
      </c>
      <c r="AN805" t="s">
        <v>242</v>
      </c>
      <c r="AO805" t="s">
        <v>2057</v>
      </c>
      <c r="AP805" t="s">
        <v>2058</v>
      </c>
      <c r="AQ805" t="s">
        <v>74</v>
      </c>
      <c r="AR805" t="s">
        <v>2059</v>
      </c>
      <c r="AS805" t="s">
        <v>2060</v>
      </c>
      <c r="AT805" t="s">
        <v>14031</v>
      </c>
      <c r="AU805">
        <v>2010</v>
      </c>
      <c r="AV805">
        <v>24</v>
      </c>
      <c r="AW805" t="s">
        <v>74</v>
      </c>
      <c r="AX805" t="s">
        <v>74</v>
      </c>
      <c r="AY805" t="s">
        <v>74</v>
      </c>
      <c r="AZ805" t="s">
        <v>74</v>
      </c>
      <c r="BA805" t="s">
        <v>74</v>
      </c>
      <c r="BB805" t="s">
        <v>74</v>
      </c>
      <c r="BC805" t="s">
        <v>74</v>
      </c>
      <c r="BD805" t="s">
        <v>14032</v>
      </c>
      <c r="BE805" t="s">
        <v>14033</v>
      </c>
      <c r="BF805" t="str">
        <f>HYPERLINK("http://dx.doi.org/10.1029/2010GB003790","http://dx.doi.org/10.1029/2010GB003790")</f>
        <v>http://dx.doi.org/10.1029/2010GB003790</v>
      </c>
      <c r="BG805" t="s">
        <v>74</v>
      </c>
      <c r="BH805" t="s">
        <v>74</v>
      </c>
      <c r="BI805">
        <v>19</v>
      </c>
      <c r="BJ805" t="s">
        <v>2064</v>
      </c>
      <c r="BK805" t="s">
        <v>100</v>
      </c>
      <c r="BL805" t="s">
        <v>2065</v>
      </c>
      <c r="BM805" t="s">
        <v>14034</v>
      </c>
      <c r="BN805" t="s">
        <v>74</v>
      </c>
      <c r="BO805" t="s">
        <v>74</v>
      </c>
      <c r="BP805" t="s">
        <v>74</v>
      </c>
      <c r="BQ805" t="s">
        <v>74</v>
      </c>
      <c r="BR805" t="s">
        <v>103</v>
      </c>
      <c r="BS805" t="s">
        <v>14035</v>
      </c>
      <c r="BT805" t="str">
        <f>HYPERLINK("https%3A%2F%2Fwww.webofscience.com%2Fwos%2Fwoscc%2Ffull-record%2FWOS:000285256700002","View Full Record in Web of Science")</f>
        <v>View Full Record in Web of Science</v>
      </c>
    </row>
    <row r="806" spans="1:72" x14ac:dyDescent="0.15">
      <c r="A806" t="s">
        <v>72</v>
      </c>
      <c r="B806" t="s">
        <v>14036</v>
      </c>
      <c r="C806" t="s">
        <v>74</v>
      </c>
      <c r="D806" t="s">
        <v>74</v>
      </c>
      <c r="E806" t="s">
        <v>74</v>
      </c>
      <c r="F806" t="s">
        <v>14037</v>
      </c>
      <c r="G806" t="s">
        <v>74</v>
      </c>
      <c r="H806" t="s">
        <v>74</v>
      </c>
      <c r="I806" t="s">
        <v>14038</v>
      </c>
      <c r="J806" t="s">
        <v>229</v>
      </c>
      <c r="K806" t="s">
        <v>74</v>
      </c>
      <c r="L806" t="s">
        <v>74</v>
      </c>
      <c r="M806" t="s">
        <v>78</v>
      </c>
      <c r="N806" t="s">
        <v>79</v>
      </c>
      <c r="O806" t="s">
        <v>74</v>
      </c>
      <c r="P806" t="s">
        <v>74</v>
      </c>
      <c r="Q806" t="s">
        <v>74</v>
      </c>
      <c r="R806" t="s">
        <v>74</v>
      </c>
      <c r="S806" t="s">
        <v>74</v>
      </c>
      <c r="T806" t="s">
        <v>74</v>
      </c>
      <c r="U806" t="s">
        <v>14039</v>
      </c>
      <c r="V806" t="s">
        <v>14040</v>
      </c>
      <c r="W806" t="s">
        <v>14041</v>
      </c>
      <c r="X806" t="s">
        <v>14042</v>
      </c>
      <c r="Y806" t="s">
        <v>14043</v>
      </c>
      <c r="Z806" t="s">
        <v>14044</v>
      </c>
      <c r="AA806" t="s">
        <v>14045</v>
      </c>
      <c r="AB806" t="s">
        <v>14046</v>
      </c>
      <c r="AC806" t="s">
        <v>14047</v>
      </c>
      <c r="AD806" t="s">
        <v>14048</v>
      </c>
      <c r="AE806" t="s">
        <v>14049</v>
      </c>
      <c r="AF806" t="s">
        <v>74</v>
      </c>
      <c r="AG806">
        <v>37</v>
      </c>
      <c r="AH806">
        <v>26</v>
      </c>
      <c r="AI806">
        <v>31</v>
      </c>
      <c r="AJ806">
        <v>4</v>
      </c>
      <c r="AK806">
        <v>12</v>
      </c>
      <c r="AL806" t="s">
        <v>240</v>
      </c>
      <c r="AM806" t="s">
        <v>241</v>
      </c>
      <c r="AN806" t="s">
        <v>242</v>
      </c>
      <c r="AO806" t="s">
        <v>243</v>
      </c>
      <c r="AP806" t="s">
        <v>244</v>
      </c>
      <c r="AQ806" t="s">
        <v>74</v>
      </c>
      <c r="AR806" t="s">
        <v>245</v>
      </c>
      <c r="AS806" t="s">
        <v>246</v>
      </c>
      <c r="AT806" t="s">
        <v>14031</v>
      </c>
      <c r="AU806">
        <v>2010</v>
      </c>
      <c r="AV806">
        <v>115</v>
      </c>
      <c r="AW806" t="s">
        <v>74</v>
      </c>
      <c r="AX806" t="s">
        <v>74</v>
      </c>
      <c r="AY806" t="s">
        <v>74</v>
      </c>
      <c r="AZ806" t="s">
        <v>74</v>
      </c>
      <c r="BA806" t="s">
        <v>74</v>
      </c>
      <c r="BB806" t="s">
        <v>74</v>
      </c>
      <c r="BC806" t="s">
        <v>74</v>
      </c>
      <c r="BD806" t="s">
        <v>14050</v>
      </c>
      <c r="BE806" t="s">
        <v>14051</v>
      </c>
      <c r="BF806" t="str">
        <f>HYPERLINK("http://dx.doi.org/10.1029/2010JC006410","http://dx.doi.org/10.1029/2010JC006410")</f>
        <v>http://dx.doi.org/10.1029/2010JC006410</v>
      </c>
      <c r="BG806" t="s">
        <v>74</v>
      </c>
      <c r="BH806" t="s">
        <v>74</v>
      </c>
      <c r="BI806">
        <v>19</v>
      </c>
      <c r="BJ806" t="s">
        <v>250</v>
      </c>
      <c r="BK806" t="s">
        <v>100</v>
      </c>
      <c r="BL806" t="s">
        <v>250</v>
      </c>
      <c r="BM806" t="s">
        <v>14052</v>
      </c>
      <c r="BN806" t="s">
        <v>74</v>
      </c>
      <c r="BO806" t="s">
        <v>1744</v>
      </c>
      <c r="BP806" t="s">
        <v>74</v>
      </c>
      <c r="BQ806" t="s">
        <v>74</v>
      </c>
      <c r="BR806" t="s">
        <v>103</v>
      </c>
      <c r="BS806" t="s">
        <v>14053</v>
      </c>
      <c r="BT806" t="str">
        <f>HYPERLINK("https%3A%2F%2Fwww.webofscience.com%2Fwos%2Fwoscc%2Ffull-record%2FWOS:000285259600002","View Full Record in Web of Science")</f>
        <v>View Full Record in Web of Science</v>
      </c>
    </row>
    <row r="807" spans="1:72" x14ac:dyDescent="0.15">
      <c r="A807" t="s">
        <v>72</v>
      </c>
      <c r="B807" t="s">
        <v>14054</v>
      </c>
      <c r="C807" t="s">
        <v>74</v>
      </c>
      <c r="D807" t="s">
        <v>74</v>
      </c>
      <c r="E807" t="s">
        <v>74</v>
      </c>
      <c r="F807" t="s">
        <v>14055</v>
      </c>
      <c r="G807" t="s">
        <v>74</v>
      </c>
      <c r="H807" t="s">
        <v>74</v>
      </c>
      <c r="I807" t="s">
        <v>14056</v>
      </c>
      <c r="J807" t="s">
        <v>14057</v>
      </c>
      <c r="K807" t="s">
        <v>74</v>
      </c>
      <c r="L807" t="s">
        <v>74</v>
      </c>
      <c r="M807" t="s">
        <v>78</v>
      </c>
      <c r="N807" t="s">
        <v>79</v>
      </c>
      <c r="O807" t="s">
        <v>74</v>
      </c>
      <c r="P807" t="s">
        <v>74</v>
      </c>
      <c r="Q807" t="s">
        <v>74</v>
      </c>
      <c r="R807" t="s">
        <v>74</v>
      </c>
      <c r="S807" t="s">
        <v>74</v>
      </c>
      <c r="T807" t="s">
        <v>14058</v>
      </c>
      <c r="U807" t="s">
        <v>14059</v>
      </c>
      <c r="V807" t="s">
        <v>14060</v>
      </c>
      <c r="W807" t="s">
        <v>14061</v>
      </c>
      <c r="X807" t="s">
        <v>14062</v>
      </c>
      <c r="Y807" t="s">
        <v>14063</v>
      </c>
      <c r="Z807" t="s">
        <v>14064</v>
      </c>
      <c r="AA807" t="s">
        <v>14065</v>
      </c>
      <c r="AB807" t="s">
        <v>14066</v>
      </c>
      <c r="AC807" t="s">
        <v>14067</v>
      </c>
      <c r="AD807" t="s">
        <v>14068</v>
      </c>
      <c r="AE807" t="s">
        <v>14069</v>
      </c>
      <c r="AF807" t="s">
        <v>74</v>
      </c>
      <c r="AG807">
        <v>75</v>
      </c>
      <c r="AH807">
        <v>145</v>
      </c>
      <c r="AI807">
        <v>153</v>
      </c>
      <c r="AJ807">
        <v>0</v>
      </c>
      <c r="AK807">
        <v>15</v>
      </c>
      <c r="AL807" t="s">
        <v>240</v>
      </c>
      <c r="AM807" t="s">
        <v>241</v>
      </c>
      <c r="AN807" t="s">
        <v>242</v>
      </c>
      <c r="AO807" t="s">
        <v>74</v>
      </c>
      <c r="AP807" t="s">
        <v>14070</v>
      </c>
      <c r="AQ807" t="s">
        <v>74</v>
      </c>
      <c r="AR807" t="s">
        <v>14071</v>
      </c>
      <c r="AS807" t="s">
        <v>14072</v>
      </c>
      <c r="AT807" t="s">
        <v>14073</v>
      </c>
      <c r="AU807">
        <v>2010</v>
      </c>
      <c r="AV807">
        <v>11</v>
      </c>
      <c r="AW807" t="s">
        <v>74</v>
      </c>
      <c r="AX807" t="s">
        <v>74</v>
      </c>
      <c r="AY807" t="s">
        <v>74</v>
      </c>
      <c r="AZ807" t="s">
        <v>74</v>
      </c>
      <c r="BA807" t="s">
        <v>74</v>
      </c>
      <c r="BB807" t="s">
        <v>74</v>
      </c>
      <c r="BC807" t="s">
        <v>74</v>
      </c>
      <c r="BD807" t="s">
        <v>14074</v>
      </c>
      <c r="BE807" t="s">
        <v>14075</v>
      </c>
      <c r="BF807" t="str">
        <f>HYPERLINK("http://dx.doi.org/10.1029/2010GC003203","http://dx.doi.org/10.1029/2010GC003203")</f>
        <v>http://dx.doi.org/10.1029/2010GC003203</v>
      </c>
      <c r="BG807" t="s">
        <v>74</v>
      </c>
      <c r="BH807" t="s">
        <v>74</v>
      </c>
      <c r="BI807">
        <v>21</v>
      </c>
      <c r="BJ807" t="s">
        <v>774</v>
      </c>
      <c r="BK807" t="s">
        <v>100</v>
      </c>
      <c r="BL807" t="s">
        <v>774</v>
      </c>
      <c r="BM807" t="s">
        <v>14076</v>
      </c>
      <c r="BN807" t="s">
        <v>74</v>
      </c>
      <c r="BO807" t="s">
        <v>74</v>
      </c>
      <c r="BP807" t="s">
        <v>74</v>
      </c>
      <c r="BQ807" t="s">
        <v>74</v>
      </c>
      <c r="BR807" t="s">
        <v>103</v>
      </c>
      <c r="BS807" t="s">
        <v>14077</v>
      </c>
      <c r="BT807" t="str">
        <f>HYPERLINK("https%3A%2F%2Fwww.webofscience.com%2Fwos%2Fwoscc%2Ffull-record%2FWOS:000285252300001","View Full Record in Web of Science")</f>
        <v>View Full Record in Web of Science</v>
      </c>
    </row>
    <row r="808" spans="1:72" x14ac:dyDescent="0.15">
      <c r="A808" t="s">
        <v>72</v>
      </c>
      <c r="B808" t="s">
        <v>14078</v>
      </c>
      <c r="C808" t="s">
        <v>74</v>
      </c>
      <c r="D808" t="s">
        <v>74</v>
      </c>
      <c r="E808" t="s">
        <v>74</v>
      </c>
      <c r="F808" t="s">
        <v>14079</v>
      </c>
      <c r="G808" t="s">
        <v>74</v>
      </c>
      <c r="H808" t="s">
        <v>74</v>
      </c>
      <c r="I808" t="s">
        <v>14080</v>
      </c>
      <c r="J808" t="s">
        <v>1701</v>
      </c>
      <c r="K808" t="s">
        <v>74</v>
      </c>
      <c r="L808" t="s">
        <v>74</v>
      </c>
      <c r="M808" t="s">
        <v>78</v>
      </c>
      <c r="N808" t="s">
        <v>79</v>
      </c>
      <c r="O808" t="s">
        <v>74</v>
      </c>
      <c r="P808" t="s">
        <v>74</v>
      </c>
      <c r="Q808" t="s">
        <v>74</v>
      </c>
      <c r="R808" t="s">
        <v>74</v>
      </c>
      <c r="S808" t="s">
        <v>74</v>
      </c>
      <c r="T808" t="s">
        <v>74</v>
      </c>
      <c r="U808" t="s">
        <v>14081</v>
      </c>
      <c r="V808" t="s">
        <v>14082</v>
      </c>
      <c r="W808" t="s">
        <v>14083</v>
      </c>
      <c r="X808" t="s">
        <v>14084</v>
      </c>
      <c r="Y808" t="s">
        <v>14085</v>
      </c>
      <c r="Z808" t="s">
        <v>14086</v>
      </c>
      <c r="AA808" t="s">
        <v>14087</v>
      </c>
      <c r="AB808" t="s">
        <v>14088</v>
      </c>
      <c r="AC808" t="s">
        <v>14089</v>
      </c>
      <c r="AD808" t="s">
        <v>14090</v>
      </c>
      <c r="AE808" t="s">
        <v>14091</v>
      </c>
      <c r="AF808" t="s">
        <v>74</v>
      </c>
      <c r="AG808">
        <v>24</v>
      </c>
      <c r="AH808">
        <v>18</v>
      </c>
      <c r="AI808">
        <v>18</v>
      </c>
      <c r="AJ808">
        <v>0</v>
      </c>
      <c r="AK808">
        <v>13</v>
      </c>
      <c r="AL808" t="s">
        <v>240</v>
      </c>
      <c r="AM808" t="s">
        <v>241</v>
      </c>
      <c r="AN808" t="s">
        <v>242</v>
      </c>
      <c r="AO808" t="s">
        <v>1713</v>
      </c>
      <c r="AP808" t="s">
        <v>1714</v>
      </c>
      <c r="AQ808" t="s">
        <v>74</v>
      </c>
      <c r="AR808" t="s">
        <v>1715</v>
      </c>
      <c r="AS808" t="s">
        <v>1716</v>
      </c>
      <c r="AT808" t="s">
        <v>14073</v>
      </c>
      <c r="AU808">
        <v>2010</v>
      </c>
      <c r="AV808">
        <v>115</v>
      </c>
      <c r="AW808" t="s">
        <v>74</v>
      </c>
      <c r="AX808" t="s">
        <v>74</v>
      </c>
      <c r="AY808" t="s">
        <v>74</v>
      </c>
      <c r="AZ808" t="s">
        <v>74</v>
      </c>
      <c r="BA808" t="s">
        <v>74</v>
      </c>
      <c r="BB808" t="s">
        <v>74</v>
      </c>
      <c r="BC808" t="s">
        <v>74</v>
      </c>
      <c r="BD808" t="s">
        <v>14092</v>
      </c>
      <c r="BE808" t="s">
        <v>14093</v>
      </c>
      <c r="BF808" t="str">
        <f>HYPERLINK("http://dx.doi.org/10.1029/2010JA015931","http://dx.doi.org/10.1029/2010JA015931")</f>
        <v>http://dx.doi.org/10.1029/2010JA015931</v>
      </c>
      <c r="BG808" t="s">
        <v>74</v>
      </c>
      <c r="BH808" t="s">
        <v>74</v>
      </c>
      <c r="BI808">
        <v>7</v>
      </c>
      <c r="BJ808" t="s">
        <v>373</v>
      </c>
      <c r="BK808" t="s">
        <v>100</v>
      </c>
      <c r="BL808" t="s">
        <v>373</v>
      </c>
      <c r="BM808" t="s">
        <v>14094</v>
      </c>
      <c r="BN808" t="s">
        <v>74</v>
      </c>
      <c r="BO808" t="s">
        <v>172</v>
      </c>
      <c r="BP808" t="s">
        <v>74</v>
      </c>
      <c r="BQ808" t="s">
        <v>74</v>
      </c>
      <c r="BR808" t="s">
        <v>103</v>
      </c>
      <c r="BS808" t="s">
        <v>14095</v>
      </c>
      <c r="BT808" t="str">
        <f>HYPERLINK("https%3A%2F%2Fwww.webofscience.com%2Fwos%2Fwoscc%2Ffull-record%2FWOS:000285255800006","View Full Record in Web of Science")</f>
        <v>View Full Record in Web of Science</v>
      </c>
    </row>
    <row r="809" spans="1:72" x14ac:dyDescent="0.15">
      <c r="A809" t="s">
        <v>72</v>
      </c>
      <c r="B809" t="s">
        <v>14096</v>
      </c>
      <c r="C809" t="s">
        <v>74</v>
      </c>
      <c r="D809" t="s">
        <v>74</v>
      </c>
      <c r="E809" t="s">
        <v>74</v>
      </c>
      <c r="F809" t="s">
        <v>14097</v>
      </c>
      <c r="G809" t="s">
        <v>74</v>
      </c>
      <c r="H809" t="s">
        <v>74</v>
      </c>
      <c r="I809" t="s">
        <v>14098</v>
      </c>
      <c r="J809" t="s">
        <v>14099</v>
      </c>
      <c r="K809" t="s">
        <v>74</v>
      </c>
      <c r="L809" t="s">
        <v>74</v>
      </c>
      <c r="M809" t="s">
        <v>78</v>
      </c>
      <c r="N809" t="s">
        <v>79</v>
      </c>
      <c r="O809" t="s">
        <v>74</v>
      </c>
      <c r="P809" t="s">
        <v>74</v>
      </c>
      <c r="Q809" t="s">
        <v>74</v>
      </c>
      <c r="R809" t="s">
        <v>74</v>
      </c>
      <c r="S809" t="s">
        <v>74</v>
      </c>
      <c r="T809" t="s">
        <v>14100</v>
      </c>
      <c r="U809" t="s">
        <v>14101</v>
      </c>
      <c r="V809" t="s">
        <v>14102</v>
      </c>
      <c r="W809" t="s">
        <v>14103</v>
      </c>
      <c r="X809" t="s">
        <v>14104</v>
      </c>
      <c r="Y809" t="s">
        <v>14105</v>
      </c>
      <c r="Z809" t="s">
        <v>14106</v>
      </c>
      <c r="AA809" t="s">
        <v>14107</v>
      </c>
      <c r="AB809" t="s">
        <v>14108</v>
      </c>
      <c r="AC809" t="s">
        <v>14109</v>
      </c>
      <c r="AD809" t="s">
        <v>14110</v>
      </c>
      <c r="AE809" t="s">
        <v>14111</v>
      </c>
      <c r="AF809" t="s">
        <v>74</v>
      </c>
      <c r="AG809">
        <v>55</v>
      </c>
      <c r="AH809">
        <v>38</v>
      </c>
      <c r="AI809">
        <v>43</v>
      </c>
      <c r="AJ809">
        <v>0</v>
      </c>
      <c r="AK809">
        <v>33</v>
      </c>
      <c r="AL809" t="s">
        <v>14112</v>
      </c>
      <c r="AM809" t="s">
        <v>913</v>
      </c>
      <c r="AN809" t="s">
        <v>14113</v>
      </c>
      <c r="AO809" t="s">
        <v>14114</v>
      </c>
      <c r="AP809" t="s">
        <v>14115</v>
      </c>
      <c r="AQ809" t="s">
        <v>74</v>
      </c>
      <c r="AR809" t="s">
        <v>14116</v>
      </c>
      <c r="AS809" t="s">
        <v>14117</v>
      </c>
      <c r="AT809" t="s">
        <v>14073</v>
      </c>
      <c r="AU809">
        <v>2010</v>
      </c>
      <c r="AV809">
        <v>267</v>
      </c>
      <c r="AW809">
        <v>3</v>
      </c>
      <c r="AX809" t="s">
        <v>74</v>
      </c>
      <c r="AY809" t="s">
        <v>74</v>
      </c>
      <c r="AZ809" t="s">
        <v>74</v>
      </c>
      <c r="BA809" t="s">
        <v>74</v>
      </c>
      <c r="BB809">
        <v>437</v>
      </c>
      <c r="BC809">
        <v>453</v>
      </c>
      <c r="BD809" t="s">
        <v>74</v>
      </c>
      <c r="BE809" t="s">
        <v>14118</v>
      </c>
      <c r="BF809" t="str">
        <f>HYPERLINK("http://dx.doi.org/10.1016/j.jtbi.2010.08.026","http://dx.doi.org/10.1016/j.jtbi.2010.08.026")</f>
        <v>http://dx.doi.org/10.1016/j.jtbi.2010.08.026</v>
      </c>
      <c r="BG809" t="s">
        <v>74</v>
      </c>
      <c r="BH809" t="s">
        <v>74</v>
      </c>
      <c r="BI809">
        <v>17</v>
      </c>
      <c r="BJ809" t="s">
        <v>14119</v>
      </c>
      <c r="BK809" t="s">
        <v>100</v>
      </c>
      <c r="BL809" t="s">
        <v>14120</v>
      </c>
      <c r="BM809" t="s">
        <v>14121</v>
      </c>
      <c r="BN809">
        <v>20816685</v>
      </c>
      <c r="BO809" t="s">
        <v>74</v>
      </c>
      <c r="BP809" t="s">
        <v>74</v>
      </c>
      <c r="BQ809" t="s">
        <v>74</v>
      </c>
      <c r="BR809" t="s">
        <v>103</v>
      </c>
      <c r="BS809" t="s">
        <v>14122</v>
      </c>
      <c r="BT809" t="str">
        <f>HYPERLINK("https%3A%2F%2Fwww.webofscience.com%2Fwos%2Fwoscc%2Ffull-record%2FWOS:000283825200019","View Full Record in Web of Science")</f>
        <v>View Full Record in Web of Science</v>
      </c>
    </row>
    <row r="810" spans="1:72" x14ac:dyDescent="0.15">
      <c r="A810" t="s">
        <v>72</v>
      </c>
      <c r="B810" t="s">
        <v>14123</v>
      </c>
      <c r="C810" t="s">
        <v>74</v>
      </c>
      <c r="D810" t="s">
        <v>74</v>
      </c>
      <c r="E810" t="s">
        <v>74</v>
      </c>
      <c r="F810" t="s">
        <v>14124</v>
      </c>
      <c r="G810" t="s">
        <v>74</v>
      </c>
      <c r="H810" t="s">
        <v>74</v>
      </c>
      <c r="I810" t="s">
        <v>14125</v>
      </c>
      <c r="J810" t="s">
        <v>1725</v>
      </c>
      <c r="K810" t="s">
        <v>74</v>
      </c>
      <c r="L810" t="s">
        <v>74</v>
      </c>
      <c r="M810" t="s">
        <v>78</v>
      </c>
      <c r="N810" t="s">
        <v>79</v>
      </c>
      <c r="O810" t="s">
        <v>74</v>
      </c>
      <c r="P810" t="s">
        <v>74</v>
      </c>
      <c r="Q810" t="s">
        <v>74</v>
      </c>
      <c r="R810" t="s">
        <v>74</v>
      </c>
      <c r="S810" t="s">
        <v>74</v>
      </c>
      <c r="T810" t="s">
        <v>74</v>
      </c>
      <c r="U810" t="s">
        <v>14126</v>
      </c>
      <c r="V810" t="s">
        <v>14127</v>
      </c>
      <c r="W810" t="s">
        <v>14128</v>
      </c>
      <c r="X810" t="s">
        <v>14129</v>
      </c>
      <c r="Y810" t="s">
        <v>14130</v>
      </c>
      <c r="Z810" t="s">
        <v>14131</v>
      </c>
      <c r="AA810" t="s">
        <v>2513</v>
      </c>
      <c r="AB810" t="s">
        <v>14132</v>
      </c>
      <c r="AC810" t="s">
        <v>14133</v>
      </c>
      <c r="AD810" t="s">
        <v>14134</v>
      </c>
      <c r="AE810" t="s">
        <v>14135</v>
      </c>
      <c r="AF810" t="s">
        <v>74</v>
      </c>
      <c r="AG810">
        <v>67</v>
      </c>
      <c r="AH810">
        <v>35</v>
      </c>
      <c r="AI810">
        <v>44</v>
      </c>
      <c r="AJ810">
        <v>1</v>
      </c>
      <c r="AK810">
        <v>28</v>
      </c>
      <c r="AL810" t="s">
        <v>240</v>
      </c>
      <c r="AM810" t="s">
        <v>241</v>
      </c>
      <c r="AN810" t="s">
        <v>242</v>
      </c>
      <c r="AO810" t="s">
        <v>1736</v>
      </c>
      <c r="AP810" t="s">
        <v>74</v>
      </c>
      <c r="AQ810" t="s">
        <v>74</v>
      </c>
      <c r="AR810" t="s">
        <v>1725</v>
      </c>
      <c r="AS810" t="s">
        <v>1738</v>
      </c>
      <c r="AT810" t="s">
        <v>14073</v>
      </c>
      <c r="AU810">
        <v>2010</v>
      </c>
      <c r="AV810">
        <v>25</v>
      </c>
      <c r="AW810" t="s">
        <v>74</v>
      </c>
      <c r="AX810" t="s">
        <v>74</v>
      </c>
      <c r="AY810" t="s">
        <v>74</v>
      </c>
      <c r="AZ810" t="s">
        <v>74</v>
      </c>
      <c r="BA810" t="s">
        <v>74</v>
      </c>
      <c r="BB810" t="s">
        <v>74</v>
      </c>
      <c r="BC810" t="s">
        <v>74</v>
      </c>
      <c r="BD810" t="s">
        <v>14136</v>
      </c>
      <c r="BE810" t="s">
        <v>14137</v>
      </c>
      <c r="BF810" t="str">
        <f>HYPERLINK("http://dx.doi.org/10.1029/2010PA001928","http://dx.doi.org/10.1029/2010PA001928")</f>
        <v>http://dx.doi.org/10.1029/2010PA001928</v>
      </c>
      <c r="BG810" t="s">
        <v>74</v>
      </c>
      <c r="BH810" t="s">
        <v>74</v>
      </c>
      <c r="BI810">
        <v>12</v>
      </c>
      <c r="BJ810" t="s">
        <v>1741</v>
      </c>
      <c r="BK810" t="s">
        <v>100</v>
      </c>
      <c r="BL810" t="s">
        <v>1742</v>
      </c>
      <c r="BM810" t="s">
        <v>14138</v>
      </c>
      <c r="BN810" t="s">
        <v>74</v>
      </c>
      <c r="BO810" t="s">
        <v>1744</v>
      </c>
      <c r="BP810" t="s">
        <v>74</v>
      </c>
      <c r="BQ810" t="s">
        <v>74</v>
      </c>
      <c r="BR810" t="s">
        <v>103</v>
      </c>
      <c r="BS810" t="s">
        <v>14139</v>
      </c>
      <c r="BT810" t="str">
        <f>HYPERLINK("https%3A%2F%2Fwww.webofscience.com%2Fwos%2Fwoscc%2Ffull-record%2FWOS:000285257400002","View Full Record in Web of Science")</f>
        <v>View Full Record in Web of Science</v>
      </c>
    </row>
    <row r="811" spans="1:72" x14ac:dyDescent="0.15">
      <c r="A811" t="s">
        <v>72</v>
      </c>
      <c r="B811" t="s">
        <v>14140</v>
      </c>
      <c r="C811" t="s">
        <v>74</v>
      </c>
      <c r="D811" t="s">
        <v>74</v>
      </c>
      <c r="E811" t="s">
        <v>74</v>
      </c>
      <c r="F811" t="s">
        <v>14141</v>
      </c>
      <c r="G811" t="s">
        <v>74</v>
      </c>
      <c r="H811" t="s">
        <v>74</v>
      </c>
      <c r="I811" t="s">
        <v>14142</v>
      </c>
      <c r="J811" t="s">
        <v>14143</v>
      </c>
      <c r="K811" t="s">
        <v>74</v>
      </c>
      <c r="L811" t="s">
        <v>74</v>
      </c>
      <c r="M811" t="s">
        <v>78</v>
      </c>
      <c r="N811" t="s">
        <v>79</v>
      </c>
      <c r="O811" t="s">
        <v>74</v>
      </c>
      <c r="P811" t="s">
        <v>74</v>
      </c>
      <c r="Q811" t="s">
        <v>74</v>
      </c>
      <c r="R811" t="s">
        <v>74</v>
      </c>
      <c r="S811" t="s">
        <v>74</v>
      </c>
      <c r="T811" t="s">
        <v>74</v>
      </c>
      <c r="U811" t="s">
        <v>14144</v>
      </c>
      <c r="V811" t="s">
        <v>14145</v>
      </c>
      <c r="W811" t="s">
        <v>14146</v>
      </c>
      <c r="X811" t="s">
        <v>14147</v>
      </c>
      <c r="Y811" t="s">
        <v>14148</v>
      </c>
      <c r="Z811" t="s">
        <v>5896</v>
      </c>
      <c r="AA811" t="s">
        <v>5897</v>
      </c>
      <c r="AB811" t="s">
        <v>14149</v>
      </c>
      <c r="AC811" t="s">
        <v>14150</v>
      </c>
      <c r="AD811" t="s">
        <v>14151</v>
      </c>
      <c r="AE811" t="s">
        <v>14152</v>
      </c>
      <c r="AF811" t="s">
        <v>74</v>
      </c>
      <c r="AG811">
        <v>49</v>
      </c>
      <c r="AH811">
        <v>53</v>
      </c>
      <c r="AI811">
        <v>56</v>
      </c>
      <c r="AJ811">
        <v>0</v>
      </c>
      <c r="AK811">
        <v>48</v>
      </c>
      <c r="AL811" t="s">
        <v>240</v>
      </c>
      <c r="AM811" t="s">
        <v>241</v>
      </c>
      <c r="AN811" t="s">
        <v>242</v>
      </c>
      <c r="AO811" t="s">
        <v>14153</v>
      </c>
      <c r="AP811" t="s">
        <v>14154</v>
      </c>
      <c r="AQ811" t="s">
        <v>74</v>
      </c>
      <c r="AR811" t="s">
        <v>14155</v>
      </c>
      <c r="AS811" t="s">
        <v>14156</v>
      </c>
      <c r="AT811" t="s">
        <v>14157</v>
      </c>
      <c r="AU811">
        <v>2010</v>
      </c>
      <c r="AV811">
        <v>115</v>
      </c>
      <c r="AW811" t="s">
        <v>74</v>
      </c>
      <c r="AX811" t="s">
        <v>74</v>
      </c>
      <c r="AY811" t="s">
        <v>74</v>
      </c>
      <c r="AZ811" t="s">
        <v>74</v>
      </c>
      <c r="BA811" t="s">
        <v>74</v>
      </c>
      <c r="BB811" t="s">
        <v>74</v>
      </c>
      <c r="BC811" t="s">
        <v>74</v>
      </c>
      <c r="BD811" t="s">
        <v>14158</v>
      </c>
      <c r="BE811" t="s">
        <v>14159</v>
      </c>
      <c r="BF811" t="str">
        <f>HYPERLINK("http://dx.doi.org/10.1029/2010JF001721","http://dx.doi.org/10.1029/2010JF001721")</f>
        <v>http://dx.doi.org/10.1029/2010JF001721</v>
      </c>
      <c r="BG811" t="s">
        <v>74</v>
      </c>
      <c r="BH811" t="s">
        <v>74</v>
      </c>
      <c r="BI811">
        <v>16</v>
      </c>
      <c r="BJ811" t="s">
        <v>396</v>
      </c>
      <c r="BK811" t="s">
        <v>100</v>
      </c>
      <c r="BL811" t="s">
        <v>397</v>
      </c>
      <c r="BM811" t="s">
        <v>14160</v>
      </c>
      <c r="BN811" t="s">
        <v>74</v>
      </c>
      <c r="BO811" t="s">
        <v>252</v>
      </c>
      <c r="BP811" t="s">
        <v>74</v>
      </c>
      <c r="BQ811" t="s">
        <v>74</v>
      </c>
      <c r="BR811" t="s">
        <v>103</v>
      </c>
      <c r="BS811" t="s">
        <v>14161</v>
      </c>
      <c r="BT811" t="str">
        <f>HYPERLINK("https%3A%2F%2Fwww.webofscience.com%2Fwos%2Fwoscc%2Ffull-record%2FWOS:000285018700001","View Full Record in Web of Science")</f>
        <v>View Full Record in Web of Science</v>
      </c>
    </row>
    <row r="812" spans="1:72" x14ac:dyDescent="0.15">
      <c r="A812" t="s">
        <v>72</v>
      </c>
      <c r="B812" t="s">
        <v>14162</v>
      </c>
      <c r="C812" t="s">
        <v>74</v>
      </c>
      <c r="D812" t="s">
        <v>74</v>
      </c>
      <c r="E812" t="s">
        <v>74</v>
      </c>
      <c r="F812" t="s">
        <v>14163</v>
      </c>
      <c r="G812" t="s">
        <v>74</v>
      </c>
      <c r="H812" t="s">
        <v>74</v>
      </c>
      <c r="I812" t="s">
        <v>14164</v>
      </c>
      <c r="J812" t="s">
        <v>1701</v>
      </c>
      <c r="K812" t="s">
        <v>74</v>
      </c>
      <c r="L812" t="s">
        <v>74</v>
      </c>
      <c r="M812" t="s">
        <v>78</v>
      </c>
      <c r="N812" t="s">
        <v>79</v>
      </c>
      <c r="O812" t="s">
        <v>74</v>
      </c>
      <c r="P812" t="s">
        <v>74</v>
      </c>
      <c r="Q812" t="s">
        <v>74</v>
      </c>
      <c r="R812" t="s">
        <v>74</v>
      </c>
      <c r="S812" t="s">
        <v>74</v>
      </c>
      <c r="T812" t="s">
        <v>74</v>
      </c>
      <c r="U812" t="s">
        <v>14165</v>
      </c>
      <c r="V812" t="s">
        <v>14166</v>
      </c>
      <c r="W812" t="s">
        <v>14167</v>
      </c>
      <c r="X812" t="s">
        <v>14168</v>
      </c>
      <c r="Y812" t="s">
        <v>14169</v>
      </c>
      <c r="Z812" t="s">
        <v>14170</v>
      </c>
      <c r="AA812" t="s">
        <v>14171</v>
      </c>
      <c r="AB812" t="s">
        <v>14172</v>
      </c>
      <c r="AC812" t="s">
        <v>14173</v>
      </c>
      <c r="AD812" t="s">
        <v>14174</v>
      </c>
      <c r="AE812" t="s">
        <v>14175</v>
      </c>
      <c r="AF812" t="s">
        <v>74</v>
      </c>
      <c r="AG812">
        <v>36</v>
      </c>
      <c r="AH812">
        <v>52</v>
      </c>
      <c r="AI812">
        <v>56</v>
      </c>
      <c r="AJ812">
        <v>0</v>
      </c>
      <c r="AK812">
        <v>7</v>
      </c>
      <c r="AL812" t="s">
        <v>240</v>
      </c>
      <c r="AM812" t="s">
        <v>241</v>
      </c>
      <c r="AN812" t="s">
        <v>242</v>
      </c>
      <c r="AO812" t="s">
        <v>1713</v>
      </c>
      <c r="AP812" t="s">
        <v>1714</v>
      </c>
      <c r="AQ812" t="s">
        <v>74</v>
      </c>
      <c r="AR812" t="s">
        <v>1715</v>
      </c>
      <c r="AS812" t="s">
        <v>1716</v>
      </c>
      <c r="AT812" t="s">
        <v>14157</v>
      </c>
      <c r="AU812">
        <v>2010</v>
      </c>
      <c r="AV812">
        <v>115</v>
      </c>
      <c r="AW812" t="s">
        <v>74</v>
      </c>
      <c r="AX812" t="s">
        <v>74</v>
      </c>
      <c r="AY812" t="s">
        <v>74</v>
      </c>
      <c r="AZ812" t="s">
        <v>74</v>
      </c>
      <c r="BA812" t="s">
        <v>74</v>
      </c>
      <c r="BB812" t="s">
        <v>74</v>
      </c>
      <c r="BC812" t="s">
        <v>74</v>
      </c>
      <c r="BD812" t="s">
        <v>14176</v>
      </c>
      <c r="BE812" t="s">
        <v>14177</v>
      </c>
      <c r="BF812" t="str">
        <f>HYPERLINK("http://dx.doi.org/10.1029/2010JA015638","http://dx.doi.org/10.1029/2010JA015638")</f>
        <v>http://dx.doi.org/10.1029/2010JA015638</v>
      </c>
      <c r="BG812" t="s">
        <v>74</v>
      </c>
      <c r="BH812" t="s">
        <v>74</v>
      </c>
      <c r="BI812">
        <v>11</v>
      </c>
      <c r="BJ812" t="s">
        <v>373</v>
      </c>
      <c r="BK812" t="s">
        <v>100</v>
      </c>
      <c r="BL812" t="s">
        <v>373</v>
      </c>
      <c r="BM812" t="s">
        <v>14178</v>
      </c>
      <c r="BN812" t="s">
        <v>74</v>
      </c>
      <c r="BO812" t="s">
        <v>1720</v>
      </c>
      <c r="BP812" t="s">
        <v>74</v>
      </c>
      <c r="BQ812" t="s">
        <v>74</v>
      </c>
      <c r="BR812" t="s">
        <v>103</v>
      </c>
      <c r="BS812" t="s">
        <v>14179</v>
      </c>
      <c r="BT812" t="str">
        <f>HYPERLINK("https%3A%2F%2Fwww.webofscience.com%2Fwos%2Fwoscc%2Ffull-record%2FWOS:000285020000010","View Full Record in Web of Science")</f>
        <v>View Full Record in Web of Science</v>
      </c>
    </row>
    <row r="813" spans="1:72" x14ac:dyDescent="0.15">
      <c r="A813" t="s">
        <v>72</v>
      </c>
      <c r="B813" t="s">
        <v>14180</v>
      </c>
      <c r="C813" t="s">
        <v>74</v>
      </c>
      <c r="D813" t="s">
        <v>74</v>
      </c>
      <c r="E813" t="s">
        <v>74</v>
      </c>
      <c r="F813" t="s">
        <v>14181</v>
      </c>
      <c r="G813" t="s">
        <v>74</v>
      </c>
      <c r="H813" t="s">
        <v>74</v>
      </c>
      <c r="I813" t="s">
        <v>14182</v>
      </c>
      <c r="J813" t="s">
        <v>1701</v>
      </c>
      <c r="K813" t="s">
        <v>74</v>
      </c>
      <c r="L813" t="s">
        <v>74</v>
      </c>
      <c r="M813" t="s">
        <v>78</v>
      </c>
      <c r="N813" t="s">
        <v>79</v>
      </c>
      <c r="O813" t="s">
        <v>74</v>
      </c>
      <c r="P813" t="s">
        <v>74</v>
      </c>
      <c r="Q813" t="s">
        <v>74</v>
      </c>
      <c r="R813" t="s">
        <v>74</v>
      </c>
      <c r="S813" t="s">
        <v>74</v>
      </c>
      <c r="T813" t="s">
        <v>74</v>
      </c>
      <c r="U813" t="s">
        <v>14183</v>
      </c>
      <c r="V813" t="s">
        <v>14184</v>
      </c>
      <c r="W813" t="s">
        <v>14185</v>
      </c>
      <c r="X813" t="s">
        <v>14186</v>
      </c>
      <c r="Y813" t="s">
        <v>14187</v>
      </c>
      <c r="Z813" t="s">
        <v>14188</v>
      </c>
      <c r="AA813" t="s">
        <v>14189</v>
      </c>
      <c r="AB813" t="s">
        <v>14190</v>
      </c>
      <c r="AC813" t="s">
        <v>14191</v>
      </c>
      <c r="AD813" t="s">
        <v>14192</v>
      </c>
      <c r="AE813" t="s">
        <v>14193</v>
      </c>
      <c r="AF813" t="s">
        <v>74</v>
      </c>
      <c r="AG813">
        <v>29</v>
      </c>
      <c r="AH813">
        <v>76</v>
      </c>
      <c r="AI813">
        <v>80</v>
      </c>
      <c r="AJ813">
        <v>0</v>
      </c>
      <c r="AK813">
        <v>8</v>
      </c>
      <c r="AL813" t="s">
        <v>240</v>
      </c>
      <c r="AM813" t="s">
        <v>241</v>
      </c>
      <c r="AN813" t="s">
        <v>242</v>
      </c>
      <c r="AO813" t="s">
        <v>1713</v>
      </c>
      <c r="AP813" t="s">
        <v>1714</v>
      </c>
      <c r="AQ813" t="s">
        <v>74</v>
      </c>
      <c r="AR813" t="s">
        <v>1715</v>
      </c>
      <c r="AS813" t="s">
        <v>1716</v>
      </c>
      <c r="AT813" t="s">
        <v>14157</v>
      </c>
      <c r="AU813">
        <v>2010</v>
      </c>
      <c r="AV813">
        <v>115</v>
      </c>
      <c r="AW813" t="s">
        <v>74</v>
      </c>
      <c r="AX813" t="s">
        <v>74</v>
      </c>
      <c r="AY813" t="s">
        <v>74</v>
      </c>
      <c r="AZ813" t="s">
        <v>74</v>
      </c>
      <c r="BA813" t="s">
        <v>74</v>
      </c>
      <c r="BB813" t="s">
        <v>74</v>
      </c>
      <c r="BC813" t="s">
        <v>74</v>
      </c>
      <c r="BD813" t="s">
        <v>14194</v>
      </c>
      <c r="BE813" t="s">
        <v>14195</v>
      </c>
      <c r="BF813" t="str">
        <f>HYPERLINK("http://dx.doi.org/10.1029/2010JA015880","http://dx.doi.org/10.1029/2010JA015880")</f>
        <v>http://dx.doi.org/10.1029/2010JA015880</v>
      </c>
      <c r="BG813" t="s">
        <v>74</v>
      </c>
      <c r="BH813" t="s">
        <v>74</v>
      </c>
      <c r="BI813">
        <v>13</v>
      </c>
      <c r="BJ813" t="s">
        <v>373</v>
      </c>
      <c r="BK813" t="s">
        <v>100</v>
      </c>
      <c r="BL813" t="s">
        <v>373</v>
      </c>
      <c r="BM813" t="s">
        <v>14178</v>
      </c>
      <c r="BN813" t="s">
        <v>74</v>
      </c>
      <c r="BO813" t="s">
        <v>515</v>
      </c>
      <c r="BP813" t="s">
        <v>74</v>
      </c>
      <c r="BQ813" t="s">
        <v>74</v>
      </c>
      <c r="BR813" t="s">
        <v>103</v>
      </c>
      <c r="BS813" t="s">
        <v>14196</v>
      </c>
      <c r="BT813" t="str">
        <f>HYPERLINK("https%3A%2F%2Fwww.webofscience.com%2Fwos%2Fwoscc%2Ffull-record%2FWOS:000285020000016","View Full Record in Web of Science")</f>
        <v>View Full Record in Web of Science</v>
      </c>
    </row>
    <row r="814" spans="1:72" x14ac:dyDescent="0.15">
      <c r="A814" t="s">
        <v>72</v>
      </c>
      <c r="B814" t="s">
        <v>14197</v>
      </c>
      <c r="C814" t="s">
        <v>74</v>
      </c>
      <c r="D814" t="s">
        <v>74</v>
      </c>
      <c r="E814" t="s">
        <v>74</v>
      </c>
      <c r="F814" t="s">
        <v>14198</v>
      </c>
      <c r="G814" t="s">
        <v>74</v>
      </c>
      <c r="H814" t="s">
        <v>74</v>
      </c>
      <c r="I814" t="s">
        <v>14199</v>
      </c>
      <c r="J814" t="s">
        <v>1701</v>
      </c>
      <c r="K814" t="s">
        <v>74</v>
      </c>
      <c r="L814" t="s">
        <v>74</v>
      </c>
      <c r="M814" t="s">
        <v>78</v>
      </c>
      <c r="N814" t="s">
        <v>79</v>
      </c>
      <c r="O814" t="s">
        <v>74</v>
      </c>
      <c r="P814" t="s">
        <v>74</v>
      </c>
      <c r="Q814" t="s">
        <v>74</v>
      </c>
      <c r="R814" t="s">
        <v>74</v>
      </c>
      <c r="S814" t="s">
        <v>74</v>
      </c>
      <c r="T814" t="s">
        <v>74</v>
      </c>
      <c r="U814" t="s">
        <v>14200</v>
      </c>
      <c r="V814" t="s">
        <v>14201</v>
      </c>
      <c r="W814" t="s">
        <v>14202</v>
      </c>
      <c r="X814" t="s">
        <v>14203</v>
      </c>
      <c r="Y814" t="s">
        <v>14204</v>
      </c>
      <c r="Z814" t="s">
        <v>9957</v>
      </c>
      <c r="AA814" t="s">
        <v>14205</v>
      </c>
      <c r="AB814" t="s">
        <v>14206</v>
      </c>
      <c r="AC814" t="s">
        <v>14207</v>
      </c>
      <c r="AD814" t="s">
        <v>14208</v>
      </c>
      <c r="AE814" t="s">
        <v>14209</v>
      </c>
      <c r="AF814" t="s">
        <v>74</v>
      </c>
      <c r="AG814">
        <v>26</v>
      </c>
      <c r="AH814">
        <v>21</v>
      </c>
      <c r="AI814">
        <v>22</v>
      </c>
      <c r="AJ814">
        <v>0</v>
      </c>
      <c r="AK814">
        <v>4</v>
      </c>
      <c r="AL814" t="s">
        <v>240</v>
      </c>
      <c r="AM814" t="s">
        <v>241</v>
      </c>
      <c r="AN814" t="s">
        <v>242</v>
      </c>
      <c r="AO814" t="s">
        <v>1713</v>
      </c>
      <c r="AP814" t="s">
        <v>1714</v>
      </c>
      <c r="AQ814" t="s">
        <v>74</v>
      </c>
      <c r="AR814" t="s">
        <v>1715</v>
      </c>
      <c r="AS814" t="s">
        <v>1716</v>
      </c>
      <c r="AT814" t="s">
        <v>14157</v>
      </c>
      <c r="AU814">
        <v>2010</v>
      </c>
      <c r="AV814">
        <v>115</v>
      </c>
      <c r="AW814" t="s">
        <v>74</v>
      </c>
      <c r="AX814" t="s">
        <v>74</v>
      </c>
      <c r="AY814" t="s">
        <v>74</v>
      </c>
      <c r="AZ814" t="s">
        <v>74</v>
      </c>
      <c r="BA814" t="s">
        <v>74</v>
      </c>
      <c r="BB814" t="s">
        <v>74</v>
      </c>
      <c r="BC814" t="s">
        <v>74</v>
      </c>
      <c r="BD814" t="s">
        <v>14210</v>
      </c>
      <c r="BE814" t="s">
        <v>14211</v>
      </c>
      <c r="BF814" t="str">
        <f>HYPERLINK("http://dx.doi.org/10.1029/2010JA015598","http://dx.doi.org/10.1029/2010JA015598")</f>
        <v>http://dx.doi.org/10.1029/2010JA015598</v>
      </c>
      <c r="BG814" t="s">
        <v>74</v>
      </c>
      <c r="BH814" t="s">
        <v>74</v>
      </c>
      <c r="BI814">
        <v>8</v>
      </c>
      <c r="BJ814" t="s">
        <v>373</v>
      </c>
      <c r="BK814" t="s">
        <v>100</v>
      </c>
      <c r="BL814" t="s">
        <v>373</v>
      </c>
      <c r="BM814" t="s">
        <v>14178</v>
      </c>
      <c r="BN814" t="s">
        <v>74</v>
      </c>
      <c r="BO814" t="s">
        <v>1696</v>
      </c>
      <c r="BP814" t="s">
        <v>74</v>
      </c>
      <c r="BQ814" t="s">
        <v>74</v>
      </c>
      <c r="BR814" t="s">
        <v>103</v>
      </c>
      <c r="BS814" t="s">
        <v>14212</v>
      </c>
      <c r="BT814" t="str">
        <f>HYPERLINK("https%3A%2F%2Fwww.webofscience.com%2Fwos%2Fwoscc%2Ffull-record%2FWOS:000285020000009","View Full Record in Web of Science")</f>
        <v>View Full Record in Web of Science</v>
      </c>
    </row>
    <row r="815" spans="1:72" x14ac:dyDescent="0.15">
      <c r="A815" t="s">
        <v>72</v>
      </c>
      <c r="B815" t="s">
        <v>14213</v>
      </c>
      <c r="C815" t="s">
        <v>74</v>
      </c>
      <c r="D815" t="s">
        <v>74</v>
      </c>
      <c r="E815" t="s">
        <v>74</v>
      </c>
      <c r="F815" t="s">
        <v>14214</v>
      </c>
      <c r="G815" t="s">
        <v>74</v>
      </c>
      <c r="H815" t="s">
        <v>74</v>
      </c>
      <c r="I815" t="s">
        <v>14215</v>
      </c>
      <c r="J815" t="s">
        <v>1725</v>
      </c>
      <c r="K815" t="s">
        <v>74</v>
      </c>
      <c r="L815" t="s">
        <v>74</v>
      </c>
      <c r="M815" t="s">
        <v>78</v>
      </c>
      <c r="N815" t="s">
        <v>79</v>
      </c>
      <c r="O815" t="s">
        <v>74</v>
      </c>
      <c r="P815" t="s">
        <v>74</v>
      </c>
      <c r="Q815" t="s">
        <v>74</v>
      </c>
      <c r="R815" t="s">
        <v>74</v>
      </c>
      <c r="S815" t="s">
        <v>74</v>
      </c>
      <c r="T815" t="s">
        <v>74</v>
      </c>
      <c r="U815" t="s">
        <v>14216</v>
      </c>
      <c r="V815" t="s">
        <v>14217</v>
      </c>
      <c r="W815" t="s">
        <v>14218</v>
      </c>
      <c r="X815" t="s">
        <v>14219</v>
      </c>
      <c r="Y815" t="s">
        <v>14220</v>
      </c>
      <c r="Z815" t="s">
        <v>14221</v>
      </c>
      <c r="AA815" t="s">
        <v>74</v>
      </c>
      <c r="AB815" t="s">
        <v>74</v>
      </c>
      <c r="AC815" t="s">
        <v>74</v>
      </c>
      <c r="AD815" t="s">
        <v>74</v>
      </c>
      <c r="AE815" t="s">
        <v>74</v>
      </c>
      <c r="AF815" t="s">
        <v>74</v>
      </c>
      <c r="AG815">
        <v>42</v>
      </c>
      <c r="AH815">
        <v>29</v>
      </c>
      <c r="AI815">
        <v>33</v>
      </c>
      <c r="AJ815">
        <v>0</v>
      </c>
      <c r="AK815">
        <v>19</v>
      </c>
      <c r="AL815" t="s">
        <v>240</v>
      </c>
      <c r="AM815" t="s">
        <v>241</v>
      </c>
      <c r="AN815" t="s">
        <v>242</v>
      </c>
      <c r="AO815" t="s">
        <v>1736</v>
      </c>
      <c r="AP815" t="s">
        <v>74</v>
      </c>
      <c r="AQ815" t="s">
        <v>74</v>
      </c>
      <c r="AR815" t="s">
        <v>1725</v>
      </c>
      <c r="AS815" t="s">
        <v>1738</v>
      </c>
      <c r="AT815" t="s">
        <v>14157</v>
      </c>
      <c r="AU815">
        <v>2010</v>
      </c>
      <c r="AV815">
        <v>25</v>
      </c>
      <c r="AW815" t="s">
        <v>74</v>
      </c>
      <c r="AX815" t="s">
        <v>74</v>
      </c>
      <c r="AY815" t="s">
        <v>74</v>
      </c>
      <c r="AZ815" t="s">
        <v>74</v>
      </c>
      <c r="BA815" t="s">
        <v>74</v>
      </c>
      <c r="BB815" t="s">
        <v>74</v>
      </c>
      <c r="BC815" t="s">
        <v>74</v>
      </c>
      <c r="BD815" t="s">
        <v>14222</v>
      </c>
      <c r="BE815" t="s">
        <v>14223</v>
      </c>
      <c r="BF815" t="str">
        <f>HYPERLINK("http://dx.doi.org/10.1029/2010PA001962","http://dx.doi.org/10.1029/2010PA001962")</f>
        <v>http://dx.doi.org/10.1029/2010PA001962</v>
      </c>
      <c r="BG815" t="s">
        <v>74</v>
      </c>
      <c r="BH815" t="s">
        <v>74</v>
      </c>
      <c r="BI815">
        <v>7</v>
      </c>
      <c r="BJ815" t="s">
        <v>1741</v>
      </c>
      <c r="BK815" t="s">
        <v>100</v>
      </c>
      <c r="BL815" t="s">
        <v>1742</v>
      </c>
      <c r="BM815" t="s">
        <v>14224</v>
      </c>
      <c r="BN815" t="s">
        <v>74</v>
      </c>
      <c r="BO815" t="s">
        <v>1744</v>
      </c>
      <c r="BP815" t="s">
        <v>74</v>
      </c>
      <c r="BQ815" t="s">
        <v>74</v>
      </c>
      <c r="BR815" t="s">
        <v>103</v>
      </c>
      <c r="BS815" t="s">
        <v>14225</v>
      </c>
      <c r="BT815" t="str">
        <f>HYPERLINK("https%3A%2F%2Fwww.webofscience.com%2Fwos%2Fwoscc%2Ffull-record%2FWOS:000285020200003","View Full Record in Web of Science")</f>
        <v>View Full Record in Web of Science</v>
      </c>
    </row>
    <row r="816" spans="1:72" x14ac:dyDescent="0.15">
      <c r="A816" t="s">
        <v>72</v>
      </c>
      <c r="B816" t="s">
        <v>14226</v>
      </c>
      <c r="C816" t="s">
        <v>74</v>
      </c>
      <c r="D816" t="s">
        <v>74</v>
      </c>
      <c r="E816" t="s">
        <v>74</v>
      </c>
      <c r="F816" t="s">
        <v>14227</v>
      </c>
      <c r="G816" t="s">
        <v>74</v>
      </c>
      <c r="H816" t="s">
        <v>74</v>
      </c>
      <c r="I816" t="s">
        <v>14228</v>
      </c>
      <c r="J816" t="s">
        <v>1725</v>
      </c>
      <c r="K816" t="s">
        <v>74</v>
      </c>
      <c r="L816" t="s">
        <v>74</v>
      </c>
      <c r="M816" t="s">
        <v>78</v>
      </c>
      <c r="N816" t="s">
        <v>79</v>
      </c>
      <c r="O816" t="s">
        <v>74</v>
      </c>
      <c r="P816" t="s">
        <v>74</v>
      </c>
      <c r="Q816" t="s">
        <v>74</v>
      </c>
      <c r="R816" t="s">
        <v>74</v>
      </c>
      <c r="S816" t="s">
        <v>74</v>
      </c>
      <c r="T816" t="s">
        <v>74</v>
      </c>
      <c r="U816" t="s">
        <v>14229</v>
      </c>
      <c r="V816" t="s">
        <v>14230</v>
      </c>
      <c r="W816" t="s">
        <v>14231</v>
      </c>
      <c r="X816" t="s">
        <v>14232</v>
      </c>
      <c r="Y816" t="s">
        <v>14233</v>
      </c>
      <c r="Z816" t="s">
        <v>14234</v>
      </c>
      <c r="AA816" t="s">
        <v>14235</v>
      </c>
      <c r="AB816" t="s">
        <v>14236</v>
      </c>
      <c r="AC816" t="s">
        <v>14237</v>
      </c>
      <c r="AD816" t="s">
        <v>1687</v>
      </c>
      <c r="AE816" t="s">
        <v>74</v>
      </c>
      <c r="AF816" t="s">
        <v>74</v>
      </c>
      <c r="AG816">
        <v>39</v>
      </c>
      <c r="AH816">
        <v>17</v>
      </c>
      <c r="AI816">
        <v>19</v>
      </c>
      <c r="AJ816">
        <v>1</v>
      </c>
      <c r="AK816">
        <v>21</v>
      </c>
      <c r="AL816" t="s">
        <v>240</v>
      </c>
      <c r="AM816" t="s">
        <v>241</v>
      </c>
      <c r="AN816" t="s">
        <v>242</v>
      </c>
      <c r="AO816" t="s">
        <v>1736</v>
      </c>
      <c r="AP816" t="s">
        <v>1737</v>
      </c>
      <c r="AQ816" t="s">
        <v>74</v>
      </c>
      <c r="AR816" t="s">
        <v>1725</v>
      </c>
      <c r="AS816" t="s">
        <v>1738</v>
      </c>
      <c r="AT816" t="s">
        <v>14157</v>
      </c>
      <c r="AU816">
        <v>2010</v>
      </c>
      <c r="AV816">
        <v>25</v>
      </c>
      <c r="AW816" t="s">
        <v>74</v>
      </c>
      <c r="AX816" t="s">
        <v>74</v>
      </c>
      <c r="AY816" t="s">
        <v>74</v>
      </c>
      <c r="AZ816" t="s">
        <v>74</v>
      </c>
      <c r="BA816" t="s">
        <v>74</v>
      </c>
      <c r="BB816" t="s">
        <v>74</v>
      </c>
      <c r="BC816" t="s">
        <v>74</v>
      </c>
      <c r="BD816" t="s">
        <v>14238</v>
      </c>
      <c r="BE816" t="s">
        <v>14239</v>
      </c>
      <c r="BF816" t="str">
        <f>HYPERLINK("http://dx.doi.org/10.1029/2009PA001906","http://dx.doi.org/10.1029/2009PA001906")</f>
        <v>http://dx.doi.org/10.1029/2009PA001906</v>
      </c>
      <c r="BG816" t="s">
        <v>74</v>
      </c>
      <c r="BH816" t="s">
        <v>74</v>
      </c>
      <c r="BI816">
        <v>9</v>
      </c>
      <c r="BJ816" t="s">
        <v>1741</v>
      </c>
      <c r="BK816" t="s">
        <v>100</v>
      </c>
      <c r="BL816" t="s">
        <v>1742</v>
      </c>
      <c r="BM816" t="s">
        <v>14224</v>
      </c>
      <c r="BN816" t="s">
        <v>74</v>
      </c>
      <c r="BO816" t="s">
        <v>9686</v>
      </c>
      <c r="BP816" t="s">
        <v>74</v>
      </c>
      <c r="BQ816" t="s">
        <v>74</v>
      </c>
      <c r="BR816" t="s">
        <v>103</v>
      </c>
      <c r="BS816" t="s">
        <v>14240</v>
      </c>
      <c r="BT816" t="str">
        <f>HYPERLINK("https%3A%2F%2Fwww.webofscience.com%2Fwos%2Fwoscc%2Ffull-record%2FWOS:000285020200001","View Full Record in Web of Science")</f>
        <v>View Full Record in Web of Science</v>
      </c>
    </row>
    <row r="817" spans="1:72" x14ac:dyDescent="0.15">
      <c r="A817" t="s">
        <v>72</v>
      </c>
      <c r="B817" t="s">
        <v>14241</v>
      </c>
      <c r="C817" t="s">
        <v>74</v>
      </c>
      <c r="D817" t="s">
        <v>74</v>
      </c>
      <c r="E817" t="s">
        <v>74</v>
      </c>
      <c r="F817" t="s">
        <v>14242</v>
      </c>
      <c r="G817" t="s">
        <v>74</v>
      </c>
      <c r="H817" t="s">
        <v>74</v>
      </c>
      <c r="I817" t="s">
        <v>14243</v>
      </c>
      <c r="J817" t="s">
        <v>1980</v>
      </c>
      <c r="K817" t="s">
        <v>74</v>
      </c>
      <c r="L817" t="s">
        <v>74</v>
      </c>
      <c r="M817" t="s">
        <v>78</v>
      </c>
      <c r="N817" t="s">
        <v>79</v>
      </c>
      <c r="O817" t="s">
        <v>74</v>
      </c>
      <c r="P817" t="s">
        <v>74</v>
      </c>
      <c r="Q817" t="s">
        <v>74</v>
      </c>
      <c r="R817" t="s">
        <v>74</v>
      </c>
      <c r="S817" t="s">
        <v>74</v>
      </c>
      <c r="T817" t="s">
        <v>74</v>
      </c>
      <c r="U817" t="s">
        <v>14244</v>
      </c>
      <c r="V817" t="s">
        <v>14245</v>
      </c>
      <c r="W817" t="s">
        <v>14246</v>
      </c>
      <c r="X817" t="s">
        <v>14247</v>
      </c>
      <c r="Y817" t="s">
        <v>14248</v>
      </c>
      <c r="Z817" t="s">
        <v>14249</v>
      </c>
      <c r="AA817" t="s">
        <v>14250</v>
      </c>
      <c r="AB817" t="s">
        <v>14251</v>
      </c>
      <c r="AC817" t="s">
        <v>14252</v>
      </c>
      <c r="AD817" t="s">
        <v>14253</v>
      </c>
      <c r="AE817" t="s">
        <v>14254</v>
      </c>
      <c r="AF817" t="s">
        <v>74</v>
      </c>
      <c r="AG817">
        <v>23</v>
      </c>
      <c r="AH817">
        <v>27</v>
      </c>
      <c r="AI817">
        <v>31</v>
      </c>
      <c r="AJ817">
        <v>1</v>
      </c>
      <c r="AK817">
        <v>33</v>
      </c>
      <c r="AL817" t="s">
        <v>240</v>
      </c>
      <c r="AM817" t="s">
        <v>241</v>
      </c>
      <c r="AN817" t="s">
        <v>242</v>
      </c>
      <c r="AO817" t="s">
        <v>1988</v>
      </c>
      <c r="AP817" t="s">
        <v>14255</v>
      </c>
      <c r="AQ817" t="s">
        <v>74</v>
      </c>
      <c r="AR817" t="s">
        <v>1989</v>
      </c>
      <c r="AS817" t="s">
        <v>1990</v>
      </c>
      <c r="AT817" t="s">
        <v>14256</v>
      </c>
      <c r="AU817">
        <v>2010</v>
      </c>
      <c r="AV817">
        <v>37</v>
      </c>
      <c r="AW817" t="s">
        <v>74</v>
      </c>
      <c r="AX817" t="s">
        <v>74</v>
      </c>
      <c r="AY817" t="s">
        <v>74</v>
      </c>
      <c r="AZ817" t="s">
        <v>74</v>
      </c>
      <c r="BA817" t="s">
        <v>74</v>
      </c>
      <c r="BB817" t="s">
        <v>74</v>
      </c>
      <c r="BC817" t="s">
        <v>74</v>
      </c>
      <c r="BD817" t="s">
        <v>14257</v>
      </c>
      <c r="BE817" t="s">
        <v>14258</v>
      </c>
      <c r="BF817" t="str">
        <f>HYPERLINK("http://dx.doi.org/10.1029/2010GL045202","http://dx.doi.org/10.1029/2010GL045202")</f>
        <v>http://dx.doi.org/10.1029/2010GL045202</v>
      </c>
      <c r="BG817" t="s">
        <v>74</v>
      </c>
      <c r="BH817" t="s">
        <v>74</v>
      </c>
      <c r="BI817">
        <v>5</v>
      </c>
      <c r="BJ817" t="s">
        <v>396</v>
      </c>
      <c r="BK817" t="s">
        <v>100</v>
      </c>
      <c r="BL817" t="s">
        <v>397</v>
      </c>
      <c r="BM817" t="s">
        <v>14259</v>
      </c>
      <c r="BN817" t="s">
        <v>74</v>
      </c>
      <c r="BO817" t="s">
        <v>14260</v>
      </c>
      <c r="BP817" t="s">
        <v>74</v>
      </c>
      <c r="BQ817" t="s">
        <v>74</v>
      </c>
      <c r="BR817" t="s">
        <v>103</v>
      </c>
      <c r="BS817" t="s">
        <v>14261</v>
      </c>
      <c r="BT817" t="str">
        <f>HYPERLINK("https%3A%2F%2Fwww.webofscience.com%2Fwos%2Fwoscc%2Ffull-record%2FWOS:000285015100003","View Full Record in Web of Science")</f>
        <v>View Full Record in Web of Science</v>
      </c>
    </row>
    <row r="818" spans="1:72" x14ac:dyDescent="0.15">
      <c r="A818" t="s">
        <v>72</v>
      </c>
      <c r="B818" t="s">
        <v>14262</v>
      </c>
      <c r="C818" t="s">
        <v>74</v>
      </c>
      <c r="D818" t="s">
        <v>74</v>
      </c>
      <c r="E818" t="s">
        <v>74</v>
      </c>
      <c r="F818" t="s">
        <v>14263</v>
      </c>
      <c r="G818" t="s">
        <v>74</v>
      </c>
      <c r="H818" t="s">
        <v>74</v>
      </c>
      <c r="I818" t="s">
        <v>14264</v>
      </c>
      <c r="J818" t="s">
        <v>1957</v>
      </c>
      <c r="K818" t="s">
        <v>74</v>
      </c>
      <c r="L818" t="s">
        <v>74</v>
      </c>
      <c r="M818" t="s">
        <v>78</v>
      </c>
      <c r="N818" t="s">
        <v>10280</v>
      </c>
      <c r="O818" t="s">
        <v>74</v>
      </c>
      <c r="P818" t="s">
        <v>74</v>
      </c>
      <c r="Q818" t="s">
        <v>74</v>
      </c>
      <c r="R818" t="s">
        <v>74</v>
      </c>
      <c r="S818" t="s">
        <v>74</v>
      </c>
      <c r="T818" t="s">
        <v>74</v>
      </c>
      <c r="U818" t="s">
        <v>14265</v>
      </c>
      <c r="V818" t="s">
        <v>74</v>
      </c>
      <c r="W818" t="s">
        <v>14266</v>
      </c>
      <c r="X818" t="s">
        <v>14267</v>
      </c>
      <c r="Y818" t="s">
        <v>14268</v>
      </c>
      <c r="Z818" t="s">
        <v>14269</v>
      </c>
      <c r="AA818" t="s">
        <v>14270</v>
      </c>
      <c r="AB818" t="s">
        <v>14271</v>
      </c>
      <c r="AC818" t="s">
        <v>14272</v>
      </c>
      <c r="AD818" t="s">
        <v>2610</v>
      </c>
      <c r="AE818" t="s">
        <v>74</v>
      </c>
      <c r="AF818" t="s">
        <v>74</v>
      </c>
      <c r="AG818">
        <v>13</v>
      </c>
      <c r="AH818">
        <v>17</v>
      </c>
      <c r="AI818">
        <v>20</v>
      </c>
      <c r="AJ818">
        <v>0</v>
      </c>
      <c r="AK818">
        <v>36</v>
      </c>
      <c r="AL818" t="s">
        <v>1969</v>
      </c>
      <c r="AM818" t="s">
        <v>241</v>
      </c>
      <c r="AN818" t="s">
        <v>1970</v>
      </c>
      <c r="AO818" t="s">
        <v>1971</v>
      </c>
      <c r="AP818" t="s">
        <v>1972</v>
      </c>
      <c r="AQ818" t="s">
        <v>74</v>
      </c>
      <c r="AR818" t="s">
        <v>1957</v>
      </c>
      <c r="AS818" t="s">
        <v>1973</v>
      </c>
      <c r="AT818" t="s">
        <v>14256</v>
      </c>
      <c r="AU818">
        <v>2010</v>
      </c>
      <c r="AV818">
        <v>330</v>
      </c>
      <c r="AW818">
        <v>6009</v>
      </c>
      <c r="AX818" t="s">
        <v>74</v>
      </c>
      <c r="AY818" t="s">
        <v>74</v>
      </c>
      <c r="AZ818" t="s">
        <v>74</v>
      </c>
      <c r="BA818" t="s">
        <v>74</v>
      </c>
      <c r="BB818">
        <v>1316</v>
      </c>
      <c r="BC818">
        <v>1316</v>
      </c>
      <c r="BD818" t="s">
        <v>74</v>
      </c>
      <c r="BE818" t="s">
        <v>14273</v>
      </c>
      <c r="BF818" t="str">
        <f>HYPERLINK("http://dx.doi.org/10.1126/science.330.6009.1316","http://dx.doi.org/10.1126/science.330.6009.1316")</f>
        <v>http://dx.doi.org/10.1126/science.330.6009.1316</v>
      </c>
      <c r="BG818" t="s">
        <v>74</v>
      </c>
      <c r="BH818" t="s">
        <v>74</v>
      </c>
      <c r="BI818">
        <v>1</v>
      </c>
      <c r="BJ818" t="s">
        <v>1669</v>
      </c>
      <c r="BK818" t="s">
        <v>100</v>
      </c>
      <c r="BL818" t="s">
        <v>1670</v>
      </c>
      <c r="BM818" t="s">
        <v>14274</v>
      </c>
      <c r="BN818">
        <v>21127229</v>
      </c>
      <c r="BO818" t="s">
        <v>74</v>
      </c>
      <c r="BP818" t="s">
        <v>74</v>
      </c>
      <c r="BQ818" t="s">
        <v>74</v>
      </c>
      <c r="BR818" t="s">
        <v>103</v>
      </c>
      <c r="BS818" t="s">
        <v>14275</v>
      </c>
      <c r="BT818" t="str">
        <f>HYPERLINK("https%3A%2F%2Fwww.webofscience.com%2Fwos%2Fwoscc%2Ffull-record%2FWOS:000284902100008","View Full Record in Web of Science")</f>
        <v>View Full Record in Web of Science</v>
      </c>
    </row>
    <row r="819" spans="1:72" x14ac:dyDescent="0.15">
      <c r="A819" t="s">
        <v>72</v>
      </c>
      <c r="B819" t="s">
        <v>14276</v>
      </c>
      <c r="C819" t="s">
        <v>74</v>
      </c>
      <c r="D819" t="s">
        <v>74</v>
      </c>
      <c r="E819" t="s">
        <v>74</v>
      </c>
      <c r="F819" t="s">
        <v>14277</v>
      </c>
      <c r="G819" t="s">
        <v>74</v>
      </c>
      <c r="H819" t="s">
        <v>74</v>
      </c>
      <c r="I819" t="s">
        <v>14278</v>
      </c>
      <c r="J819" t="s">
        <v>14279</v>
      </c>
      <c r="K819" t="s">
        <v>74</v>
      </c>
      <c r="L819" t="s">
        <v>74</v>
      </c>
      <c r="M819" t="s">
        <v>78</v>
      </c>
      <c r="N819" t="s">
        <v>79</v>
      </c>
      <c r="O819" t="s">
        <v>74</v>
      </c>
      <c r="P819" t="s">
        <v>74</v>
      </c>
      <c r="Q819" t="s">
        <v>74</v>
      </c>
      <c r="R819" t="s">
        <v>74</v>
      </c>
      <c r="S819" t="s">
        <v>74</v>
      </c>
      <c r="T819" t="s">
        <v>14280</v>
      </c>
      <c r="U819" t="s">
        <v>14281</v>
      </c>
      <c r="V819" t="s">
        <v>14282</v>
      </c>
      <c r="W819" t="s">
        <v>14283</v>
      </c>
      <c r="X819" t="s">
        <v>14284</v>
      </c>
      <c r="Y819" t="s">
        <v>14285</v>
      </c>
      <c r="Z819" t="s">
        <v>14286</v>
      </c>
      <c r="AA819" t="s">
        <v>14287</v>
      </c>
      <c r="AB819" t="s">
        <v>14288</v>
      </c>
      <c r="AC819" t="s">
        <v>14289</v>
      </c>
      <c r="AD819" t="s">
        <v>14290</v>
      </c>
      <c r="AE819" t="s">
        <v>14291</v>
      </c>
      <c r="AF819" t="s">
        <v>74</v>
      </c>
      <c r="AG819">
        <v>112</v>
      </c>
      <c r="AH819">
        <v>12</v>
      </c>
      <c r="AI819">
        <v>15</v>
      </c>
      <c r="AJ819">
        <v>0</v>
      </c>
      <c r="AK819">
        <v>11</v>
      </c>
      <c r="AL819" t="s">
        <v>767</v>
      </c>
      <c r="AM819" t="s">
        <v>640</v>
      </c>
      <c r="AN819" t="s">
        <v>768</v>
      </c>
      <c r="AO819" t="s">
        <v>14292</v>
      </c>
      <c r="AP819" t="s">
        <v>14293</v>
      </c>
      <c r="AQ819" t="s">
        <v>74</v>
      </c>
      <c r="AR819" t="s">
        <v>14279</v>
      </c>
      <c r="AS819" t="s">
        <v>14294</v>
      </c>
      <c r="AT819" t="s">
        <v>14256</v>
      </c>
      <c r="AU819">
        <v>2010</v>
      </c>
      <c r="AV819">
        <v>495</v>
      </c>
      <c r="AW819" t="s">
        <v>601</v>
      </c>
      <c r="AX819" t="s">
        <v>74</v>
      </c>
      <c r="AY819" t="s">
        <v>74</v>
      </c>
      <c r="AZ819" t="s">
        <v>74</v>
      </c>
      <c r="BA819" t="s">
        <v>74</v>
      </c>
      <c r="BB819">
        <v>269</v>
      </c>
      <c r="BC819">
        <v>297</v>
      </c>
      <c r="BD819" t="s">
        <v>74</v>
      </c>
      <c r="BE819" t="s">
        <v>14295</v>
      </c>
      <c r="BF819" t="str">
        <f>HYPERLINK("http://dx.doi.org/10.1016/j.tecto.2010.09.035","http://dx.doi.org/10.1016/j.tecto.2010.09.035")</f>
        <v>http://dx.doi.org/10.1016/j.tecto.2010.09.035</v>
      </c>
      <c r="BG819" t="s">
        <v>74</v>
      </c>
      <c r="BH819" t="s">
        <v>74</v>
      </c>
      <c r="BI819">
        <v>29</v>
      </c>
      <c r="BJ819" t="s">
        <v>774</v>
      </c>
      <c r="BK819" t="s">
        <v>100</v>
      </c>
      <c r="BL819" t="s">
        <v>774</v>
      </c>
      <c r="BM819" t="s">
        <v>14296</v>
      </c>
      <c r="BN819" t="s">
        <v>74</v>
      </c>
      <c r="BO819" t="s">
        <v>74</v>
      </c>
      <c r="BP819" t="s">
        <v>74</v>
      </c>
      <c r="BQ819" t="s">
        <v>74</v>
      </c>
      <c r="BR819" t="s">
        <v>103</v>
      </c>
      <c r="BS819" t="s">
        <v>14297</v>
      </c>
      <c r="BT819" t="str">
        <f>HYPERLINK("https%3A%2F%2Fwww.webofscience.com%2Fwos%2Fwoscc%2Ffull-record%2FWOS:000285864900010","View Full Record in Web of Science")</f>
        <v>View Full Record in Web of Science</v>
      </c>
    </row>
    <row r="820" spans="1:72" x14ac:dyDescent="0.15">
      <c r="A820" t="s">
        <v>72</v>
      </c>
      <c r="B820" t="s">
        <v>14298</v>
      </c>
      <c r="C820" t="s">
        <v>74</v>
      </c>
      <c r="D820" t="s">
        <v>74</v>
      </c>
      <c r="E820" t="s">
        <v>74</v>
      </c>
      <c r="F820" t="s">
        <v>14299</v>
      </c>
      <c r="G820" t="s">
        <v>74</v>
      </c>
      <c r="H820" t="s">
        <v>74</v>
      </c>
      <c r="I820" t="s">
        <v>14300</v>
      </c>
      <c r="J820" t="s">
        <v>1980</v>
      </c>
      <c r="K820" t="s">
        <v>74</v>
      </c>
      <c r="L820" t="s">
        <v>74</v>
      </c>
      <c r="M820" t="s">
        <v>78</v>
      </c>
      <c r="N820" t="s">
        <v>79</v>
      </c>
      <c r="O820" t="s">
        <v>74</v>
      </c>
      <c r="P820" t="s">
        <v>74</v>
      </c>
      <c r="Q820" t="s">
        <v>74</v>
      </c>
      <c r="R820" t="s">
        <v>74</v>
      </c>
      <c r="S820" t="s">
        <v>74</v>
      </c>
      <c r="T820" t="s">
        <v>74</v>
      </c>
      <c r="U820" t="s">
        <v>74</v>
      </c>
      <c r="V820" t="s">
        <v>14301</v>
      </c>
      <c r="W820" t="s">
        <v>14302</v>
      </c>
      <c r="X820" t="s">
        <v>14303</v>
      </c>
      <c r="Y820" t="s">
        <v>14304</v>
      </c>
      <c r="Z820" t="s">
        <v>14305</v>
      </c>
      <c r="AA820" t="s">
        <v>14306</v>
      </c>
      <c r="AB820" t="s">
        <v>14307</v>
      </c>
      <c r="AC820" t="s">
        <v>14308</v>
      </c>
      <c r="AD820" t="s">
        <v>6569</v>
      </c>
      <c r="AE820" t="s">
        <v>14309</v>
      </c>
      <c r="AF820" t="s">
        <v>74</v>
      </c>
      <c r="AG820">
        <v>12</v>
      </c>
      <c r="AH820">
        <v>37</v>
      </c>
      <c r="AI820">
        <v>39</v>
      </c>
      <c r="AJ820">
        <v>2</v>
      </c>
      <c r="AK820">
        <v>17</v>
      </c>
      <c r="AL820" t="s">
        <v>240</v>
      </c>
      <c r="AM820" t="s">
        <v>241</v>
      </c>
      <c r="AN820" t="s">
        <v>242</v>
      </c>
      <c r="AO820" t="s">
        <v>1988</v>
      </c>
      <c r="AP820" t="s">
        <v>74</v>
      </c>
      <c r="AQ820" t="s">
        <v>74</v>
      </c>
      <c r="AR820" t="s">
        <v>1989</v>
      </c>
      <c r="AS820" t="s">
        <v>1990</v>
      </c>
      <c r="AT820" t="s">
        <v>14310</v>
      </c>
      <c r="AU820">
        <v>2010</v>
      </c>
      <c r="AV820">
        <v>37</v>
      </c>
      <c r="AW820" t="s">
        <v>74</v>
      </c>
      <c r="AX820" t="s">
        <v>74</v>
      </c>
      <c r="AY820" t="s">
        <v>74</v>
      </c>
      <c r="AZ820" t="s">
        <v>74</v>
      </c>
      <c r="BA820" t="s">
        <v>74</v>
      </c>
      <c r="BB820" t="s">
        <v>74</v>
      </c>
      <c r="BC820" t="s">
        <v>74</v>
      </c>
      <c r="BD820" t="s">
        <v>14311</v>
      </c>
      <c r="BE820" t="s">
        <v>14312</v>
      </c>
      <c r="BF820" t="str">
        <f>HYPERLINK("http://dx.doi.org/10.1029/2010GL045386","http://dx.doi.org/10.1029/2010GL045386")</f>
        <v>http://dx.doi.org/10.1029/2010GL045386</v>
      </c>
      <c r="BG820" t="s">
        <v>74</v>
      </c>
      <c r="BH820" t="s">
        <v>74</v>
      </c>
      <c r="BI820">
        <v>5</v>
      </c>
      <c r="BJ820" t="s">
        <v>396</v>
      </c>
      <c r="BK820" t="s">
        <v>100</v>
      </c>
      <c r="BL820" t="s">
        <v>397</v>
      </c>
      <c r="BM820" t="s">
        <v>14313</v>
      </c>
      <c r="BN820" t="s">
        <v>74</v>
      </c>
      <c r="BO820" t="s">
        <v>9686</v>
      </c>
      <c r="BP820" t="s">
        <v>74</v>
      </c>
      <c r="BQ820" t="s">
        <v>74</v>
      </c>
      <c r="BR820" t="s">
        <v>103</v>
      </c>
      <c r="BS820" t="s">
        <v>14314</v>
      </c>
      <c r="BT820" t="str">
        <f>HYPERLINK("https%3A%2F%2Fwww.webofscience.com%2Fwos%2Fwoscc%2Ffull-record%2FWOS:000285014600001","View Full Record in Web of Science")</f>
        <v>View Full Record in Web of Science</v>
      </c>
    </row>
    <row r="821" spans="1:72" x14ac:dyDescent="0.15">
      <c r="A821" t="s">
        <v>72</v>
      </c>
      <c r="B821" t="s">
        <v>14315</v>
      </c>
      <c r="C821" t="s">
        <v>74</v>
      </c>
      <c r="D821" t="s">
        <v>74</v>
      </c>
      <c r="E821" t="s">
        <v>74</v>
      </c>
      <c r="F821" t="s">
        <v>14316</v>
      </c>
      <c r="G821" t="s">
        <v>74</v>
      </c>
      <c r="H821" t="s">
        <v>74</v>
      </c>
      <c r="I821" t="s">
        <v>14317</v>
      </c>
      <c r="J821" t="s">
        <v>1649</v>
      </c>
      <c r="K821" t="s">
        <v>74</v>
      </c>
      <c r="L821" t="s">
        <v>74</v>
      </c>
      <c r="M821" t="s">
        <v>78</v>
      </c>
      <c r="N821" t="s">
        <v>79</v>
      </c>
      <c r="O821" t="s">
        <v>74</v>
      </c>
      <c r="P821" t="s">
        <v>74</v>
      </c>
      <c r="Q821" t="s">
        <v>74</v>
      </c>
      <c r="R821" t="s">
        <v>74</v>
      </c>
      <c r="S821" t="s">
        <v>74</v>
      </c>
      <c r="T821" t="s">
        <v>74</v>
      </c>
      <c r="U821" t="s">
        <v>14318</v>
      </c>
      <c r="V821" t="s">
        <v>14319</v>
      </c>
      <c r="W821" t="s">
        <v>14320</v>
      </c>
      <c r="X821" t="s">
        <v>14321</v>
      </c>
      <c r="Y821" t="s">
        <v>14322</v>
      </c>
      <c r="Z821" t="s">
        <v>14323</v>
      </c>
      <c r="AA821" t="s">
        <v>14324</v>
      </c>
      <c r="AB821" t="s">
        <v>14325</v>
      </c>
      <c r="AC821" t="s">
        <v>14326</v>
      </c>
      <c r="AD821" t="s">
        <v>14327</v>
      </c>
      <c r="AE821" t="s">
        <v>14328</v>
      </c>
      <c r="AF821" t="s">
        <v>74</v>
      </c>
      <c r="AG821">
        <v>31</v>
      </c>
      <c r="AH821">
        <v>281</v>
      </c>
      <c r="AI821">
        <v>309</v>
      </c>
      <c r="AJ821">
        <v>3</v>
      </c>
      <c r="AK821">
        <v>108</v>
      </c>
      <c r="AL821" t="s">
        <v>1661</v>
      </c>
      <c r="AM821" t="s">
        <v>1662</v>
      </c>
      <c r="AN821" t="s">
        <v>1760</v>
      </c>
      <c r="AO821" t="s">
        <v>1664</v>
      </c>
      <c r="AP821" t="s">
        <v>74</v>
      </c>
      <c r="AQ821" t="s">
        <v>74</v>
      </c>
      <c r="AR821" t="s">
        <v>1649</v>
      </c>
      <c r="AS821" t="s">
        <v>1665</v>
      </c>
      <c r="AT821" t="s">
        <v>14310</v>
      </c>
      <c r="AU821">
        <v>2010</v>
      </c>
      <c r="AV821">
        <v>5</v>
      </c>
      <c r="AW821">
        <v>12</v>
      </c>
      <c r="AX821" t="s">
        <v>74</v>
      </c>
      <c r="AY821" t="s">
        <v>74</v>
      </c>
      <c r="AZ821" t="s">
        <v>74</v>
      </c>
      <c r="BA821" t="s">
        <v>74</v>
      </c>
      <c r="BB821" t="s">
        <v>74</v>
      </c>
      <c r="BC821" t="s">
        <v>74</v>
      </c>
      <c r="BD821" t="s">
        <v>14329</v>
      </c>
      <c r="BE821" t="s">
        <v>14330</v>
      </c>
      <c r="BF821" t="str">
        <f>HYPERLINK("http://dx.doi.org/10.1371/journal.pone.0015143","http://dx.doi.org/10.1371/journal.pone.0015143")</f>
        <v>http://dx.doi.org/10.1371/journal.pone.0015143</v>
      </c>
      <c r="BG821" t="s">
        <v>74</v>
      </c>
      <c r="BH821" t="s">
        <v>74</v>
      </c>
      <c r="BI821">
        <v>6</v>
      </c>
      <c r="BJ821" t="s">
        <v>1669</v>
      </c>
      <c r="BK821" t="s">
        <v>100</v>
      </c>
      <c r="BL821" t="s">
        <v>1670</v>
      </c>
      <c r="BM821" t="s">
        <v>14331</v>
      </c>
      <c r="BN821">
        <v>21151994</v>
      </c>
      <c r="BO821" t="s">
        <v>7759</v>
      </c>
      <c r="BP821" t="s">
        <v>74</v>
      </c>
      <c r="BQ821" t="s">
        <v>74</v>
      </c>
      <c r="BR821" t="s">
        <v>103</v>
      </c>
      <c r="BS821" t="s">
        <v>14332</v>
      </c>
      <c r="BT821" t="str">
        <f>HYPERLINK("https%3A%2F%2Fwww.webofscience.com%2Fwos%2Fwoscc%2Ffull-record%2FWOS:000284868000026","View Full Record in Web of Science")</f>
        <v>View Full Record in Web of Science</v>
      </c>
    </row>
    <row r="822" spans="1:72" x14ac:dyDescent="0.15">
      <c r="A822" t="s">
        <v>72</v>
      </c>
      <c r="B822" t="s">
        <v>14333</v>
      </c>
      <c r="C822" t="s">
        <v>74</v>
      </c>
      <c r="D822" t="s">
        <v>74</v>
      </c>
      <c r="E822" t="s">
        <v>74</v>
      </c>
      <c r="F822" t="s">
        <v>14334</v>
      </c>
      <c r="G822" t="s">
        <v>74</v>
      </c>
      <c r="H822" t="s">
        <v>74</v>
      </c>
      <c r="I822" t="s">
        <v>14335</v>
      </c>
      <c r="J822" t="s">
        <v>77</v>
      </c>
      <c r="K822" t="s">
        <v>74</v>
      </c>
      <c r="L822" t="s">
        <v>74</v>
      </c>
      <c r="M822" t="s">
        <v>78</v>
      </c>
      <c r="N822" t="s">
        <v>79</v>
      </c>
      <c r="O822" t="s">
        <v>74</v>
      </c>
      <c r="P822" t="s">
        <v>74</v>
      </c>
      <c r="Q822" t="s">
        <v>74</v>
      </c>
      <c r="R822" t="s">
        <v>74</v>
      </c>
      <c r="S822" t="s">
        <v>74</v>
      </c>
      <c r="T822" t="s">
        <v>14336</v>
      </c>
      <c r="U822" t="s">
        <v>14337</v>
      </c>
      <c r="V822" t="s">
        <v>14338</v>
      </c>
      <c r="W822" t="s">
        <v>14339</v>
      </c>
      <c r="X822" t="s">
        <v>14340</v>
      </c>
      <c r="Y822" t="s">
        <v>14341</v>
      </c>
      <c r="Z822" t="s">
        <v>14342</v>
      </c>
      <c r="AA822" t="s">
        <v>14343</v>
      </c>
      <c r="AB822" t="s">
        <v>14344</v>
      </c>
      <c r="AC822" t="s">
        <v>14345</v>
      </c>
      <c r="AD822" t="s">
        <v>14345</v>
      </c>
      <c r="AE822" t="s">
        <v>14346</v>
      </c>
      <c r="AF822" t="s">
        <v>74</v>
      </c>
      <c r="AG822">
        <v>49</v>
      </c>
      <c r="AH822">
        <v>10</v>
      </c>
      <c r="AI822">
        <v>11</v>
      </c>
      <c r="AJ822">
        <v>1</v>
      </c>
      <c r="AK822">
        <v>4</v>
      </c>
      <c r="AL822" t="s">
        <v>90</v>
      </c>
      <c r="AM822" t="s">
        <v>91</v>
      </c>
      <c r="AN822" t="s">
        <v>92</v>
      </c>
      <c r="AO822" t="s">
        <v>93</v>
      </c>
      <c r="AP822" t="s">
        <v>94</v>
      </c>
      <c r="AQ822" t="s">
        <v>74</v>
      </c>
      <c r="AR822" t="s">
        <v>95</v>
      </c>
      <c r="AS822" t="s">
        <v>96</v>
      </c>
      <c r="AT822" t="s">
        <v>14347</v>
      </c>
      <c r="AU822">
        <v>2010</v>
      </c>
      <c r="AV822">
        <v>22</v>
      </c>
      <c r="AW822">
        <v>6</v>
      </c>
      <c r="AX822" t="s">
        <v>74</v>
      </c>
      <c r="AY822" t="s">
        <v>74</v>
      </c>
      <c r="AZ822" t="s">
        <v>967</v>
      </c>
      <c r="BA822" t="s">
        <v>74</v>
      </c>
      <c r="BB822">
        <v>805</v>
      </c>
      <c r="BC822">
        <v>814</v>
      </c>
      <c r="BD822" t="s">
        <v>74</v>
      </c>
      <c r="BE822" t="s">
        <v>14348</v>
      </c>
      <c r="BF822" t="str">
        <f>HYPERLINK("http://dx.doi.org/10.1017/S0954102010000660","http://dx.doi.org/10.1017/S0954102010000660")</f>
        <v>http://dx.doi.org/10.1017/S0954102010000660</v>
      </c>
      <c r="BG822" t="s">
        <v>74</v>
      </c>
      <c r="BH822" t="s">
        <v>74</v>
      </c>
      <c r="BI822">
        <v>10</v>
      </c>
      <c r="BJ822" t="s">
        <v>99</v>
      </c>
      <c r="BK822" t="s">
        <v>100</v>
      </c>
      <c r="BL822" t="s">
        <v>101</v>
      </c>
      <c r="BM822" t="s">
        <v>14349</v>
      </c>
      <c r="BN822" t="s">
        <v>74</v>
      </c>
      <c r="BO822" t="s">
        <v>74</v>
      </c>
      <c r="BP822" t="s">
        <v>74</v>
      </c>
      <c r="BQ822" t="s">
        <v>74</v>
      </c>
      <c r="BR822" t="s">
        <v>103</v>
      </c>
      <c r="BS822" t="s">
        <v>14350</v>
      </c>
      <c r="BT822" t="str">
        <f>HYPERLINK("https%3A%2F%2Fwww.webofscience.com%2Fwos%2Fwoscc%2Ffull-record%2FWOS:000285470300022","View Full Record in Web of Science")</f>
        <v>View Full Record in Web of Science</v>
      </c>
    </row>
    <row r="823" spans="1:72" x14ac:dyDescent="0.15">
      <c r="A823" t="s">
        <v>72</v>
      </c>
      <c r="B823" t="s">
        <v>14351</v>
      </c>
      <c r="C823" t="s">
        <v>74</v>
      </c>
      <c r="D823" t="s">
        <v>74</v>
      </c>
      <c r="E823" t="s">
        <v>74</v>
      </c>
      <c r="F823" t="s">
        <v>14352</v>
      </c>
      <c r="G823" t="s">
        <v>74</v>
      </c>
      <c r="H823" t="s">
        <v>74</v>
      </c>
      <c r="I823" t="s">
        <v>14353</v>
      </c>
      <c r="J823" t="s">
        <v>14354</v>
      </c>
      <c r="K823" t="s">
        <v>74</v>
      </c>
      <c r="L823" t="s">
        <v>74</v>
      </c>
      <c r="M823" t="s">
        <v>78</v>
      </c>
      <c r="N823" t="s">
        <v>79</v>
      </c>
      <c r="O823" t="s">
        <v>74</v>
      </c>
      <c r="P823" t="s">
        <v>74</v>
      </c>
      <c r="Q823" t="s">
        <v>74</v>
      </c>
      <c r="R823" t="s">
        <v>74</v>
      </c>
      <c r="S823" t="s">
        <v>74</v>
      </c>
      <c r="T823" t="s">
        <v>14355</v>
      </c>
      <c r="U823" t="s">
        <v>14356</v>
      </c>
      <c r="V823" t="s">
        <v>14357</v>
      </c>
      <c r="W823" t="s">
        <v>14358</v>
      </c>
      <c r="X823" t="s">
        <v>14359</v>
      </c>
      <c r="Y823" t="s">
        <v>14360</v>
      </c>
      <c r="Z823" t="s">
        <v>14361</v>
      </c>
      <c r="AA823" t="s">
        <v>74</v>
      </c>
      <c r="AB823" t="s">
        <v>14362</v>
      </c>
      <c r="AC823" t="s">
        <v>14363</v>
      </c>
      <c r="AD823" t="s">
        <v>14363</v>
      </c>
      <c r="AE823" t="s">
        <v>14364</v>
      </c>
      <c r="AF823" t="s">
        <v>74</v>
      </c>
      <c r="AG823">
        <v>58</v>
      </c>
      <c r="AH823">
        <v>16</v>
      </c>
      <c r="AI823">
        <v>23</v>
      </c>
      <c r="AJ823">
        <v>0</v>
      </c>
      <c r="AK823">
        <v>4</v>
      </c>
      <c r="AL823" t="s">
        <v>639</v>
      </c>
      <c r="AM823" t="s">
        <v>640</v>
      </c>
      <c r="AN823" t="s">
        <v>641</v>
      </c>
      <c r="AO823" t="s">
        <v>14365</v>
      </c>
      <c r="AP823" t="s">
        <v>14366</v>
      </c>
      <c r="AQ823" t="s">
        <v>74</v>
      </c>
      <c r="AR823" t="s">
        <v>14367</v>
      </c>
      <c r="AS823" t="s">
        <v>14368</v>
      </c>
      <c r="AT823" t="s">
        <v>14347</v>
      </c>
      <c r="AU823">
        <v>2010</v>
      </c>
      <c r="AV823">
        <v>77</v>
      </c>
      <c r="AW823" t="s">
        <v>601</v>
      </c>
      <c r="AX823" t="s">
        <v>74</v>
      </c>
      <c r="AY823" t="s">
        <v>74</v>
      </c>
      <c r="AZ823" t="s">
        <v>74</v>
      </c>
      <c r="BA823" t="s">
        <v>74</v>
      </c>
      <c r="BB823">
        <v>154</v>
      </c>
      <c r="BC823">
        <v>174</v>
      </c>
      <c r="BD823" t="s">
        <v>74</v>
      </c>
      <c r="BE823" t="s">
        <v>14369</v>
      </c>
      <c r="BF823" t="str">
        <f>HYPERLINK("http://dx.doi.org/10.1016/j.marmicro.2010.09.002","http://dx.doi.org/10.1016/j.marmicro.2010.09.002")</f>
        <v>http://dx.doi.org/10.1016/j.marmicro.2010.09.002</v>
      </c>
      <c r="BG823" t="s">
        <v>74</v>
      </c>
      <c r="BH823" t="s">
        <v>74</v>
      </c>
      <c r="BI823">
        <v>21</v>
      </c>
      <c r="BJ823" t="s">
        <v>5596</v>
      </c>
      <c r="BK823" t="s">
        <v>100</v>
      </c>
      <c r="BL823" t="s">
        <v>5596</v>
      </c>
      <c r="BM823" t="s">
        <v>14370</v>
      </c>
      <c r="BN823" t="s">
        <v>74</v>
      </c>
      <c r="BO823" t="s">
        <v>74</v>
      </c>
      <c r="BP823" t="s">
        <v>74</v>
      </c>
      <c r="BQ823" t="s">
        <v>74</v>
      </c>
      <c r="BR823" t="s">
        <v>103</v>
      </c>
      <c r="BS823" t="s">
        <v>14371</v>
      </c>
      <c r="BT823" t="str">
        <f>HYPERLINK("https%3A%2F%2Fwww.webofscience.com%2Fwos%2Fwoscc%2Ffull-record%2FWOS:000285233100007","View Full Record in Web of Science")</f>
        <v>View Full Record in Web of Science</v>
      </c>
    </row>
    <row r="824" spans="1:72" x14ac:dyDescent="0.15">
      <c r="A824" t="s">
        <v>72</v>
      </c>
      <c r="B824" t="s">
        <v>14372</v>
      </c>
      <c r="C824" t="s">
        <v>74</v>
      </c>
      <c r="D824" t="s">
        <v>74</v>
      </c>
      <c r="E824" t="s">
        <v>74</v>
      </c>
      <c r="F824" t="s">
        <v>14373</v>
      </c>
      <c r="G824" t="s">
        <v>74</v>
      </c>
      <c r="H824" t="s">
        <v>74</v>
      </c>
      <c r="I824" t="s">
        <v>14374</v>
      </c>
      <c r="J824" t="s">
        <v>14375</v>
      </c>
      <c r="K824" t="s">
        <v>74</v>
      </c>
      <c r="L824" t="s">
        <v>74</v>
      </c>
      <c r="M824" t="s">
        <v>78</v>
      </c>
      <c r="N824" t="s">
        <v>79</v>
      </c>
      <c r="O824" t="s">
        <v>74</v>
      </c>
      <c r="P824" t="s">
        <v>74</v>
      </c>
      <c r="Q824" t="s">
        <v>74</v>
      </c>
      <c r="R824" t="s">
        <v>74</v>
      </c>
      <c r="S824" t="s">
        <v>74</v>
      </c>
      <c r="T824" t="s">
        <v>14376</v>
      </c>
      <c r="U824" t="s">
        <v>14377</v>
      </c>
      <c r="V824" t="s">
        <v>14378</v>
      </c>
      <c r="W824" t="s">
        <v>14379</v>
      </c>
      <c r="X824" t="s">
        <v>14380</v>
      </c>
      <c r="Y824" t="s">
        <v>14381</v>
      </c>
      <c r="Z824" t="s">
        <v>14382</v>
      </c>
      <c r="AA824" t="s">
        <v>74</v>
      </c>
      <c r="AB824" t="s">
        <v>14383</v>
      </c>
      <c r="AC824" t="s">
        <v>74</v>
      </c>
      <c r="AD824" t="s">
        <v>74</v>
      </c>
      <c r="AE824" t="s">
        <v>74</v>
      </c>
      <c r="AF824" t="s">
        <v>74</v>
      </c>
      <c r="AG824">
        <v>89</v>
      </c>
      <c r="AH824">
        <v>10</v>
      </c>
      <c r="AI824">
        <v>10</v>
      </c>
      <c r="AJ824">
        <v>1</v>
      </c>
      <c r="AK824">
        <v>33</v>
      </c>
      <c r="AL824" t="s">
        <v>7667</v>
      </c>
      <c r="AM824" t="s">
        <v>913</v>
      </c>
      <c r="AN824" t="s">
        <v>7668</v>
      </c>
      <c r="AO824" t="s">
        <v>14384</v>
      </c>
      <c r="AP824" t="s">
        <v>14385</v>
      </c>
      <c r="AQ824" t="s">
        <v>74</v>
      </c>
      <c r="AR824" t="s">
        <v>14386</v>
      </c>
      <c r="AS824" t="s">
        <v>14387</v>
      </c>
      <c r="AT824" t="s">
        <v>14347</v>
      </c>
      <c r="AU824">
        <v>2010</v>
      </c>
      <c r="AV824">
        <v>34</v>
      </c>
      <c r="AW824">
        <v>6</v>
      </c>
      <c r="AX824" t="s">
        <v>74</v>
      </c>
      <c r="AY824" t="s">
        <v>74</v>
      </c>
      <c r="AZ824" t="s">
        <v>74</v>
      </c>
      <c r="BA824" t="s">
        <v>74</v>
      </c>
      <c r="BB824">
        <v>845</v>
      </c>
      <c r="BC824">
        <v>856</v>
      </c>
      <c r="BD824" t="s">
        <v>74</v>
      </c>
      <c r="BE824" t="s">
        <v>14388</v>
      </c>
      <c r="BF824" t="str">
        <f>HYPERLINK("http://dx.doi.org/10.1177/0309133310386869","http://dx.doi.org/10.1177/0309133310386869")</f>
        <v>http://dx.doi.org/10.1177/0309133310386869</v>
      </c>
      <c r="BG824" t="s">
        <v>74</v>
      </c>
      <c r="BH824" t="s">
        <v>74</v>
      </c>
      <c r="BI824">
        <v>12</v>
      </c>
      <c r="BJ824" t="s">
        <v>222</v>
      </c>
      <c r="BK824" t="s">
        <v>100</v>
      </c>
      <c r="BL824" t="s">
        <v>223</v>
      </c>
      <c r="BM824" t="s">
        <v>14389</v>
      </c>
      <c r="BN824" t="s">
        <v>74</v>
      </c>
      <c r="BO824" t="s">
        <v>74</v>
      </c>
      <c r="BP824" t="s">
        <v>74</v>
      </c>
      <c r="BQ824" t="s">
        <v>74</v>
      </c>
      <c r="BR824" t="s">
        <v>103</v>
      </c>
      <c r="BS824" t="s">
        <v>14390</v>
      </c>
      <c r="BT824" t="str">
        <f>HYPERLINK("https%3A%2F%2Fwww.webofscience.com%2Fwos%2Fwoscc%2Ffull-record%2FWOS:000285245300006","View Full Record in Web of Science")</f>
        <v>View Full Record in Web of Science</v>
      </c>
    </row>
    <row r="825" spans="1:72" x14ac:dyDescent="0.15">
      <c r="A825" t="s">
        <v>72</v>
      </c>
      <c r="B825" t="s">
        <v>14391</v>
      </c>
      <c r="C825" t="s">
        <v>74</v>
      </c>
      <c r="D825" t="s">
        <v>74</v>
      </c>
      <c r="E825" t="s">
        <v>74</v>
      </c>
      <c r="F825" t="s">
        <v>14392</v>
      </c>
      <c r="G825" t="s">
        <v>74</v>
      </c>
      <c r="H825" t="s">
        <v>74</v>
      </c>
      <c r="I825" t="s">
        <v>14393</v>
      </c>
      <c r="J825" t="s">
        <v>14394</v>
      </c>
      <c r="K825" t="s">
        <v>74</v>
      </c>
      <c r="L825" t="s">
        <v>74</v>
      </c>
      <c r="M825" t="s">
        <v>78</v>
      </c>
      <c r="N825" t="s">
        <v>6656</v>
      </c>
      <c r="O825" t="s">
        <v>74</v>
      </c>
      <c r="P825" t="s">
        <v>74</v>
      </c>
      <c r="Q825" t="s">
        <v>74</v>
      </c>
      <c r="R825" t="s">
        <v>74</v>
      </c>
      <c r="S825" t="s">
        <v>74</v>
      </c>
      <c r="T825" t="s">
        <v>74</v>
      </c>
      <c r="U825" t="s">
        <v>74</v>
      </c>
      <c r="V825" t="s">
        <v>74</v>
      </c>
      <c r="W825" t="s">
        <v>14395</v>
      </c>
      <c r="X825" t="s">
        <v>14396</v>
      </c>
      <c r="Y825" t="s">
        <v>12281</v>
      </c>
      <c r="Z825" t="s">
        <v>12282</v>
      </c>
      <c r="AA825" t="s">
        <v>12283</v>
      </c>
      <c r="AB825" t="s">
        <v>74</v>
      </c>
      <c r="AC825" t="s">
        <v>74</v>
      </c>
      <c r="AD825" t="s">
        <v>74</v>
      </c>
      <c r="AE825" t="s">
        <v>74</v>
      </c>
      <c r="AF825" t="s">
        <v>74</v>
      </c>
      <c r="AG825">
        <v>1</v>
      </c>
      <c r="AH825">
        <v>1</v>
      </c>
      <c r="AI825">
        <v>1</v>
      </c>
      <c r="AJ825">
        <v>0</v>
      </c>
      <c r="AK825">
        <v>3</v>
      </c>
      <c r="AL825" t="s">
        <v>639</v>
      </c>
      <c r="AM825" t="s">
        <v>640</v>
      </c>
      <c r="AN825" t="s">
        <v>641</v>
      </c>
      <c r="AO825" t="s">
        <v>14397</v>
      </c>
      <c r="AP825" t="s">
        <v>74</v>
      </c>
      <c r="AQ825" t="s">
        <v>74</v>
      </c>
      <c r="AR825" t="s">
        <v>14398</v>
      </c>
      <c r="AS825" t="s">
        <v>14399</v>
      </c>
      <c r="AT825" t="s">
        <v>14347</v>
      </c>
      <c r="AU825">
        <v>2010</v>
      </c>
      <c r="AV825">
        <v>11</v>
      </c>
      <c r="AW825">
        <v>4</v>
      </c>
      <c r="AX825" t="s">
        <v>74</v>
      </c>
      <c r="AY825" t="s">
        <v>74</v>
      </c>
      <c r="AZ825" t="s">
        <v>74</v>
      </c>
      <c r="BA825" t="s">
        <v>74</v>
      </c>
      <c r="BB825">
        <v>247</v>
      </c>
      <c r="BC825">
        <v>247</v>
      </c>
      <c r="BD825" t="s">
        <v>74</v>
      </c>
      <c r="BE825" t="s">
        <v>14400</v>
      </c>
      <c r="BF825" t="str">
        <f>HYPERLINK("http://dx.doi.org/10.1016/j.jphotochemrev.2011.03.001","http://dx.doi.org/10.1016/j.jphotochemrev.2011.03.001")</f>
        <v>http://dx.doi.org/10.1016/j.jphotochemrev.2011.03.001</v>
      </c>
      <c r="BG825" t="s">
        <v>74</v>
      </c>
      <c r="BH825" t="s">
        <v>74</v>
      </c>
      <c r="BI825">
        <v>1</v>
      </c>
      <c r="BJ825" t="s">
        <v>14401</v>
      </c>
      <c r="BK825" t="s">
        <v>100</v>
      </c>
      <c r="BL825" t="s">
        <v>5752</v>
      </c>
      <c r="BM825" t="s">
        <v>14402</v>
      </c>
      <c r="BN825" t="s">
        <v>74</v>
      </c>
      <c r="BO825" t="s">
        <v>74</v>
      </c>
      <c r="BP825" t="s">
        <v>74</v>
      </c>
      <c r="BQ825" t="s">
        <v>74</v>
      </c>
      <c r="BR825" t="s">
        <v>103</v>
      </c>
      <c r="BS825" t="s">
        <v>14403</v>
      </c>
      <c r="BT825" t="str">
        <f>HYPERLINK("https%3A%2F%2Fwww.webofscience.com%2Fwos%2Fwoscc%2Ffull-record%2FWOS:000290555300006","View Full Record in Web of Science")</f>
        <v>View Full Record in Web of Science</v>
      </c>
    </row>
    <row r="826" spans="1:72" x14ac:dyDescent="0.15">
      <c r="A826" t="s">
        <v>72</v>
      </c>
      <c r="B826" t="s">
        <v>14404</v>
      </c>
      <c r="C826" t="s">
        <v>74</v>
      </c>
      <c r="D826" t="s">
        <v>74</v>
      </c>
      <c r="E826" t="s">
        <v>74</v>
      </c>
      <c r="F826" t="s">
        <v>14405</v>
      </c>
      <c r="G826" t="s">
        <v>74</v>
      </c>
      <c r="H826" t="s">
        <v>74</v>
      </c>
      <c r="I826" t="s">
        <v>14406</v>
      </c>
      <c r="J826" t="s">
        <v>1284</v>
      </c>
      <c r="K826" t="s">
        <v>74</v>
      </c>
      <c r="L826" t="s">
        <v>74</v>
      </c>
      <c r="M826" t="s">
        <v>78</v>
      </c>
      <c r="N826" t="s">
        <v>79</v>
      </c>
      <c r="O826" t="s">
        <v>74</v>
      </c>
      <c r="P826" t="s">
        <v>74</v>
      </c>
      <c r="Q826" t="s">
        <v>74</v>
      </c>
      <c r="R826" t="s">
        <v>74</v>
      </c>
      <c r="S826" t="s">
        <v>74</v>
      </c>
      <c r="T826" t="s">
        <v>74</v>
      </c>
      <c r="U826" t="s">
        <v>74</v>
      </c>
      <c r="V826" t="s">
        <v>14407</v>
      </c>
      <c r="W826" t="s">
        <v>14408</v>
      </c>
      <c r="X826" t="s">
        <v>14409</v>
      </c>
      <c r="Y826" t="s">
        <v>14410</v>
      </c>
      <c r="Z826" t="s">
        <v>14411</v>
      </c>
      <c r="AA826" t="s">
        <v>74</v>
      </c>
      <c r="AB826" t="s">
        <v>74</v>
      </c>
      <c r="AC826" t="s">
        <v>74</v>
      </c>
      <c r="AD826" t="s">
        <v>74</v>
      </c>
      <c r="AE826" t="s">
        <v>74</v>
      </c>
      <c r="AF826" t="s">
        <v>74</v>
      </c>
      <c r="AG826">
        <v>12</v>
      </c>
      <c r="AH826">
        <v>4</v>
      </c>
      <c r="AI826">
        <v>4</v>
      </c>
      <c r="AJ826">
        <v>1</v>
      </c>
      <c r="AK826">
        <v>3</v>
      </c>
      <c r="AL826" t="s">
        <v>1234</v>
      </c>
      <c r="AM826" t="s">
        <v>91</v>
      </c>
      <c r="AN826" t="s">
        <v>1235</v>
      </c>
      <c r="AO826" t="s">
        <v>1295</v>
      </c>
      <c r="AP826" t="s">
        <v>74</v>
      </c>
      <c r="AQ826" t="s">
        <v>74</v>
      </c>
      <c r="AR826" t="s">
        <v>1296</v>
      </c>
      <c r="AS826" t="s">
        <v>1297</v>
      </c>
      <c r="AT826" t="s">
        <v>14347</v>
      </c>
      <c r="AU826">
        <v>2010</v>
      </c>
      <c r="AV826">
        <v>50</v>
      </c>
      <c r="AW826">
        <v>6</v>
      </c>
      <c r="AX826" t="s">
        <v>74</v>
      </c>
      <c r="AY826" t="s">
        <v>74</v>
      </c>
      <c r="AZ826" t="s">
        <v>74</v>
      </c>
      <c r="BA826" t="s">
        <v>74</v>
      </c>
      <c r="BB826">
        <v>861</v>
      </c>
      <c r="BC826">
        <v>868</v>
      </c>
      <c r="BD826" t="s">
        <v>74</v>
      </c>
      <c r="BE826" t="s">
        <v>14412</v>
      </c>
      <c r="BF826" t="str">
        <f>HYPERLINK("http://dx.doi.org/10.1134/S0001437010060056","http://dx.doi.org/10.1134/S0001437010060056")</f>
        <v>http://dx.doi.org/10.1134/S0001437010060056</v>
      </c>
      <c r="BG826" t="s">
        <v>74</v>
      </c>
      <c r="BH826" t="s">
        <v>74</v>
      </c>
      <c r="BI826">
        <v>8</v>
      </c>
      <c r="BJ826" t="s">
        <v>250</v>
      </c>
      <c r="BK826" t="s">
        <v>100</v>
      </c>
      <c r="BL826" t="s">
        <v>250</v>
      </c>
      <c r="BM826" t="s">
        <v>14413</v>
      </c>
      <c r="BN826" t="s">
        <v>74</v>
      </c>
      <c r="BO826" t="s">
        <v>74</v>
      </c>
      <c r="BP826" t="s">
        <v>74</v>
      </c>
      <c r="BQ826" t="s">
        <v>74</v>
      </c>
      <c r="BR826" t="s">
        <v>103</v>
      </c>
      <c r="BS826" t="s">
        <v>14414</v>
      </c>
      <c r="BT826" t="str">
        <f>HYPERLINK("https%3A%2F%2Fwww.webofscience.com%2Fwos%2Fwoscc%2Ffull-record%2FWOS:000288430600005","View Full Record in Web of Science")</f>
        <v>View Full Record in Web of Science</v>
      </c>
    </row>
    <row r="827" spans="1:72" x14ac:dyDescent="0.15">
      <c r="A827" t="s">
        <v>72</v>
      </c>
      <c r="B827" t="s">
        <v>14415</v>
      </c>
      <c r="C827" t="s">
        <v>74</v>
      </c>
      <c r="D827" t="s">
        <v>74</v>
      </c>
      <c r="E827" t="s">
        <v>74</v>
      </c>
      <c r="F827" t="s">
        <v>14416</v>
      </c>
      <c r="G827" t="s">
        <v>74</v>
      </c>
      <c r="H827" t="s">
        <v>74</v>
      </c>
      <c r="I827" t="s">
        <v>14417</v>
      </c>
      <c r="J827" t="s">
        <v>14418</v>
      </c>
      <c r="K827" t="s">
        <v>74</v>
      </c>
      <c r="L827" t="s">
        <v>74</v>
      </c>
      <c r="M827" t="s">
        <v>78</v>
      </c>
      <c r="N827" t="s">
        <v>79</v>
      </c>
      <c r="O827" t="s">
        <v>74</v>
      </c>
      <c r="P827" t="s">
        <v>74</v>
      </c>
      <c r="Q827" t="s">
        <v>74</v>
      </c>
      <c r="R827" t="s">
        <v>74</v>
      </c>
      <c r="S827" t="s">
        <v>74</v>
      </c>
      <c r="T827" t="s">
        <v>14419</v>
      </c>
      <c r="U827" t="s">
        <v>14420</v>
      </c>
      <c r="V827" t="s">
        <v>14421</v>
      </c>
      <c r="W827" t="s">
        <v>14422</v>
      </c>
      <c r="X827" t="s">
        <v>14423</v>
      </c>
      <c r="Y827" t="s">
        <v>14424</v>
      </c>
      <c r="Z827" t="s">
        <v>14425</v>
      </c>
      <c r="AA827" t="s">
        <v>74</v>
      </c>
      <c r="AB827" t="s">
        <v>74</v>
      </c>
      <c r="AC827" t="s">
        <v>14426</v>
      </c>
      <c r="AD827" t="s">
        <v>14427</v>
      </c>
      <c r="AE827" t="s">
        <v>14428</v>
      </c>
      <c r="AF827" t="s">
        <v>74</v>
      </c>
      <c r="AG827">
        <v>52</v>
      </c>
      <c r="AH827">
        <v>4</v>
      </c>
      <c r="AI827">
        <v>5</v>
      </c>
      <c r="AJ827">
        <v>2</v>
      </c>
      <c r="AK827">
        <v>21</v>
      </c>
      <c r="AL827" t="s">
        <v>14429</v>
      </c>
      <c r="AM827" t="s">
        <v>4403</v>
      </c>
      <c r="AN827" t="s">
        <v>14430</v>
      </c>
      <c r="AO827" t="s">
        <v>14431</v>
      </c>
      <c r="AP827" t="s">
        <v>14432</v>
      </c>
      <c r="AQ827" t="s">
        <v>74</v>
      </c>
      <c r="AR827" t="s">
        <v>14433</v>
      </c>
      <c r="AS827" t="s">
        <v>14434</v>
      </c>
      <c r="AT827" t="s">
        <v>14435</v>
      </c>
      <c r="AU827">
        <v>2010</v>
      </c>
      <c r="AV827">
        <v>45</v>
      </c>
      <c r="AW827">
        <v>2</v>
      </c>
      <c r="AX827" t="s">
        <v>74</v>
      </c>
      <c r="AY827" t="s">
        <v>74</v>
      </c>
      <c r="AZ827" t="s">
        <v>74</v>
      </c>
      <c r="BA827" t="s">
        <v>74</v>
      </c>
      <c r="BB827">
        <v>181</v>
      </c>
      <c r="BC827">
        <v>188</v>
      </c>
      <c r="BD827" t="s">
        <v>74</v>
      </c>
      <c r="BE827" t="s">
        <v>14436</v>
      </c>
      <c r="BF827" t="str">
        <f>HYPERLINK("http://dx.doi.org/10.3161/000164510X551327","http://dx.doi.org/10.3161/000164510X551327")</f>
        <v>http://dx.doi.org/10.3161/000164510X551327</v>
      </c>
      <c r="BG827" t="s">
        <v>74</v>
      </c>
      <c r="BH827" t="s">
        <v>74</v>
      </c>
      <c r="BI827">
        <v>8</v>
      </c>
      <c r="BJ827" t="s">
        <v>673</v>
      </c>
      <c r="BK827" t="s">
        <v>100</v>
      </c>
      <c r="BL827" t="s">
        <v>674</v>
      </c>
      <c r="BM827" t="s">
        <v>14437</v>
      </c>
      <c r="BN827" t="s">
        <v>74</v>
      </c>
      <c r="BO827" t="s">
        <v>74</v>
      </c>
      <c r="BP827" t="s">
        <v>74</v>
      </c>
      <c r="BQ827" t="s">
        <v>74</v>
      </c>
      <c r="BR827" t="s">
        <v>103</v>
      </c>
      <c r="BS827" t="s">
        <v>14438</v>
      </c>
      <c r="BT827" t="str">
        <f>HYPERLINK("https%3A%2F%2Fwww.webofscience.com%2Fwos%2Fwoscc%2Ffull-record%2FWOS:000286702200007","View Full Record in Web of Science")</f>
        <v>View Full Record in Web of Science</v>
      </c>
    </row>
    <row r="828" spans="1:72" x14ac:dyDescent="0.15">
      <c r="A828" t="s">
        <v>72</v>
      </c>
      <c r="B828" t="s">
        <v>14439</v>
      </c>
      <c r="C828" t="s">
        <v>74</v>
      </c>
      <c r="D828" t="s">
        <v>74</v>
      </c>
      <c r="E828" t="s">
        <v>74</v>
      </c>
      <c r="F828" t="s">
        <v>14440</v>
      </c>
      <c r="G828" t="s">
        <v>74</v>
      </c>
      <c r="H828" t="s">
        <v>74</v>
      </c>
      <c r="I828" t="s">
        <v>14441</v>
      </c>
      <c r="J828" t="s">
        <v>14442</v>
      </c>
      <c r="K828" t="s">
        <v>74</v>
      </c>
      <c r="L828" t="s">
        <v>74</v>
      </c>
      <c r="M828" t="s">
        <v>78</v>
      </c>
      <c r="N828" t="s">
        <v>79</v>
      </c>
      <c r="O828" t="s">
        <v>74</v>
      </c>
      <c r="P828" t="s">
        <v>74</v>
      </c>
      <c r="Q828" t="s">
        <v>74</v>
      </c>
      <c r="R828" t="s">
        <v>74</v>
      </c>
      <c r="S828" t="s">
        <v>74</v>
      </c>
      <c r="T828" t="s">
        <v>14443</v>
      </c>
      <c r="U828" t="s">
        <v>14444</v>
      </c>
      <c r="V828" t="s">
        <v>14445</v>
      </c>
      <c r="W828" t="s">
        <v>14446</v>
      </c>
      <c r="X828" t="s">
        <v>14447</v>
      </c>
      <c r="Y828" t="s">
        <v>14448</v>
      </c>
      <c r="Z828" t="s">
        <v>74</v>
      </c>
      <c r="AA828" t="s">
        <v>14449</v>
      </c>
      <c r="AB828" t="s">
        <v>74</v>
      </c>
      <c r="AC828" t="s">
        <v>14450</v>
      </c>
      <c r="AD828" t="s">
        <v>14451</v>
      </c>
      <c r="AE828" t="s">
        <v>14452</v>
      </c>
      <c r="AF828" t="s">
        <v>74</v>
      </c>
      <c r="AG828">
        <v>11</v>
      </c>
      <c r="AH828">
        <v>0</v>
      </c>
      <c r="AI828">
        <v>1</v>
      </c>
      <c r="AJ828">
        <v>0</v>
      </c>
      <c r="AK828">
        <v>3</v>
      </c>
      <c r="AL828" t="s">
        <v>14453</v>
      </c>
      <c r="AM828" t="s">
        <v>14454</v>
      </c>
      <c r="AN828" t="s">
        <v>14455</v>
      </c>
      <c r="AO828" t="s">
        <v>14456</v>
      </c>
      <c r="AP828" t="s">
        <v>74</v>
      </c>
      <c r="AQ828" t="s">
        <v>74</v>
      </c>
      <c r="AR828" t="s">
        <v>14457</v>
      </c>
      <c r="AS828" t="s">
        <v>14458</v>
      </c>
      <c r="AT828" t="s">
        <v>14347</v>
      </c>
      <c r="AU828">
        <v>2010</v>
      </c>
      <c r="AV828">
        <v>37</v>
      </c>
      <c r="AW828" t="s">
        <v>14459</v>
      </c>
      <c r="AX828" t="s">
        <v>74</v>
      </c>
      <c r="AY828" t="s">
        <v>74</v>
      </c>
      <c r="AZ828" t="s">
        <v>74</v>
      </c>
      <c r="BA828" t="s">
        <v>74</v>
      </c>
      <c r="BB828">
        <v>43</v>
      </c>
      <c r="BC828">
        <v>61</v>
      </c>
      <c r="BD828" t="s">
        <v>74</v>
      </c>
      <c r="BE828" t="s">
        <v>74</v>
      </c>
      <c r="BF828" t="s">
        <v>74</v>
      </c>
      <c r="BG828" t="s">
        <v>74</v>
      </c>
      <c r="BH828" t="s">
        <v>74</v>
      </c>
      <c r="BI828">
        <v>19</v>
      </c>
      <c r="BJ828" t="s">
        <v>1669</v>
      </c>
      <c r="BK828" t="s">
        <v>100</v>
      </c>
      <c r="BL828" t="s">
        <v>1670</v>
      </c>
      <c r="BM828" t="s">
        <v>14460</v>
      </c>
      <c r="BN828" t="s">
        <v>74</v>
      </c>
      <c r="BO828" t="s">
        <v>74</v>
      </c>
      <c r="BP828" t="s">
        <v>74</v>
      </c>
      <c r="BQ828" t="s">
        <v>74</v>
      </c>
      <c r="BR828" t="s">
        <v>103</v>
      </c>
      <c r="BS828" t="s">
        <v>14461</v>
      </c>
      <c r="BT828" t="str">
        <f>HYPERLINK("https%3A%2F%2Fwww.webofscience.com%2Fwos%2Fwoscc%2Ffull-record%2FWOS:000287433200004","View Full Record in Web of Science")</f>
        <v>View Full Record in Web of Science</v>
      </c>
    </row>
    <row r="829" spans="1:72" x14ac:dyDescent="0.15">
      <c r="A829" t="s">
        <v>72</v>
      </c>
      <c r="B829" t="s">
        <v>14462</v>
      </c>
      <c r="C829" t="s">
        <v>74</v>
      </c>
      <c r="D829" t="s">
        <v>74</v>
      </c>
      <c r="E829" t="s">
        <v>74</v>
      </c>
      <c r="F829" t="s">
        <v>14463</v>
      </c>
      <c r="G829" t="s">
        <v>74</v>
      </c>
      <c r="H829" t="s">
        <v>74</v>
      </c>
      <c r="I829" t="s">
        <v>14464</v>
      </c>
      <c r="J829" t="s">
        <v>11727</v>
      </c>
      <c r="K829" t="s">
        <v>74</v>
      </c>
      <c r="L829" t="s">
        <v>74</v>
      </c>
      <c r="M829" t="s">
        <v>78</v>
      </c>
      <c r="N829" t="s">
        <v>79</v>
      </c>
      <c r="O829" t="s">
        <v>74</v>
      </c>
      <c r="P829" t="s">
        <v>74</v>
      </c>
      <c r="Q829" t="s">
        <v>74</v>
      </c>
      <c r="R829" t="s">
        <v>74</v>
      </c>
      <c r="S829" t="s">
        <v>74</v>
      </c>
      <c r="T829" t="s">
        <v>14465</v>
      </c>
      <c r="U829" t="s">
        <v>14466</v>
      </c>
      <c r="V829" t="s">
        <v>14467</v>
      </c>
      <c r="W829" t="s">
        <v>14468</v>
      </c>
      <c r="X829" t="s">
        <v>14469</v>
      </c>
      <c r="Y829" t="s">
        <v>14470</v>
      </c>
      <c r="Z829" t="s">
        <v>14471</v>
      </c>
      <c r="AA829" t="s">
        <v>14472</v>
      </c>
      <c r="AB829" t="s">
        <v>74</v>
      </c>
      <c r="AC829" t="s">
        <v>14473</v>
      </c>
      <c r="AD829" t="s">
        <v>14474</v>
      </c>
      <c r="AE829" t="s">
        <v>14475</v>
      </c>
      <c r="AF829" t="s">
        <v>74</v>
      </c>
      <c r="AG829">
        <v>27</v>
      </c>
      <c r="AH829">
        <v>2</v>
      </c>
      <c r="AI829">
        <v>3</v>
      </c>
      <c r="AJ829">
        <v>2</v>
      </c>
      <c r="AK829">
        <v>12</v>
      </c>
      <c r="AL829" t="s">
        <v>11765</v>
      </c>
      <c r="AM829" t="s">
        <v>11766</v>
      </c>
      <c r="AN829" t="s">
        <v>11767</v>
      </c>
      <c r="AO829" t="s">
        <v>11743</v>
      </c>
      <c r="AP829" t="s">
        <v>11768</v>
      </c>
      <c r="AQ829" t="s">
        <v>74</v>
      </c>
      <c r="AR829" t="s">
        <v>11744</v>
      </c>
      <c r="AS829" t="s">
        <v>11745</v>
      </c>
      <c r="AT829" t="s">
        <v>14347</v>
      </c>
      <c r="AU829">
        <v>2010</v>
      </c>
      <c r="AV829">
        <v>29</v>
      </c>
      <c r="AW829">
        <v>3</v>
      </c>
      <c r="AX829" t="s">
        <v>74</v>
      </c>
      <c r="AY829" t="s">
        <v>74</v>
      </c>
      <c r="AZ829" t="s">
        <v>74</v>
      </c>
      <c r="BA829" t="s">
        <v>74</v>
      </c>
      <c r="BB829">
        <v>322</v>
      </c>
      <c r="BC829">
        <v>329</v>
      </c>
      <c r="BD829" t="s">
        <v>74</v>
      </c>
      <c r="BE829" t="s">
        <v>14476</v>
      </c>
      <c r="BF829" t="str">
        <f>HYPERLINK("http://dx.doi.org/10.1111/j.1751-8369.2010.00166.x","http://dx.doi.org/10.1111/j.1751-8369.2010.00166.x")</f>
        <v>http://dx.doi.org/10.1111/j.1751-8369.2010.00166.x</v>
      </c>
      <c r="BG829" t="s">
        <v>74</v>
      </c>
      <c r="BH829" t="s">
        <v>74</v>
      </c>
      <c r="BI829">
        <v>8</v>
      </c>
      <c r="BJ829" t="s">
        <v>11747</v>
      </c>
      <c r="BK829" t="s">
        <v>100</v>
      </c>
      <c r="BL829" t="s">
        <v>3774</v>
      </c>
      <c r="BM829" t="s">
        <v>14477</v>
      </c>
      <c r="BN829" t="s">
        <v>74</v>
      </c>
      <c r="BO829" t="s">
        <v>1744</v>
      </c>
      <c r="BP829" t="s">
        <v>74</v>
      </c>
      <c r="BQ829" t="s">
        <v>74</v>
      </c>
      <c r="BR829" t="s">
        <v>103</v>
      </c>
      <c r="BS829" t="s">
        <v>14478</v>
      </c>
      <c r="BT829" t="str">
        <f>HYPERLINK("https%3A%2F%2Fwww.webofscience.com%2Fwos%2Fwoscc%2Ffull-record%2FWOS:000285685000007","View Full Record in Web of Science")</f>
        <v>View Full Record in Web of Science</v>
      </c>
    </row>
    <row r="830" spans="1:72" x14ac:dyDescent="0.15">
      <c r="A830" t="s">
        <v>72</v>
      </c>
      <c r="B830" t="s">
        <v>14479</v>
      </c>
      <c r="C830" t="s">
        <v>74</v>
      </c>
      <c r="D830" t="s">
        <v>74</v>
      </c>
      <c r="E830" t="s">
        <v>74</v>
      </c>
      <c r="F830" t="s">
        <v>14480</v>
      </c>
      <c r="G830" t="s">
        <v>74</v>
      </c>
      <c r="H830" t="s">
        <v>74</v>
      </c>
      <c r="I830" t="s">
        <v>14481</v>
      </c>
      <c r="J830" t="s">
        <v>1516</v>
      </c>
      <c r="K830" t="s">
        <v>74</v>
      </c>
      <c r="L830" t="s">
        <v>74</v>
      </c>
      <c r="M830" t="s">
        <v>78</v>
      </c>
      <c r="N830" t="s">
        <v>79</v>
      </c>
      <c r="O830" t="s">
        <v>74</v>
      </c>
      <c r="P830" t="s">
        <v>74</v>
      </c>
      <c r="Q830" t="s">
        <v>74</v>
      </c>
      <c r="R830" t="s">
        <v>74</v>
      </c>
      <c r="S830" t="s">
        <v>74</v>
      </c>
      <c r="T830" t="s">
        <v>74</v>
      </c>
      <c r="U830" t="s">
        <v>74</v>
      </c>
      <c r="V830" t="s">
        <v>14482</v>
      </c>
      <c r="W830" t="s">
        <v>4513</v>
      </c>
      <c r="X830" t="s">
        <v>3681</v>
      </c>
      <c r="Y830" t="s">
        <v>14483</v>
      </c>
      <c r="Z830" t="s">
        <v>74</v>
      </c>
      <c r="AA830" t="s">
        <v>74</v>
      </c>
      <c r="AB830" t="s">
        <v>74</v>
      </c>
      <c r="AC830" t="s">
        <v>74</v>
      </c>
      <c r="AD830" t="s">
        <v>74</v>
      </c>
      <c r="AE830" t="s">
        <v>74</v>
      </c>
      <c r="AF830" t="s">
        <v>74</v>
      </c>
      <c r="AG830">
        <v>12</v>
      </c>
      <c r="AH830">
        <v>0</v>
      </c>
      <c r="AI830">
        <v>0</v>
      </c>
      <c r="AJ830">
        <v>2</v>
      </c>
      <c r="AK830">
        <v>12</v>
      </c>
      <c r="AL830" t="s">
        <v>1520</v>
      </c>
      <c r="AM830" t="s">
        <v>91</v>
      </c>
      <c r="AN830" t="s">
        <v>1521</v>
      </c>
      <c r="AO830" t="s">
        <v>1522</v>
      </c>
      <c r="AP830" t="s">
        <v>74</v>
      </c>
      <c r="AQ830" t="s">
        <v>74</v>
      </c>
      <c r="AR830" t="s">
        <v>1523</v>
      </c>
      <c r="AS830" t="s">
        <v>1524</v>
      </c>
      <c r="AT830" t="s">
        <v>14347</v>
      </c>
      <c r="AU830">
        <v>2010</v>
      </c>
      <c r="AV830">
        <v>35</v>
      </c>
      <c r="AW830">
        <v>12</v>
      </c>
      <c r="AX830" t="s">
        <v>74</v>
      </c>
      <c r="AY830" t="s">
        <v>74</v>
      </c>
      <c r="AZ830" t="s">
        <v>74</v>
      </c>
      <c r="BA830" t="s">
        <v>74</v>
      </c>
      <c r="BB830">
        <v>823</v>
      </c>
      <c r="BC830">
        <v>831</v>
      </c>
      <c r="BD830" t="s">
        <v>74</v>
      </c>
      <c r="BE830" t="s">
        <v>14484</v>
      </c>
      <c r="BF830" t="str">
        <f>HYPERLINK("http://dx.doi.org/10.3103/S106837391012006X","http://dx.doi.org/10.3103/S106837391012006X")</f>
        <v>http://dx.doi.org/10.3103/S106837391012006X</v>
      </c>
      <c r="BG830" t="s">
        <v>74</v>
      </c>
      <c r="BH830" t="s">
        <v>74</v>
      </c>
      <c r="BI830">
        <v>9</v>
      </c>
      <c r="BJ830" t="s">
        <v>603</v>
      </c>
      <c r="BK830" t="s">
        <v>100</v>
      </c>
      <c r="BL830" t="s">
        <v>603</v>
      </c>
      <c r="BM830" t="s">
        <v>14485</v>
      </c>
      <c r="BN830" t="s">
        <v>74</v>
      </c>
      <c r="BO830" t="s">
        <v>74</v>
      </c>
      <c r="BP830" t="s">
        <v>74</v>
      </c>
      <c r="BQ830" t="s">
        <v>74</v>
      </c>
      <c r="BR830" t="s">
        <v>103</v>
      </c>
      <c r="BS830" t="s">
        <v>14486</v>
      </c>
      <c r="BT830" t="str">
        <f>HYPERLINK("https%3A%2F%2Fwww.webofscience.com%2Fwos%2Fwoscc%2Ffull-record%2FWOS:000286984400006","View Full Record in Web of Science")</f>
        <v>View Full Record in Web of Science</v>
      </c>
    </row>
    <row r="831" spans="1:72" x14ac:dyDescent="0.15">
      <c r="A831" t="s">
        <v>72</v>
      </c>
      <c r="B831" t="s">
        <v>14487</v>
      </c>
      <c r="C831" t="s">
        <v>74</v>
      </c>
      <c r="D831" t="s">
        <v>74</v>
      </c>
      <c r="E831" t="s">
        <v>74</v>
      </c>
      <c r="F831" t="s">
        <v>14488</v>
      </c>
      <c r="G831" t="s">
        <v>74</v>
      </c>
      <c r="H831" t="s">
        <v>74</v>
      </c>
      <c r="I831" t="s">
        <v>14489</v>
      </c>
      <c r="J831" t="s">
        <v>754</v>
      </c>
      <c r="K831" t="s">
        <v>74</v>
      </c>
      <c r="L831" t="s">
        <v>74</v>
      </c>
      <c r="M831" t="s">
        <v>78</v>
      </c>
      <c r="N831" t="s">
        <v>79</v>
      </c>
      <c r="O831" t="s">
        <v>74</v>
      </c>
      <c r="P831" t="s">
        <v>74</v>
      </c>
      <c r="Q831" t="s">
        <v>74</v>
      </c>
      <c r="R831" t="s">
        <v>74</v>
      </c>
      <c r="S831" t="s">
        <v>74</v>
      </c>
      <c r="T831" t="s">
        <v>14490</v>
      </c>
      <c r="U831" t="s">
        <v>14491</v>
      </c>
      <c r="V831" t="s">
        <v>14492</v>
      </c>
      <c r="W831" t="s">
        <v>14493</v>
      </c>
      <c r="X831" t="s">
        <v>14494</v>
      </c>
      <c r="Y831" t="s">
        <v>14495</v>
      </c>
      <c r="Z831" t="s">
        <v>14496</v>
      </c>
      <c r="AA831" t="s">
        <v>74</v>
      </c>
      <c r="AB831" t="s">
        <v>74</v>
      </c>
      <c r="AC831" t="s">
        <v>14497</v>
      </c>
      <c r="AD831" t="s">
        <v>14498</v>
      </c>
      <c r="AE831" t="s">
        <v>14499</v>
      </c>
      <c r="AF831" t="s">
        <v>74</v>
      </c>
      <c r="AG831">
        <v>88</v>
      </c>
      <c r="AH831">
        <v>115</v>
      </c>
      <c r="AI831">
        <v>130</v>
      </c>
      <c r="AJ831">
        <v>13</v>
      </c>
      <c r="AK831">
        <v>96</v>
      </c>
      <c r="AL831" t="s">
        <v>767</v>
      </c>
      <c r="AM831" t="s">
        <v>640</v>
      </c>
      <c r="AN831" t="s">
        <v>768</v>
      </c>
      <c r="AO831" t="s">
        <v>769</v>
      </c>
      <c r="AP831" t="s">
        <v>770</v>
      </c>
      <c r="AQ831" t="s">
        <v>74</v>
      </c>
      <c r="AR831" t="s">
        <v>771</v>
      </c>
      <c r="AS831" t="s">
        <v>772</v>
      </c>
      <c r="AT831" t="s">
        <v>14500</v>
      </c>
      <c r="AU831">
        <v>2010</v>
      </c>
      <c r="AV831">
        <v>300</v>
      </c>
      <c r="AW831" t="s">
        <v>601</v>
      </c>
      <c r="AX831" t="s">
        <v>74</v>
      </c>
      <c r="AY831" t="s">
        <v>74</v>
      </c>
      <c r="AZ831" t="s">
        <v>74</v>
      </c>
      <c r="BA831" t="s">
        <v>74</v>
      </c>
      <c r="BB831">
        <v>329</v>
      </c>
      <c r="BC831">
        <v>342</v>
      </c>
      <c r="BD831" t="s">
        <v>74</v>
      </c>
      <c r="BE831" t="s">
        <v>14501</v>
      </c>
      <c r="BF831" t="str">
        <f>HYPERLINK("http://dx.doi.org/10.1016/j.epsl.2010.10.013","http://dx.doi.org/10.1016/j.epsl.2010.10.013")</f>
        <v>http://dx.doi.org/10.1016/j.epsl.2010.10.013</v>
      </c>
      <c r="BG831" t="s">
        <v>74</v>
      </c>
      <c r="BH831" t="s">
        <v>74</v>
      </c>
      <c r="BI831">
        <v>14</v>
      </c>
      <c r="BJ831" t="s">
        <v>774</v>
      </c>
      <c r="BK831" t="s">
        <v>100</v>
      </c>
      <c r="BL831" t="s">
        <v>774</v>
      </c>
      <c r="BM831" t="s">
        <v>14502</v>
      </c>
      <c r="BN831" t="s">
        <v>74</v>
      </c>
      <c r="BO831" t="s">
        <v>74</v>
      </c>
      <c r="BP831" t="s">
        <v>74</v>
      </c>
      <c r="BQ831" t="s">
        <v>74</v>
      </c>
      <c r="BR831" t="s">
        <v>103</v>
      </c>
      <c r="BS831" t="s">
        <v>14503</v>
      </c>
      <c r="BT831" t="str">
        <f>HYPERLINK("https%3A%2F%2Fwww.webofscience.com%2Fwos%2Fwoscc%2Ffull-record%2FWOS:000286284600015","View Full Record in Web of Science")</f>
        <v>View Full Record in Web of Science</v>
      </c>
    </row>
    <row r="832" spans="1:72" x14ac:dyDescent="0.15">
      <c r="A832" t="s">
        <v>72</v>
      </c>
      <c r="B832" t="s">
        <v>14504</v>
      </c>
      <c r="C832" t="s">
        <v>74</v>
      </c>
      <c r="D832" t="s">
        <v>74</v>
      </c>
      <c r="E832" t="s">
        <v>74</v>
      </c>
      <c r="F832" t="s">
        <v>14505</v>
      </c>
      <c r="G832" t="s">
        <v>74</v>
      </c>
      <c r="H832" t="s">
        <v>74</v>
      </c>
      <c r="I832" t="s">
        <v>14506</v>
      </c>
      <c r="J832" t="s">
        <v>14507</v>
      </c>
      <c r="K832" t="s">
        <v>74</v>
      </c>
      <c r="L832" t="s">
        <v>74</v>
      </c>
      <c r="M832" t="s">
        <v>78</v>
      </c>
      <c r="N832" t="s">
        <v>79</v>
      </c>
      <c r="O832" t="s">
        <v>74</v>
      </c>
      <c r="P832" t="s">
        <v>74</v>
      </c>
      <c r="Q832" t="s">
        <v>74</v>
      </c>
      <c r="R832" t="s">
        <v>74</v>
      </c>
      <c r="S832" t="s">
        <v>74</v>
      </c>
      <c r="T832" t="s">
        <v>14508</v>
      </c>
      <c r="U832" t="s">
        <v>14509</v>
      </c>
      <c r="V832" t="s">
        <v>14510</v>
      </c>
      <c r="W832" t="s">
        <v>14511</v>
      </c>
      <c r="X832" t="s">
        <v>14512</v>
      </c>
      <c r="Y832" t="s">
        <v>14513</v>
      </c>
      <c r="Z832" t="s">
        <v>14514</v>
      </c>
      <c r="AA832" t="s">
        <v>14515</v>
      </c>
      <c r="AB832" t="s">
        <v>14516</v>
      </c>
      <c r="AC832" t="s">
        <v>14517</v>
      </c>
      <c r="AD832" t="s">
        <v>14517</v>
      </c>
      <c r="AE832" t="s">
        <v>14518</v>
      </c>
      <c r="AF832" t="s">
        <v>74</v>
      </c>
      <c r="AG832">
        <v>23</v>
      </c>
      <c r="AH832">
        <v>15</v>
      </c>
      <c r="AI832">
        <v>19</v>
      </c>
      <c r="AJ832">
        <v>0</v>
      </c>
      <c r="AK832">
        <v>11</v>
      </c>
      <c r="AL832" t="s">
        <v>13488</v>
      </c>
      <c r="AM832" t="s">
        <v>13489</v>
      </c>
      <c r="AN832" t="s">
        <v>13490</v>
      </c>
      <c r="AO832" t="s">
        <v>14519</v>
      </c>
      <c r="AP832" t="s">
        <v>14520</v>
      </c>
      <c r="AQ832" t="s">
        <v>74</v>
      </c>
      <c r="AR832" t="s">
        <v>14521</v>
      </c>
      <c r="AS832" t="s">
        <v>14522</v>
      </c>
      <c r="AT832" t="s">
        <v>14347</v>
      </c>
      <c r="AU832">
        <v>2010</v>
      </c>
      <c r="AV832">
        <v>119</v>
      </c>
      <c r="AW832">
        <v>6</v>
      </c>
      <c r="AX832" t="s">
        <v>74</v>
      </c>
      <c r="AY832" t="s">
        <v>74</v>
      </c>
      <c r="AZ832" t="s">
        <v>74</v>
      </c>
      <c r="BA832" t="s">
        <v>74</v>
      </c>
      <c r="BB832">
        <v>753</v>
      </c>
      <c r="BC832">
        <v>762</v>
      </c>
      <c r="BD832" t="s">
        <v>74</v>
      </c>
      <c r="BE832" t="s">
        <v>14523</v>
      </c>
      <c r="BF832" t="str">
        <f>HYPERLINK("http://dx.doi.org/10.1007/s12040-010-0063-0","http://dx.doi.org/10.1007/s12040-010-0063-0")</f>
        <v>http://dx.doi.org/10.1007/s12040-010-0063-0</v>
      </c>
      <c r="BG832" t="s">
        <v>74</v>
      </c>
      <c r="BH832" t="s">
        <v>74</v>
      </c>
      <c r="BI832">
        <v>10</v>
      </c>
      <c r="BJ832" t="s">
        <v>14524</v>
      </c>
      <c r="BK832" t="s">
        <v>100</v>
      </c>
      <c r="BL832" t="s">
        <v>14525</v>
      </c>
      <c r="BM832" t="s">
        <v>14526</v>
      </c>
      <c r="BN832" t="s">
        <v>74</v>
      </c>
      <c r="BO832" t="s">
        <v>252</v>
      </c>
      <c r="BP832" t="s">
        <v>74</v>
      </c>
      <c r="BQ832" t="s">
        <v>74</v>
      </c>
      <c r="BR832" t="s">
        <v>103</v>
      </c>
      <c r="BS832" t="s">
        <v>14527</v>
      </c>
      <c r="BT832" t="str">
        <f>HYPERLINK("https%3A%2F%2Fwww.webofscience.com%2Fwos%2Fwoscc%2Ffull-record%2FWOS:000286167600001","View Full Record in Web of Science")</f>
        <v>View Full Record in Web of Science</v>
      </c>
    </row>
    <row r="833" spans="1:72" x14ac:dyDescent="0.15">
      <c r="A833" t="s">
        <v>72</v>
      </c>
      <c r="B833" t="s">
        <v>14528</v>
      </c>
      <c r="C833" t="s">
        <v>74</v>
      </c>
      <c r="D833" t="s">
        <v>74</v>
      </c>
      <c r="E833" t="s">
        <v>74</v>
      </c>
      <c r="F833" t="s">
        <v>14529</v>
      </c>
      <c r="G833" t="s">
        <v>74</v>
      </c>
      <c r="H833" t="s">
        <v>74</v>
      </c>
      <c r="I833" t="s">
        <v>14530</v>
      </c>
      <c r="J833" t="s">
        <v>14531</v>
      </c>
      <c r="K833" t="s">
        <v>74</v>
      </c>
      <c r="L833" t="s">
        <v>74</v>
      </c>
      <c r="M833" t="s">
        <v>78</v>
      </c>
      <c r="N833" t="s">
        <v>79</v>
      </c>
      <c r="O833" t="s">
        <v>74</v>
      </c>
      <c r="P833" t="s">
        <v>74</v>
      </c>
      <c r="Q833" t="s">
        <v>74</v>
      </c>
      <c r="R833" t="s">
        <v>74</v>
      </c>
      <c r="S833" t="s">
        <v>74</v>
      </c>
      <c r="T833" t="s">
        <v>74</v>
      </c>
      <c r="U833" t="s">
        <v>14532</v>
      </c>
      <c r="V833" t="s">
        <v>14533</v>
      </c>
      <c r="W833" t="s">
        <v>14534</v>
      </c>
      <c r="X833" t="s">
        <v>14535</v>
      </c>
      <c r="Y833" t="s">
        <v>14536</v>
      </c>
      <c r="Z833" t="s">
        <v>74</v>
      </c>
      <c r="AA833" t="s">
        <v>74</v>
      </c>
      <c r="AB833" t="s">
        <v>74</v>
      </c>
      <c r="AC833" t="s">
        <v>74</v>
      </c>
      <c r="AD833" t="s">
        <v>74</v>
      </c>
      <c r="AE833" t="s">
        <v>74</v>
      </c>
      <c r="AF833" t="s">
        <v>74</v>
      </c>
      <c r="AG833">
        <v>66</v>
      </c>
      <c r="AH833">
        <v>7</v>
      </c>
      <c r="AI833">
        <v>9</v>
      </c>
      <c r="AJ833">
        <v>1</v>
      </c>
      <c r="AK833">
        <v>10</v>
      </c>
      <c r="AL833" t="s">
        <v>5125</v>
      </c>
      <c r="AM833" t="s">
        <v>496</v>
      </c>
      <c r="AN833" t="s">
        <v>5126</v>
      </c>
      <c r="AO833" t="s">
        <v>14537</v>
      </c>
      <c r="AP833" t="s">
        <v>14538</v>
      </c>
      <c r="AQ833" t="s">
        <v>74</v>
      </c>
      <c r="AR833" t="s">
        <v>14539</v>
      </c>
      <c r="AS833" t="s">
        <v>14540</v>
      </c>
      <c r="AT833" t="s">
        <v>14347</v>
      </c>
      <c r="AU833">
        <v>2010</v>
      </c>
      <c r="AV833">
        <v>2</v>
      </c>
      <c r="AW833">
        <v>6</v>
      </c>
      <c r="AX833" t="s">
        <v>74</v>
      </c>
      <c r="AY833" t="s">
        <v>74</v>
      </c>
      <c r="AZ833" t="s">
        <v>74</v>
      </c>
      <c r="BA833" t="s">
        <v>74</v>
      </c>
      <c r="BB833">
        <v>454</v>
      </c>
      <c r="BC833">
        <v>461</v>
      </c>
      <c r="BD833" t="s">
        <v>74</v>
      </c>
      <c r="BE833" t="s">
        <v>14541</v>
      </c>
      <c r="BF833" t="str">
        <f>HYPERLINK("http://dx.doi.org/10.1130/L116.1","http://dx.doi.org/10.1130/L116.1")</f>
        <v>http://dx.doi.org/10.1130/L116.1</v>
      </c>
      <c r="BG833" t="s">
        <v>74</v>
      </c>
      <c r="BH833" t="s">
        <v>74</v>
      </c>
      <c r="BI833">
        <v>8</v>
      </c>
      <c r="BJ833" t="s">
        <v>14542</v>
      </c>
      <c r="BK833" t="s">
        <v>100</v>
      </c>
      <c r="BL833" t="s">
        <v>14542</v>
      </c>
      <c r="BM833" t="s">
        <v>14543</v>
      </c>
      <c r="BN833" t="s">
        <v>74</v>
      </c>
      <c r="BO833" t="s">
        <v>74</v>
      </c>
      <c r="BP833" t="s">
        <v>74</v>
      </c>
      <c r="BQ833" t="s">
        <v>74</v>
      </c>
      <c r="BR833" t="s">
        <v>103</v>
      </c>
      <c r="BS833" t="s">
        <v>14544</v>
      </c>
      <c r="BT833" t="str">
        <f>HYPERLINK("https%3A%2F%2Fwww.webofscience.com%2Fwos%2Fwoscc%2Ffull-record%2FWOS:000283558900006","View Full Record in Web of Science")</f>
        <v>View Full Record in Web of Science</v>
      </c>
    </row>
    <row r="834" spans="1:72" x14ac:dyDescent="0.15">
      <c r="A834" t="s">
        <v>72</v>
      </c>
      <c r="B834" t="s">
        <v>14545</v>
      </c>
      <c r="C834" t="s">
        <v>74</v>
      </c>
      <c r="D834" t="s">
        <v>74</v>
      </c>
      <c r="E834" t="s">
        <v>74</v>
      </c>
      <c r="F834" t="s">
        <v>14546</v>
      </c>
      <c r="G834" t="s">
        <v>74</v>
      </c>
      <c r="H834" t="s">
        <v>74</v>
      </c>
      <c r="I834" t="s">
        <v>14547</v>
      </c>
      <c r="J834" t="s">
        <v>14548</v>
      </c>
      <c r="K834" t="s">
        <v>74</v>
      </c>
      <c r="L834" t="s">
        <v>74</v>
      </c>
      <c r="M834" t="s">
        <v>1568</v>
      </c>
      <c r="N834" t="s">
        <v>79</v>
      </c>
      <c r="O834" t="s">
        <v>74</v>
      </c>
      <c r="P834" t="s">
        <v>74</v>
      </c>
      <c r="Q834" t="s">
        <v>74</v>
      </c>
      <c r="R834" t="s">
        <v>74</v>
      </c>
      <c r="S834" t="s">
        <v>74</v>
      </c>
      <c r="T834" t="s">
        <v>14549</v>
      </c>
      <c r="U834" t="s">
        <v>14550</v>
      </c>
      <c r="V834" t="s">
        <v>14551</v>
      </c>
      <c r="W834" t="s">
        <v>14552</v>
      </c>
      <c r="X834" t="s">
        <v>14553</v>
      </c>
      <c r="Y834" t="s">
        <v>14554</v>
      </c>
      <c r="Z834" t="s">
        <v>14555</v>
      </c>
      <c r="AA834" t="s">
        <v>14556</v>
      </c>
      <c r="AB834" t="s">
        <v>74</v>
      </c>
      <c r="AC834" t="s">
        <v>74</v>
      </c>
      <c r="AD834" t="s">
        <v>74</v>
      </c>
      <c r="AE834" t="s">
        <v>74</v>
      </c>
      <c r="AF834" t="s">
        <v>74</v>
      </c>
      <c r="AG834">
        <v>57</v>
      </c>
      <c r="AH834">
        <v>2</v>
      </c>
      <c r="AI834">
        <v>5</v>
      </c>
      <c r="AJ834">
        <v>0</v>
      </c>
      <c r="AK834">
        <v>14</v>
      </c>
      <c r="AL834" t="s">
        <v>4656</v>
      </c>
      <c r="AM834" t="s">
        <v>1578</v>
      </c>
      <c r="AN834" t="s">
        <v>5173</v>
      </c>
      <c r="AO834" t="s">
        <v>14557</v>
      </c>
      <c r="AP834" t="s">
        <v>14558</v>
      </c>
      <c r="AQ834" t="s">
        <v>74</v>
      </c>
      <c r="AR834" t="s">
        <v>14559</v>
      </c>
      <c r="AS834" t="s">
        <v>14560</v>
      </c>
      <c r="AT834" t="s">
        <v>14347</v>
      </c>
      <c r="AU834">
        <v>2010</v>
      </c>
      <c r="AV834">
        <v>26</v>
      </c>
      <c r="AW834">
        <v>12</v>
      </c>
      <c r="AX834" t="s">
        <v>74</v>
      </c>
      <c r="AY834" t="s">
        <v>74</v>
      </c>
      <c r="AZ834" t="s">
        <v>74</v>
      </c>
      <c r="BA834" t="s">
        <v>74</v>
      </c>
      <c r="BB834">
        <v>3579</v>
      </c>
      <c r="BC834">
        <v>3588</v>
      </c>
      <c r="BD834" t="s">
        <v>74</v>
      </c>
      <c r="BE834" t="s">
        <v>74</v>
      </c>
      <c r="BF834" t="s">
        <v>74</v>
      </c>
      <c r="BG834" t="s">
        <v>74</v>
      </c>
      <c r="BH834" t="s">
        <v>74</v>
      </c>
      <c r="BI834">
        <v>10</v>
      </c>
      <c r="BJ834" t="s">
        <v>397</v>
      </c>
      <c r="BK834" t="s">
        <v>100</v>
      </c>
      <c r="BL834" t="s">
        <v>397</v>
      </c>
      <c r="BM834" t="s">
        <v>14561</v>
      </c>
      <c r="BN834" t="s">
        <v>74</v>
      </c>
      <c r="BO834" t="s">
        <v>74</v>
      </c>
      <c r="BP834" t="s">
        <v>74</v>
      </c>
      <c r="BQ834" t="s">
        <v>74</v>
      </c>
      <c r="BR834" t="s">
        <v>103</v>
      </c>
      <c r="BS834" t="s">
        <v>14562</v>
      </c>
      <c r="BT834" t="str">
        <f>HYPERLINK("https%3A%2F%2Fwww.webofscience.com%2Fwos%2Fwoscc%2Ffull-record%2FWOS:000286452000010","View Full Record in Web of Science")</f>
        <v>View Full Record in Web of Science</v>
      </c>
    </row>
    <row r="835" spans="1:72" x14ac:dyDescent="0.15">
      <c r="A835" t="s">
        <v>72</v>
      </c>
      <c r="B835" t="s">
        <v>14563</v>
      </c>
      <c r="C835" t="s">
        <v>74</v>
      </c>
      <c r="D835" t="s">
        <v>74</v>
      </c>
      <c r="E835" t="s">
        <v>74</v>
      </c>
      <c r="F835" t="s">
        <v>14564</v>
      </c>
      <c r="G835" t="s">
        <v>74</v>
      </c>
      <c r="H835" t="s">
        <v>74</v>
      </c>
      <c r="I835" t="s">
        <v>14565</v>
      </c>
      <c r="J835" t="s">
        <v>2186</v>
      </c>
      <c r="K835" t="s">
        <v>74</v>
      </c>
      <c r="L835" t="s">
        <v>74</v>
      </c>
      <c r="M835" t="s">
        <v>78</v>
      </c>
      <c r="N835" t="s">
        <v>79</v>
      </c>
      <c r="O835" t="s">
        <v>74</v>
      </c>
      <c r="P835" t="s">
        <v>74</v>
      </c>
      <c r="Q835" t="s">
        <v>74</v>
      </c>
      <c r="R835" t="s">
        <v>74</v>
      </c>
      <c r="S835" t="s">
        <v>74</v>
      </c>
      <c r="T835" t="s">
        <v>14566</v>
      </c>
      <c r="U835" t="s">
        <v>74</v>
      </c>
      <c r="V835" t="s">
        <v>14567</v>
      </c>
      <c r="W835" t="s">
        <v>14568</v>
      </c>
      <c r="X835" t="s">
        <v>14569</v>
      </c>
      <c r="Y835" t="s">
        <v>14570</v>
      </c>
      <c r="Z835" t="s">
        <v>14571</v>
      </c>
      <c r="AA835" t="s">
        <v>14572</v>
      </c>
      <c r="AB835" t="s">
        <v>14573</v>
      </c>
      <c r="AC835" t="s">
        <v>14574</v>
      </c>
      <c r="AD835" t="s">
        <v>14575</v>
      </c>
      <c r="AE835" t="s">
        <v>14576</v>
      </c>
      <c r="AF835" t="s">
        <v>74</v>
      </c>
      <c r="AG835">
        <v>14</v>
      </c>
      <c r="AH835">
        <v>7</v>
      </c>
      <c r="AI835">
        <v>7</v>
      </c>
      <c r="AJ835">
        <v>0</v>
      </c>
      <c r="AK835">
        <v>5</v>
      </c>
      <c r="AL835" t="s">
        <v>1457</v>
      </c>
      <c r="AM835" t="s">
        <v>719</v>
      </c>
      <c r="AN835" t="s">
        <v>1458</v>
      </c>
      <c r="AO835" t="s">
        <v>2194</v>
      </c>
      <c r="AP835" t="s">
        <v>2214</v>
      </c>
      <c r="AQ835" t="s">
        <v>74</v>
      </c>
      <c r="AR835" t="s">
        <v>2195</v>
      </c>
      <c r="AS835" t="s">
        <v>2196</v>
      </c>
      <c r="AT835" t="s">
        <v>14500</v>
      </c>
      <c r="AU835">
        <v>2010</v>
      </c>
      <c r="AV835">
        <v>46</v>
      </c>
      <c r="AW835">
        <v>11</v>
      </c>
      <c r="AX835" t="s">
        <v>74</v>
      </c>
      <c r="AY835" t="s">
        <v>74</v>
      </c>
      <c r="AZ835" t="s">
        <v>74</v>
      </c>
      <c r="BA835" t="s">
        <v>74</v>
      </c>
      <c r="BB835">
        <v>1349</v>
      </c>
      <c r="BC835">
        <v>1353</v>
      </c>
      <c r="BD835" t="s">
        <v>74</v>
      </c>
      <c r="BE835" t="s">
        <v>14577</v>
      </c>
      <c r="BF835" t="str">
        <f>HYPERLINK("http://dx.doi.org/10.1016/j.asr.2010.06.036","http://dx.doi.org/10.1016/j.asr.2010.06.036")</f>
        <v>http://dx.doi.org/10.1016/j.asr.2010.06.036</v>
      </c>
      <c r="BG835" t="s">
        <v>74</v>
      </c>
      <c r="BH835" t="s">
        <v>74</v>
      </c>
      <c r="BI835">
        <v>5</v>
      </c>
      <c r="BJ835" t="s">
        <v>2199</v>
      </c>
      <c r="BK835" t="s">
        <v>100</v>
      </c>
      <c r="BL835" t="s">
        <v>2200</v>
      </c>
      <c r="BM835" t="s">
        <v>14578</v>
      </c>
      <c r="BN835" t="s">
        <v>74</v>
      </c>
      <c r="BO835" t="s">
        <v>74</v>
      </c>
      <c r="BP835" t="s">
        <v>74</v>
      </c>
      <c r="BQ835" t="s">
        <v>74</v>
      </c>
      <c r="BR835" t="s">
        <v>103</v>
      </c>
      <c r="BS835" t="s">
        <v>14579</v>
      </c>
      <c r="BT835" t="str">
        <f>HYPERLINK("https%3A%2F%2Fwww.webofscience.com%2Fwos%2Fwoscc%2Ffull-record%2FWOS:000283914100002","View Full Record in Web of Science")</f>
        <v>View Full Record in Web of Science</v>
      </c>
    </row>
    <row r="836" spans="1:72" x14ac:dyDescent="0.15">
      <c r="A836" t="s">
        <v>72</v>
      </c>
      <c r="B836" t="s">
        <v>14580</v>
      </c>
      <c r="C836" t="s">
        <v>74</v>
      </c>
      <c r="D836" t="s">
        <v>74</v>
      </c>
      <c r="E836" t="s">
        <v>74</v>
      </c>
      <c r="F836" t="s">
        <v>14581</v>
      </c>
      <c r="G836" t="s">
        <v>74</v>
      </c>
      <c r="H836" t="s">
        <v>74</v>
      </c>
      <c r="I836" t="s">
        <v>14582</v>
      </c>
      <c r="J836" t="s">
        <v>14583</v>
      </c>
      <c r="K836" t="s">
        <v>74</v>
      </c>
      <c r="L836" t="s">
        <v>74</v>
      </c>
      <c r="M836" t="s">
        <v>78</v>
      </c>
      <c r="N836" t="s">
        <v>403</v>
      </c>
      <c r="O836" t="s">
        <v>74</v>
      </c>
      <c r="P836" t="s">
        <v>74</v>
      </c>
      <c r="Q836" t="s">
        <v>74</v>
      </c>
      <c r="R836" t="s">
        <v>74</v>
      </c>
      <c r="S836" t="s">
        <v>74</v>
      </c>
      <c r="T836" t="s">
        <v>74</v>
      </c>
      <c r="U836" t="s">
        <v>74</v>
      </c>
      <c r="V836" t="s">
        <v>74</v>
      </c>
      <c r="W836" t="s">
        <v>14584</v>
      </c>
      <c r="X836" t="s">
        <v>14585</v>
      </c>
      <c r="Y836" t="s">
        <v>14586</v>
      </c>
      <c r="Z836" t="s">
        <v>74</v>
      </c>
      <c r="AA836" t="s">
        <v>14587</v>
      </c>
      <c r="AB836" t="s">
        <v>14588</v>
      </c>
      <c r="AC836" t="s">
        <v>74</v>
      </c>
      <c r="AD836" t="s">
        <v>74</v>
      </c>
      <c r="AE836" t="s">
        <v>74</v>
      </c>
      <c r="AF836" t="s">
        <v>74</v>
      </c>
      <c r="AG836">
        <v>3</v>
      </c>
      <c r="AH836">
        <v>1</v>
      </c>
      <c r="AI836">
        <v>1</v>
      </c>
      <c r="AJ836">
        <v>0</v>
      </c>
      <c r="AK836">
        <v>1</v>
      </c>
      <c r="AL836" t="s">
        <v>14589</v>
      </c>
      <c r="AM836" t="s">
        <v>241</v>
      </c>
      <c r="AN836" t="s">
        <v>14590</v>
      </c>
      <c r="AO836" t="s">
        <v>14591</v>
      </c>
      <c r="AP836" t="s">
        <v>74</v>
      </c>
      <c r="AQ836" t="s">
        <v>74</v>
      </c>
      <c r="AR836" t="s">
        <v>14592</v>
      </c>
      <c r="AS836" t="s">
        <v>14593</v>
      </c>
      <c r="AT836" t="s">
        <v>14347</v>
      </c>
      <c r="AU836">
        <v>2010</v>
      </c>
      <c r="AV836">
        <v>100</v>
      </c>
      <c r="AW836">
        <v>12</v>
      </c>
      <c r="AX836" t="s">
        <v>74</v>
      </c>
      <c r="AY836" t="s">
        <v>74</v>
      </c>
      <c r="AZ836" t="s">
        <v>74</v>
      </c>
      <c r="BA836" t="s">
        <v>74</v>
      </c>
      <c r="BB836">
        <v>2364</v>
      </c>
      <c r="BC836">
        <v>2365</v>
      </c>
      <c r="BD836" t="s">
        <v>74</v>
      </c>
      <c r="BE836" t="s">
        <v>14594</v>
      </c>
      <c r="BF836" t="str">
        <f>HYPERLINK("http://dx.doi.org/10.2105/AJPH.2010.193474","http://dx.doi.org/10.2105/AJPH.2010.193474")</f>
        <v>http://dx.doi.org/10.2105/AJPH.2010.193474</v>
      </c>
      <c r="BG836" t="s">
        <v>74</v>
      </c>
      <c r="BH836" t="s">
        <v>74</v>
      </c>
      <c r="BI836">
        <v>2</v>
      </c>
      <c r="BJ836" t="s">
        <v>14595</v>
      </c>
      <c r="BK836" t="s">
        <v>3082</v>
      </c>
      <c r="BL836" t="s">
        <v>14595</v>
      </c>
      <c r="BM836" t="s">
        <v>14596</v>
      </c>
      <c r="BN836">
        <v>20966362</v>
      </c>
      <c r="BO836" t="s">
        <v>726</v>
      </c>
      <c r="BP836" t="s">
        <v>74</v>
      </c>
      <c r="BQ836" t="s">
        <v>74</v>
      </c>
      <c r="BR836" t="s">
        <v>103</v>
      </c>
      <c r="BS836" t="s">
        <v>14597</v>
      </c>
      <c r="BT836" t="str">
        <f>HYPERLINK("https%3A%2F%2Fwww.webofscience.com%2Fwos%2Fwoscc%2Ffull-record%2FWOS:000284563300013","View Full Record in Web of Science")</f>
        <v>View Full Record in Web of Science</v>
      </c>
    </row>
    <row r="837" spans="1:72" x14ac:dyDescent="0.15">
      <c r="A837" t="s">
        <v>72</v>
      </c>
      <c r="B837" t="s">
        <v>14598</v>
      </c>
      <c r="C837" t="s">
        <v>74</v>
      </c>
      <c r="D837" t="s">
        <v>74</v>
      </c>
      <c r="E837" t="s">
        <v>74</v>
      </c>
      <c r="F837" t="s">
        <v>14599</v>
      </c>
      <c r="G837" t="s">
        <v>74</v>
      </c>
      <c r="H837" t="s">
        <v>74</v>
      </c>
      <c r="I837" t="s">
        <v>14600</v>
      </c>
      <c r="J837" t="s">
        <v>14601</v>
      </c>
      <c r="K837" t="s">
        <v>74</v>
      </c>
      <c r="L837" t="s">
        <v>74</v>
      </c>
      <c r="M837" t="s">
        <v>78</v>
      </c>
      <c r="N837" t="s">
        <v>79</v>
      </c>
      <c r="O837" t="s">
        <v>74</v>
      </c>
      <c r="P837" t="s">
        <v>74</v>
      </c>
      <c r="Q837" t="s">
        <v>74</v>
      </c>
      <c r="R837" t="s">
        <v>74</v>
      </c>
      <c r="S837" t="s">
        <v>74</v>
      </c>
      <c r="T837" t="s">
        <v>14602</v>
      </c>
      <c r="U837" t="s">
        <v>14603</v>
      </c>
      <c r="V837" t="s">
        <v>14604</v>
      </c>
      <c r="W837" t="s">
        <v>14605</v>
      </c>
      <c r="X837" t="s">
        <v>14606</v>
      </c>
      <c r="Y837" t="s">
        <v>14607</v>
      </c>
      <c r="Z837" t="s">
        <v>12091</v>
      </c>
      <c r="AA837" t="s">
        <v>14608</v>
      </c>
      <c r="AB837" t="s">
        <v>14609</v>
      </c>
      <c r="AC837" t="s">
        <v>14610</v>
      </c>
      <c r="AD837" t="s">
        <v>14610</v>
      </c>
      <c r="AE837" t="s">
        <v>14611</v>
      </c>
      <c r="AF837" t="s">
        <v>74</v>
      </c>
      <c r="AG837">
        <v>27</v>
      </c>
      <c r="AH837">
        <v>14</v>
      </c>
      <c r="AI837">
        <v>15</v>
      </c>
      <c r="AJ837">
        <v>0</v>
      </c>
      <c r="AK837">
        <v>11</v>
      </c>
      <c r="AL837" t="s">
        <v>270</v>
      </c>
      <c r="AM837" t="s">
        <v>91</v>
      </c>
      <c r="AN837" t="s">
        <v>320</v>
      </c>
      <c r="AO837" t="s">
        <v>14612</v>
      </c>
      <c r="AP837" t="s">
        <v>14613</v>
      </c>
      <c r="AQ837" t="s">
        <v>74</v>
      </c>
      <c r="AR837" t="s">
        <v>14614</v>
      </c>
      <c r="AS837" t="s">
        <v>14615</v>
      </c>
      <c r="AT837" t="s">
        <v>14347</v>
      </c>
      <c r="AU837">
        <v>2010</v>
      </c>
      <c r="AV837">
        <v>60</v>
      </c>
      <c r="AW837">
        <v>4</v>
      </c>
      <c r="AX837" t="s">
        <v>74</v>
      </c>
      <c r="AY837" t="s">
        <v>74</v>
      </c>
      <c r="AZ837" t="s">
        <v>74</v>
      </c>
      <c r="BA837" t="s">
        <v>74</v>
      </c>
      <c r="BB837">
        <v>693</v>
      </c>
      <c r="BC837">
        <v>699</v>
      </c>
      <c r="BD837" t="s">
        <v>74</v>
      </c>
      <c r="BE837" t="s">
        <v>14616</v>
      </c>
      <c r="BF837" t="str">
        <f>HYPERLINK("http://dx.doi.org/10.1007/s13213-010-0114-4","http://dx.doi.org/10.1007/s13213-010-0114-4")</f>
        <v>http://dx.doi.org/10.1007/s13213-010-0114-4</v>
      </c>
      <c r="BG837" t="s">
        <v>74</v>
      </c>
      <c r="BH837" t="s">
        <v>74</v>
      </c>
      <c r="BI837">
        <v>7</v>
      </c>
      <c r="BJ837" t="s">
        <v>14617</v>
      </c>
      <c r="BK837" t="s">
        <v>100</v>
      </c>
      <c r="BL837" t="s">
        <v>14617</v>
      </c>
      <c r="BM837" t="s">
        <v>14618</v>
      </c>
      <c r="BN837" t="s">
        <v>74</v>
      </c>
      <c r="BO837" t="s">
        <v>252</v>
      </c>
      <c r="BP837" t="s">
        <v>74</v>
      </c>
      <c r="BQ837" t="s">
        <v>74</v>
      </c>
      <c r="BR837" t="s">
        <v>103</v>
      </c>
      <c r="BS837" t="s">
        <v>14619</v>
      </c>
      <c r="BT837" t="str">
        <f>HYPERLINK("https%3A%2F%2Fwww.webofscience.com%2Fwos%2Fwoscc%2Ffull-record%2FWOS:000285047700014","View Full Record in Web of Science")</f>
        <v>View Full Record in Web of Science</v>
      </c>
    </row>
    <row r="838" spans="1:72" x14ac:dyDescent="0.15">
      <c r="A838" t="s">
        <v>72</v>
      </c>
      <c r="B838" t="s">
        <v>14620</v>
      </c>
      <c r="C838" t="s">
        <v>74</v>
      </c>
      <c r="D838" t="s">
        <v>74</v>
      </c>
      <c r="E838" t="s">
        <v>74</v>
      </c>
      <c r="F838" t="s">
        <v>14621</v>
      </c>
      <c r="G838" t="s">
        <v>74</v>
      </c>
      <c r="H838" t="s">
        <v>74</v>
      </c>
      <c r="I838" t="s">
        <v>14622</v>
      </c>
      <c r="J838" t="s">
        <v>77</v>
      </c>
      <c r="K838" t="s">
        <v>74</v>
      </c>
      <c r="L838" t="s">
        <v>74</v>
      </c>
      <c r="M838" t="s">
        <v>78</v>
      </c>
      <c r="N838" t="s">
        <v>403</v>
      </c>
      <c r="O838" t="s">
        <v>74</v>
      </c>
      <c r="P838" t="s">
        <v>74</v>
      </c>
      <c r="Q838" t="s">
        <v>74</v>
      </c>
      <c r="R838" t="s">
        <v>74</v>
      </c>
      <c r="S838" t="s">
        <v>74</v>
      </c>
      <c r="T838" t="s">
        <v>74</v>
      </c>
      <c r="U838" t="s">
        <v>74</v>
      </c>
      <c r="V838" t="s">
        <v>74</v>
      </c>
      <c r="W838" t="s">
        <v>74</v>
      </c>
      <c r="X838" t="s">
        <v>74</v>
      </c>
      <c r="Y838" t="s">
        <v>74</v>
      </c>
      <c r="Z838" t="s">
        <v>74</v>
      </c>
      <c r="AA838" t="s">
        <v>74</v>
      </c>
      <c r="AB838" t="s">
        <v>14623</v>
      </c>
      <c r="AC838" t="s">
        <v>74</v>
      </c>
      <c r="AD838" t="s">
        <v>74</v>
      </c>
      <c r="AE838" t="s">
        <v>74</v>
      </c>
      <c r="AF838" t="s">
        <v>74</v>
      </c>
      <c r="AG838">
        <v>0</v>
      </c>
      <c r="AH838">
        <v>1</v>
      </c>
      <c r="AI838">
        <v>1</v>
      </c>
      <c r="AJ838">
        <v>1</v>
      </c>
      <c r="AK838">
        <v>6</v>
      </c>
      <c r="AL838" t="s">
        <v>90</v>
      </c>
      <c r="AM838" t="s">
        <v>91</v>
      </c>
      <c r="AN838" t="s">
        <v>92</v>
      </c>
      <c r="AO838" t="s">
        <v>93</v>
      </c>
      <c r="AP838" t="s">
        <v>74</v>
      </c>
      <c r="AQ838" t="s">
        <v>74</v>
      </c>
      <c r="AR838" t="s">
        <v>95</v>
      </c>
      <c r="AS838" t="s">
        <v>96</v>
      </c>
      <c r="AT838" t="s">
        <v>14347</v>
      </c>
      <c r="AU838">
        <v>2010</v>
      </c>
      <c r="AV838">
        <v>22</v>
      </c>
      <c r="AW838">
        <v>6</v>
      </c>
      <c r="AX838" t="s">
        <v>74</v>
      </c>
      <c r="AY838" t="s">
        <v>74</v>
      </c>
      <c r="AZ838" t="s">
        <v>967</v>
      </c>
      <c r="BA838" t="s">
        <v>74</v>
      </c>
      <c r="BB838">
        <v>589</v>
      </c>
      <c r="BC838">
        <v>589</v>
      </c>
      <c r="BD838" t="s">
        <v>74</v>
      </c>
      <c r="BE838" t="s">
        <v>14624</v>
      </c>
      <c r="BF838" t="str">
        <f>HYPERLINK("http://dx.doi.org/10.1017/S0954102010000854","http://dx.doi.org/10.1017/S0954102010000854")</f>
        <v>http://dx.doi.org/10.1017/S0954102010000854</v>
      </c>
      <c r="BG838" t="s">
        <v>74</v>
      </c>
      <c r="BH838" t="s">
        <v>74</v>
      </c>
      <c r="BI838">
        <v>1</v>
      </c>
      <c r="BJ838" t="s">
        <v>99</v>
      </c>
      <c r="BK838" t="s">
        <v>100</v>
      </c>
      <c r="BL838" t="s">
        <v>101</v>
      </c>
      <c r="BM838" t="s">
        <v>14349</v>
      </c>
      <c r="BN838" t="s">
        <v>74</v>
      </c>
      <c r="BO838" t="s">
        <v>252</v>
      </c>
      <c r="BP838" t="s">
        <v>74</v>
      </c>
      <c r="BQ838" t="s">
        <v>74</v>
      </c>
      <c r="BR838" t="s">
        <v>103</v>
      </c>
      <c r="BS838" t="s">
        <v>14625</v>
      </c>
      <c r="BT838" t="str">
        <f>HYPERLINK("https%3A%2F%2Fwww.webofscience.com%2Fwos%2Fwoscc%2Ffull-record%2FWOS:000285470300001","View Full Record in Web of Science")</f>
        <v>View Full Record in Web of Science</v>
      </c>
    </row>
    <row r="839" spans="1:72" x14ac:dyDescent="0.15">
      <c r="A839" t="s">
        <v>72</v>
      </c>
      <c r="B839" t="s">
        <v>14626</v>
      </c>
      <c r="C839" t="s">
        <v>74</v>
      </c>
      <c r="D839" t="s">
        <v>74</v>
      </c>
      <c r="E839" t="s">
        <v>74</v>
      </c>
      <c r="F839" t="s">
        <v>14627</v>
      </c>
      <c r="G839" t="s">
        <v>74</v>
      </c>
      <c r="H839" t="s">
        <v>74</v>
      </c>
      <c r="I839" t="s">
        <v>14628</v>
      </c>
      <c r="J839" t="s">
        <v>77</v>
      </c>
      <c r="K839" t="s">
        <v>74</v>
      </c>
      <c r="L839" t="s">
        <v>74</v>
      </c>
      <c r="M839" t="s">
        <v>78</v>
      </c>
      <c r="N839" t="s">
        <v>79</v>
      </c>
      <c r="O839" t="s">
        <v>74</v>
      </c>
      <c r="P839" t="s">
        <v>74</v>
      </c>
      <c r="Q839" t="s">
        <v>74</v>
      </c>
      <c r="R839" t="s">
        <v>74</v>
      </c>
      <c r="S839" t="s">
        <v>74</v>
      </c>
      <c r="T839" t="s">
        <v>14629</v>
      </c>
      <c r="U839" t="s">
        <v>14630</v>
      </c>
      <c r="V839" t="s">
        <v>14631</v>
      </c>
      <c r="W839" t="s">
        <v>14632</v>
      </c>
      <c r="X839" t="s">
        <v>8071</v>
      </c>
      <c r="Y839" t="s">
        <v>14633</v>
      </c>
      <c r="Z839" t="s">
        <v>14634</v>
      </c>
      <c r="AA839" t="s">
        <v>74</v>
      </c>
      <c r="AB839" t="s">
        <v>14635</v>
      </c>
      <c r="AC839" t="s">
        <v>14636</v>
      </c>
      <c r="AD839" t="s">
        <v>14637</v>
      </c>
      <c r="AE839" t="s">
        <v>14638</v>
      </c>
      <c r="AF839" t="s">
        <v>74</v>
      </c>
      <c r="AG839">
        <v>47</v>
      </c>
      <c r="AH839">
        <v>22</v>
      </c>
      <c r="AI839">
        <v>23</v>
      </c>
      <c r="AJ839">
        <v>0</v>
      </c>
      <c r="AK839">
        <v>20</v>
      </c>
      <c r="AL839" t="s">
        <v>90</v>
      </c>
      <c r="AM839" t="s">
        <v>91</v>
      </c>
      <c r="AN839" t="s">
        <v>92</v>
      </c>
      <c r="AO839" t="s">
        <v>93</v>
      </c>
      <c r="AP839" t="s">
        <v>94</v>
      </c>
      <c r="AQ839" t="s">
        <v>74</v>
      </c>
      <c r="AR839" t="s">
        <v>95</v>
      </c>
      <c r="AS839" t="s">
        <v>96</v>
      </c>
      <c r="AT839" t="s">
        <v>14347</v>
      </c>
      <c r="AU839">
        <v>2010</v>
      </c>
      <c r="AV839">
        <v>22</v>
      </c>
      <c r="AW839">
        <v>6</v>
      </c>
      <c r="AX839" t="s">
        <v>74</v>
      </c>
      <c r="AY839" t="s">
        <v>74</v>
      </c>
      <c r="AZ839" t="s">
        <v>967</v>
      </c>
      <c r="BA839" t="s">
        <v>74</v>
      </c>
      <c r="BB839">
        <v>591</v>
      </c>
      <c r="BC839">
        <v>602</v>
      </c>
      <c r="BD839" t="s">
        <v>74</v>
      </c>
      <c r="BE839" t="s">
        <v>14639</v>
      </c>
      <c r="BF839" t="str">
        <f>HYPERLINK("http://dx.doi.org/10.1017/S0954102010000829","http://dx.doi.org/10.1017/S0954102010000829")</f>
        <v>http://dx.doi.org/10.1017/S0954102010000829</v>
      </c>
      <c r="BG839" t="s">
        <v>74</v>
      </c>
      <c r="BH839" t="s">
        <v>74</v>
      </c>
      <c r="BI839">
        <v>12</v>
      </c>
      <c r="BJ839" t="s">
        <v>99</v>
      </c>
      <c r="BK839" t="s">
        <v>100</v>
      </c>
      <c r="BL839" t="s">
        <v>101</v>
      </c>
      <c r="BM839" t="s">
        <v>14349</v>
      </c>
      <c r="BN839" t="s">
        <v>74</v>
      </c>
      <c r="BO839" t="s">
        <v>74</v>
      </c>
      <c r="BP839" t="s">
        <v>74</v>
      </c>
      <c r="BQ839" t="s">
        <v>74</v>
      </c>
      <c r="BR839" t="s">
        <v>103</v>
      </c>
      <c r="BS839" t="s">
        <v>14640</v>
      </c>
      <c r="BT839" t="str">
        <f>HYPERLINK("https%3A%2F%2Fwww.webofscience.com%2Fwos%2Fwoscc%2Ffull-record%2FWOS:000285470300002","View Full Record in Web of Science")</f>
        <v>View Full Record in Web of Science</v>
      </c>
    </row>
    <row r="840" spans="1:72" x14ac:dyDescent="0.15">
      <c r="A840" t="s">
        <v>72</v>
      </c>
      <c r="B840" t="s">
        <v>14641</v>
      </c>
      <c r="C840" t="s">
        <v>74</v>
      </c>
      <c r="D840" t="s">
        <v>74</v>
      </c>
      <c r="E840" t="s">
        <v>74</v>
      </c>
      <c r="F840" t="s">
        <v>14642</v>
      </c>
      <c r="G840" t="s">
        <v>74</v>
      </c>
      <c r="H840" t="s">
        <v>74</v>
      </c>
      <c r="I840" t="s">
        <v>14643</v>
      </c>
      <c r="J840" t="s">
        <v>77</v>
      </c>
      <c r="K840" t="s">
        <v>74</v>
      </c>
      <c r="L840" t="s">
        <v>74</v>
      </c>
      <c r="M840" t="s">
        <v>78</v>
      </c>
      <c r="N840" t="s">
        <v>79</v>
      </c>
      <c r="O840" t="s">
        <v>74</v>
      </c>
      <c r="P840" t="s">
        <v>74</v>
      </c>
      <c r="Q840" t="s">
        <v>74</v>
      </c>
      <c r="R840" t="s">
        <v>74</v>
      </c>
      <c r="S840" t="s">
        <v>74</v>
      </c>
      <c r="T840" t="s">
        <v>14644</v>
      </c>
      <c r="U840" t="s">
        <v>14645</v>
      </c>
      <c r="V840" t="s">
        <v>14646</v>
      </c>
      <c r="W840" t="s">
        <v>14647</v>
      </c>
      <c r="X840" t="s">
        <v>14648</v>
      </c>
      <c r="Y840" t="s">
        <v>14649</v>
      </c>
      <c r="Z840" t="s">
        <v>14650</v>
      </c>
      <c r="AA840" t="s">
        <v>14651</v>
      </c>
      <c r="AB840" t="s">
        <v>14652</v>
      </c>
      <c r="AC840" t="s">
        <v>14653</v>
      </c>
      <c r="AD840" t="s">
        <v>14654</v>
      </c>
      <c r="AE840" t="s">
        <v>14655</v>
      </c>
      <c r="AF840" t="s">
        <v>74</v>
      </c>
      <c r="AG840">
        <v>40</v>
      </c>
      <c r="AH840">
        <v>32</v>
      </c>
      <c r="AI840">
        <v>36</v>
      </c>
      <c r="AJ840">
        <v>0</v>
      </c>
      <c r="AK840">
        <v>19</v>
      </c>
      <c r="AL840" t="s">
        <v>90</v>
      </c>
      <c r="AM840" t="s">
        <v>91</v>
      </c>
      <c r="AN840" t="s">
        <v>92</v>
      </c>
      <c r="AO840" t="s">
        <v>93</v>
      </c>
      <c r="AP840" t="s">
        <v>94</v>
      </c>
      <c r="AQ840" t="s">
        <v>74</v>
      </c>
      <c r="AR840" t="s">
        <v>95</v>
      </c>
      <c r="AS840" t="s">
        <v>96</v>
      </c>
      <c r="AT840" t="s">
        <v>14347</v>
      </c>
      <c r="AU840">
        <v>2010</v>
      </c>
      <c r="AV840">
        <v>22</v>
      </c>
      <c r="AW840">
        <v>6</v>
      </c>
      <c r="AX840" t="s">
        <v>74</v>
      </c>
      <c r="AY840" t="s">
        <v>74</v>
      </c>
      <c r="AZ840" t="s">
        <v>967</v>
      </c>
      <c r="BA840" t="s">
        <v>74</v>
      </c>
      <c r="BB840">
        <v>603</v>
      </c>
      <c r="BC840">
        <v>618</v>
      </c>
      <c r="BD840" t="s">
        <v>74</v>
      </c>
      <c r="BE840" t="s">
        <v>14656</v>
      </c>
      <c r="BF840" t="str">
        <f>HYPERLINK("http://dx.doi.org/10.1017/S0954102010000799","http://dx.doi.org/10.1017/S0954102010000799")</f>
        <v>http://dx.doi.org/10.1017/S0954102010000799</v>
      </c>
      <c r="BG840" t="s">
        <v>74</v>
      </c>
      <c r="BH840" t="s">
        <v>74</v>
      </c>
      <c r="BI840">
        <v>16</v>
      </c>
      <c r="BJ840" t="s">
        <v>99</v>
      </c>
      <c r="BK840" t="s">
        <v>100</v>
      </c>
      <c r="BL840" t="s">
        <v>101</v>
      </c>
      <c r="BM840" t="s">
        <v>14349</v>
      </c>
      <c r="BN840" t="s">
        <v>74</v>
      </c>
      <c r="BO840" t="s">
        <v>74</v>
      </c>
      <c r="BP840" t="s">
        <v>74</v>
      </c>
      <c r="BQ840" t="s">
        <v>74</v>
      </c>
      <c r="BR840" t="s">
        <v>103</v>
      </c>
      <c r="BS840" t="s">
        <v>14657</v>
      </c>
      <c r="BT840" t="str">
        <f>HYPERLINK("https%3A%2F%2Fwww.webofscience.com%2Fwos%2Fwoscc%2Ffull-record%2FWOS:000285470300003","View Full Record in Web of Science")</f>
        <v>View Full Record in Web of Science</v>
      </c>
    </row>
    <row r="841" spans="1:72" x14ac:dyDescent="0.15">
      <c r="A841" t="s">
        <v>72</v>
      </c>
      <c r="B841" t="s">
        <v>14658</v>
      </c>
      <c r="C841" t="s">
        <v>74</v>
      </c>
      <c r="D841" t="s">
        <v>74</v>
      </c>
      <c r="E841" t="s">
        <v>74</v>
      </c>
      <c r="F841" t="s">
        <v>14659</v>
      </c>
      <c r="G841" t="s">
        <v>74</v>
      </c>
      <c r="H841" t="s">
        <v>74</v>
      </c>
      <c r="I841" t="s">
        <v>14660</v>
      </c>
      <c r="J841" t="s">
        <v>77</v>
      </c>
      <c r="K841" t="s">
        <v>74</v>
      </c>
      <c r="L841" t="s">
        <v>74</v>
      </c>
      <c r="M841" t="s">
        <v>78</v>
      </c>
      <c r="N841" t="s">
        <v>79</v>
      </c>
      <c r="O841" t="s">
        <v>74</v>
      </c>
      <c r="P841" t="s">
        <v>74</v>
      </c>
      <c r="Q841" t="s">
        <v>74</v>
      </c>
      <c r="R841" t="s">
        <v>74</v>
      </c>
      <c r="S841" t="s">
        <v>74</v>
      </c>
      <c r="T841" t="s">
        <v>14661</v>
      </c>
      <c r="U841" t="s">
        <v>14662</v>
      </c>
      <c r="V841" t="s">
        <v>14663</v>
      </c>
      <c r="W841" t="s">
        <v>14664</v>
      </c>
      <c r="X841" t="s">
        <v>14665</v>
      </c>
      <c r="Y841" t="s">
        <v>14666</v>
      </c>
      <c r="Z841" t="s">
        <v>14667</v>
      </c>
      <c r="AA841" t="s">
        <v>74</v>
      </c>
      <c r="AB841" t="s">
        <v>14668</v>
      </c>
      <c r="AC841" t="s">
        <v>14669</v>
      </c>
      <c r="AD841" t="s">
        <v>14669</v>
      </c>
      <c r="AE841" t="s">
        <v>14670</v>
      </c>
      <c r="AF841" t="s">
        <v>74</v>
      </c>
      <c r="AG841">
        <v>35</v>
      </c>
      <c r="AH841">
        <v>3</v>
      </c>
      <c r="AI841">
        <v>4</v>
      </c>
      <c r="AJ841">
        <v>0</v>
      </c>
      <c r="AK841">
        <v>11</v>
      </c>
      <c r="AL841" t="s">
        <v>90</v>
      </c>
      <c r="AM841" t="s">
        <v>91</v>
      </c>
      <c r="AN841" t="s">
        <v>92</v>
      </c>
      <c r="AO841" t="s">
        <v>93</v>
      </c>
      <c r="AP841" t="s">
        <v>74</v>
      </c>
      <c r="AQ841" t="s">
        <v>74</v>
      </c>
      <c r="AR841" t="s">
        <v>95</v>
      </c>
      <c r="AS841" t="s">
        <v>96</v>
      </c>
      <c r="AT841" t="s">
        <v>14347</v>
      </c>
      <c r="AU841">
        <v>2010</v>
      </c>
      <c r="AV841">
        <v>22</v>
      </c>
      <c r="AW841">
        <v>6</v>
      </c>
      <c r="AX841" t="s">
        <v>74</v>
      </c>
      <c r="AY841" t="s">
        <v>74</v>
      </c>
      <c r="AZ841" t="s">
        <v>967</v>
      </c>
      <c r="BA841" t="s">
        <v>74</v>
      </c>
      <c r="BB841">
        <v>619</v>
      </c>
      <c r="BC841">
        <v>632</v>
      </c>
      <c r="BD841" t="s">
        <v>74</v>
      </c>
      <c r="BE841" t="s">
        <v>14671</v>
      </c>
      <c r="BF841" t="str">
        <f>HYPERLINK("http://dx.doi.org/10.1017/S0954102010000817","http://dx.doi.org/10.1017/S0954102010000817")</f>
        <v>http://dx.doi.org/10.1017/S0954102010000817</v>
      </c>
      <c r="BG841" t="s">
        <v>74</v>
      </c>
      <c r="BH841" t="s">
        <v>74</v>
      </c>
      <c r="BI841">
        <v>14</v>
      </c>
      <c r="BJ841" t="s">
        <v>99</v>
      </c>
      <c r="BK841" t="s">
        <v>100</v>
      </c>
      <c r="BL841" t="s">
        <v>101</v>
      </c>
      <c r="BM841" t="s">
        <v>14349</v>
      </c>
      <c r="BN841" t="s">
        <v>74</v>
      </c>
      <c r="BO841" t="s">
        <v>74</v>
      </c>
      <c r="BP841" t="s">
        <v>74</v>
      </c>
      <c r="BQ841" t="s">
        <v>74</v>
      </c>
      <c r="BR841" t="s">
        <v>103</v>
      </c>
      <c r="BS841" t="s">
        <v>14672</v>
      </c>
      <c r="BT841" t="str">
        <f>HYPERLINK("https%3A%2F%2Fwww.webofscience.com%2Fwos%2Fwoscc%2Ffull-record%2FWOS:000285470300004","View Full Record in Web of Science")</f>
        <v>View Full Record in Web of Science</v>
      </c>
    </row>
    <row r="842" spans="1:72" x14ac:dyDescent="0.15">
      <c r="A842" t="s">
        <v>72</v>
      </c>
      <c r="B842" t="s">
        <v>14673</v>
      </c>
      <c r="C842" t="s">
        <v>74</v>
      </c>
      <c r="D842" t="s">
        <v>74</v>
      </c>
      <c r="E842" t="s">
        <v>74</v>
      </c>
      <c r="F842" t="s">
        <v>14674</v>
      </c>
      <c r="G842" t="s">
        <v>74</v>
      </c>
      <c r="H842" t="s">
        <v>74</v>
      </c>
      <c r="I842" t="s">
        <v>14675</v>
      </c>
      <c r="J842" t="s">
        <v>77</v>
      </c>
      <c r="K842" t="s">
        <v>74</v>
      </c>
      <c r="L842" t="s">
        <v>74</v>
      </c>
      <c r="M842" t="s">
        <v>78</v>
      </c>
      <c r="N842" t="s">
        <v>79</v>
      </c>
      <c r="O842" t="s">
        <v>74</v>
      </c>
      <c r="P842" t="s">
        <v>74</v>
      </c>
      <c r="Q842" t="s">
        <v>74</v>
      </c>
      <c r="R842" t="s">
        <v>74</v>
      </c>
      <c r="S842" t="s">
        <v>74</v>
      </c>
      <c r="T842" t="s">
        <v>14676</v>
      </c>
      <c r="U842" t="s">
        <v>14677</v>
      </c>
      <c r="V842" t="s">
        <v>14678</v>
      </c>
      <c r="W842" t="s">
        <v>14679</v>
      </c>
      <c r="X842" t="s">
        <v>14680</v>
      </c>
      <c r="Y842" t="s">
        <v>14681</v>
      </c>
      <c r="Z842" t="s">
        <v>14682</v>
      </c>
      <c r="AA842" t="s">
        <v>74</v>
      </c>
      <c r="AB842" t="s">
        <v>14683</v>
      </c>
      <c r="AC842" t="s">
        <v>14684</v>
      </c>
      <c r="AD842" t="s">
        <v>14685</v>
      </c>
      <c r="AE842" t="s">
        <v>14686</v>
      </c>
      <c r="AF842" t="s">
        <v>74</v>
      </c>
      <c r="AG842">
        <v>26</v>
      </c>
      <c r="AH842">
        <v>20</v>
      </c>
      <c r="AI842">
        <v>21</v>
      </c>
      <c r="AJ842">
        <v>0</v>
      </c>
      <c r="AK842">
        <v>4</v>
      </c>
      <c r="AL842" t="s">
        <v>90</v>
      </c>
      <c r="AM842" t="s">
        <v>91</v>
      </c>
      <c r="AN842" t="s">
        <v>92</v>
      </c>
      <c r="AO842" t="s">
        <v>93</v>
      </c>
      <c r="AP842" t="s">
        <v>74</v>
      </c>
      <c r="AQ842" t="s">
        <v>74</v>
      </c>
      <c r="AR842" t="s">
        <v>95</v>
      </c>
      <c r="AS842" t="s">
        <v>96</v>
      </c>
      <c r="AT842" t="s">
        <v>14347</v>
      </c>
      <c r="AU842">
        <v>2010</v>
      </c>
      <c r="AV842">
        <v>22</v>
      </c>
      <c r="AW842">
        <v>6</v>
      </c>
      <c r="AX842" t="s">
        <v>74</v>
      </c>
      <c r="AY842" t="s">
        <v>74</v>
      </c>
      <c r="AZ842" t="s">
        <v>967</v>
      </c>
      <c r="BA842" t="s">
        <v>74</v>
      </c>
      <c r="BB842">
        <v>633</v>
      </c>
      <c r="BC842">
        <v>645</v>
      </c>
      <c r="BD842" t="s">
        <v>74</v>
      </c>
      <c r="BE842" t="s">
        <v>14687</v>
      </c>
      <c r="BF842" t="str">
        <f>HYPERLINK("http://dx.doi.org/10.1017/S0954102010000696","http://dx.doi.org/10.1017/S0954102010000696")</f>
        <v>http://dx.doi.org/10.1017/S0954102010000696</v>
      </c>
      <c r="BG842" t="s">
        <v>74</v>
      </c>
      <c r="BH842" t="s">
        <v>74</v>
      </c>
      <c r="BI842">
        <v>13</v>
      </c>
      <c r="BJ842" t="s">
        <v>99</v>
      </c>
      <c r="BK842" t="s">
        <v>100</v>
      </c>
      <c r="BL842" t="s">
        <v>101</v>
      </c>
      <c r="BM842" t="s">
        <v>14349</v>
      </c>
      <c r="BN842" t="s">
        <v>74</v>
      </c>
      <c r="BO842" t="s">
        <v>138</v>
      </c>
      <c r="BP842" t="s">
        <v>74</v>
      </c>
      <c r="BQ842" t="s">
        <v>74</v>
      </c>
      <c r="BR842" t="s">
        <v>103</v>
      </c>
      <c r="BS842" t="s">
        <v>14688</v>
      </c>
      <c r="BT842" t="str">
        <f>HYPERLINK("https%3A%2F%2Fwww.webofscience.com%2Fwos%2Fwoscc%2Ffull-record%2FWOS:000285470300005","View Full Record in Web of Science")</f>
        <v>View Full Record in Web of Science</v>
      </c>
    </row>
    <row r="843" spans="1:72" x14ac:dyDescent="0.15">
      <c r="A843" t="s">
        <v>72</v>
      </c>
      <c r="B843" t="s">
        <v>14689</v>
      </c>
      <c r="C843" t="s">
        <v>74</v>
      </c>
      <c r="D843" t="s">
        <v>74</v>
      </c>
      <c r="E843" t="s">
        <v>74</v>
      </c>
      <c r="F843" t="s">
        <v>14690</v>
      </c>
      <c r="G843" t="s">
        <v>74</v>
      </c>
      <c r="H843" t="s">
        <v>74</v>
      </c>
      <c r="I843" t="s">
        <v>14691</v>
      </c>
      <c r="J843" t="s">
        <v>77</v>
      </c>
      <c r="K843" t="s">
        <v>74</v>
      </c>
      <c r="L843" t="s">
        <v>74</v>
      </c>
      <c r="M843" t="s">
        <v>78</v>
      </c>
      <c r="N843" t="s">
        <v>79</v>
      </c>
      <c r="O843" t="s">
        <v>74</v>
      </c>
      <c r="P843" t="s">
        <v>74</v>
      </c>
      <c r="Q843" t="s">
        <v>74</v>
      </c>
      <c r="R843" t="s">
        <v>74</v>
      </c>
      <c r="S843" t="s">
        <v>74</v>
      </c>
      <c r="T843" t="s">
        <v>14692</v>
      </c>
      <c r="U843" t="s">
        <v>14693</v>
      </c>
      <c r="V843" t="s">
        <v>14694</v>
      </c>
      <c r="W843" t="s">
        <v>14695</v>
      </c>
      <c r="X843" t="s">
        <v>14696</v>
      </c>
      <c r="Y843" t="s">
        <v>14697</v>
      </c>
      <c r="Z843" t="s">
        <v>14698</v>
      </c>
      <c r="AA843" t="s">
        <v>74</v>
      </c>
      <c r="AB843" t="s">
        <v>14699</v>
      </c>
      <c r="AC843" t="s">
        <v>14700</v>
      </c>
      <c r="AD843" t="s">
        <v>14701</v>
      </c>
      <c r="AE843" t="s">
        <v>14702</v>
      </c>
      <c r="AF843" t="s">
        <v>74</v>
      </c>
      <c r="AG843">
        <v>53</v>
      </c>
      <c r="AH843">
        <v>25</v>
      </c>
      <c r="AI843">
        <v>31</v>
      </c>
      <c r="AJ843">
        <v>3</v>
      </c>
      <c r="AK843">
        <v>34</v>
      </c>
      <c r="AL843" t="s">
        <v>90</v>
      </c>
      <c r="AM843" t="s">
        <v>91</v>
      </c>
      <c r="AN843" t="s">
        <v>92</v>
      </c>
      <c r="AO843" t="s">
        <v>93</v>
      </c>
      <c r="AP843" t="s">
        <v>94</v>
      </c>
      <c r="AQ843" t="s">
        <v>74</v>
      </c>
      <c r="AR843" t="s">
        <v>95</v>
      </c>
      <c r="AS843" t="s">
        <v>96</v>
      </c>
      <c r="AT843" t="s">
        <v>14347</v>
      </c>
      <c r="AU843">
        <v>2010</v>
      </c>
      <c r="AV843">
        <v>22</v>
      </c>
      <c r="AW843">
        <v>6</v>
      </c>
      <c r="AX843" t="s">
        <v>74</v>
      </c>
      <c r="AY843" t="s">
        <v>74</v>
      </c>
      <c r="AZ843" t="s">
        <v>967</v>
      </c>
      <c r="BA843" t="s">
        <v>74</v>
      </c>
      <c r="BB843">
        <v>646</v>
      </c>
      <c r="BC843">
        <v>661</v>
      </c>
      <c r="BD843" t="s">
        <v>74</v>
      </c>
      <c r="BE843" t="s">
        <v>14703</v>
      </c>
      <c r="BF843" t="str">
        <f>HYPERLINK("http://dx.doi.org/10.1017/S0954102010000787","http://dx.doi.org/10.1017/S0954102010000787")</f>
        <v>http://dx.doi.org/10.1017/S0954102010000787</v>
      </c>
      <c r="BG843" t="s">
        <v>74</v>
      </c>
      <c r="BH843" t="s">
        <v>74</v>
      </c>
      <c r="BI843">
        <v>16</v>
      </c>
      <c r="BJ843" t="s">
        <v>99</v>
      </c>
      <c r="BK843" t="s">
        <v>100</v>
      </c>
      <c r="BL843" t="s">
        <v>101</v>
      </c>
      <c r="BM843" t="s">
        <v>14349</v>
      </c>
      <c r="BN843" t="s">
        <v>74</v>
      </c>
      <c r="BO843" t="s">
        <v>74</v>
      </c>
      <c r="BP843" t="s">
        <v>74</v>
      </c>
      <c r="BQ843" t="s">
        <v>74</v>
      </c>
      <c r="BR843" t="s">
        <v>103</v>
      </c>
      <c r="BS843" t="s">
        <v>14704</v>
      </c>
      <c r="BT843" t="str">
        <f>HYPERLINK("https%3A%2F%2Fwww.webofscience.com%2Fwos%2Fwoscc%2Ffull-record%2FWOS:000285470300006","View Full Record in Web of Science")</f>
        <v>View Full Record in Web of Science</v>
      </c>
    </row>
    <row r="844" spans="1:72" x14ac:dyDescent="0.15">
      <c r="A844" t="s">
        <v>72</v>
      </c>
      <c r="B844" t="s">
        <v>14705</v>
      </c>
      <c r="C844" t="s">
        <v>74</v>
      </c>
      <c r="D844" t="s">
        <v>74</v>
      </c>
      <c r="E844" t="s">
        <v>74</v>
      </c>
      <c r="F844" t="s">
        <v>14706</v>
      </c>
      <c r="G844" t="s">
        <v>74</v>
      </c>
      <c r="H844" t="s">
        <v>74</v>
      </c>
      <c r="I844" t="s">
        <v>14707</v>
      </c>
      <c r="J844" t="s">
        <v>77</v>
      </c>
      <c r="K844" t="s">
        <v>74</v>
      </c>
      <c r="L844" t="s">
        <v>74</v>
      </c>
      <c r="M844" t="s">
        <v>78</v>
      </c>
      <c r="N844" t="s">
        <v>79</v>
      </c>
      <c r="O844" t="s">
        <v>74</v>
      </c>
      <c r="P844" t="s">
        <v>74</v>
      </c>
      <c r="Q844" t="s">
        <v>74</v>
      </c>
      <c r="R844" t="s">
        <v>74</v>
      </c>
      <c r="S844" t="s">
        <v>74</v>
      </c>
      <c r="T844" t="s">
        <v>14708</v>
      </c>
      <c r="U844" t="s">
        <v>14709</v>
      </c>
      <c r="V844" t="s">
        <v>14710</v>
      </c>
      <c r="W844" t="s">
        <v>14711</v>
      </c>
      <c r="X844" t="s">
        <v>14712</v>
      </c>
      <c r="Y844" t="s">
        <v>14713</v>
      </c>
      <c r="Z844" t="s">
        <v>14714</v>
      </c>
      <c r="AA844" t="s">
        <v>14715</v>
      </c>
      <c r="AB844" t="s">
        <v>14716</v>
      </c>
      <c r="AC844" t="s">
        <v>14717</v>
      </c>
      <c r="AD844" t="s">
        <v>1455</v>
      </c>
      <c r="AE844" t="s">
        <v>14718</v>
      </c>
      <c r="AF844" t="s">
        <v>74</v>
      </c>
      <c r="AG844">
        <v>50</v>
      </c>
      <c r="AH844">
        <v>87</v>
      </c>
      <c r="AI844">
        <v>102</v>
      </c>
      <c r="AJ844">
        <v>0</v>
      </c>
      <c r="AK844">
        <v>41</v>
      </c>
      <c r="AL844" t="s">
        <v>90</v>
      </c>
      <c r="AM844" t="s">
        <v>91</v>
      </c>
      <c r="AN844" t="s">
        <v>92</v>
      </c>
      <c r="AO844" t="s">
        <v>93</v>
      </c>
      <c r="AP844" t="s">
        <v>94</v>
      </c>
      <c r="AQ844" t="s">
        <v>74</v>
      </c>
      <c r="AR844" t="s">
        <v>95</v>
      </c>
      <c r="AS844" t="s">
        <v>96</v>
      </c>
      <c r="AT844" t="s">
        <v>14347</v>
      </c>
      <c r="AU844">
        <v>2010</v>
      </c>
      <c r="AV844">
        <v>22</v>
      </c>
      <c r="AW844">
        <v>6</v>
      </c>
      <c r="AX844" t="s">
        <v>74</v>
      </c>
      <c r="AY844" t="s">
        <v>74</v>
      </c>
      <c r="AZ844" t="s">
        <v>967</v>
      </c>
      <c r="BA844" t="s">
        <v>74</v>
      </c>
      <c r="BB844">
        <v>662</v>
      </c>
      <c r="BC844">
        <v>672</v>
      </c>
      <c r="BD844" t="s">
        <v>74</v>
      </c>
      <c r="BE844" t="s">
        <v>14719</v>
      </c>
      <c r="BF844" t="str">
        <f>HYPERLINK("http://dx.doi.org/10.1017/S0954102010000702","http://dx.doi.org/10.1017/S0954102010000702")</f>
        <v>http://dx.doi.org/10.1017/S0954102010000702</v>
      </c>
      <c r="BG844" t="s">
        <v>74</v>
      </c>
      <c r="BH844" t="s">
        <v>74</v>
      </c>
      <c r="BI844">
        <v>11</v>
      </c>
      <c r="BJ844" t="s">
        <v>99</v>
      </c>
      <c r="BK844" t="s">
        <v>100</v>
      </c>
      <c r="BL844" t="s">
        <v>101</v>
      </c>
      <c r="BM844" t="s">
        <v>14349</v>
      </c>
      <c r="BN844" t="s">
        <v>74</v>
      </c>
      <c r="BO844" t="s">
        <v>74</v>
      </c>
      <c r="BP844" t="s">
        <v>74</v>
      </c>
      <c r="BQ844" t="s">
        <v>74</v>
      </c>
      <c r="BR844" t="s">
        <v>103</v>
      </c>
      <c r="BS844" t="s">
        <v>14720</v>
      </c>
      <c r="BT844" t="str">
        <f>HYPERLINK("https%3A%2F%2Fwww.webofscience.com%2Fwos%2Fwoscc%2Ffull-record%2FWOS:000285470300007","View Full Record in Web of Science")</f>
        <v>View Full Record in Web of Science</v>
      </c>
    </row>
    <row r="845" spans="1:72" x14ac:dyDescent="0.15">
      <c r="A845" t="s">
        <v>72</v>
      </c>
      <c r="B845" t="s">
        <v>14721</v>
      </c>
      <c r="C845" t="s">
        <v>74</v>
      </c>
      <c r="D845" t="s">
        <v>74</v>
      </c>
      <c r="E845" t="s">
        <v>74</v>
      </c>
      <c r="F845" t="s">
        <v>14722</v>
      </c>
      <c r="G845" t="s">
        <v>74</v>
      </c>
      <c r="H845" t="s">
        <v>74</v>
      </c>
      <c r="I845" t="s">
        <v>14723</v>
      </c>
      <c r="J845" t="s">
        <v>77</v>
      </c>
      <c r="K845" t="s">
        <v>74</v>
      </c>
      <c r="L845" t="s">
        <v>74</v>
      </c>
      <c r="M845" t="s">
        <v>78</v>
      </c>
      <c r="N845" t="s">
        <v>79</v>
      </c>
      <c r="O845" t="s">
        <v>74</v>
      </c>
      <c r="P845" t="s">
        <v>74</v>
      </c>
      <c r="Q845" t="s">
        <v>74</v>
      </c>
      <c r="R845" t="s">
        <v>74</v>
      </c>
      <c r="S845" t="s">
        <v>74</v>
      </c>
      <c r="T845" t="s">
        <v>14724</v>
      </c>
      <c r="U845" t="s">
        <v>14725</v>
      </c>
      <c r="V845" t="s">
        <v>14726</v>
      </c>
      <c r="W845" t="s">
        <v>14727</v>
      </c>
      <c r="X845" t="s">
        <v>14728</v>
      </c>
      <c r="Y845" t="s">
        <v>14729</v>
      </c>
      <c r="Z845" t="s">
        <v>14730</v>
      </c>
      <c r="AA845" t="s">
        <v>14731</v>
      </c>
      <c r="AB845" t="s">
        <v>14732</v>
      </c>
      <c r="AC845" t="s">
        <v>14733</v>
      </c>
      <c r="AD845" t="s">
        <v>14734</v>
      </c>
      <c r="AE845" t="s">
        <v>14735</v>
      </c>
      <c r="AF845" t="s">
        <v>74</v>
      </c>
      <c r="AG845">
        <v>40</v>
      </c>
      <c r="AH845">
        <v>48</v>
      </c>
      <c r="AI845">
        <v>51</v>
      </c>
      <c r="AJ845">
        <v>1</v>
      </c>
      <c r="AK845">
        <v>42</v>
      </c>
      <c r="AL845" t="s">
        <v>90</v>
      </c>
      <c r="AM845" t="s">
        <v>91</v>
      </c>
      <c r="AN845" t="s">
        <v>92</v>
      </c>
      <c r="AO845" t="s">
        <v>93</v>
      </c>
      <c r="AP845" t="s">
        <v>74</v>
      </c>
      <c r="AQ845" t="s">
        <v>74</v>
      </c>
      <c r="AR845" t="s">
        <v>95</v>
      </c>
      <c r="AS845" t="s">
        <v>96</v>
      </c>
      <c r="AT845" t="s">
        <v>14347</v>
      </c>
      <c r="AU845">
        <v>2010</v>
      </c>
      <c r="AV845">
        <v>22</v>
      </c>
      <c r="AW845">
        <v>6</v>
      </c>
      <c r="AX845" t="s">
        <v>74</v>
      </c>
      <c r="AY845" t="s">
        <v>74</v>
      </c>
      <c r="AZ845" t="s">
        <v>967</v>
      </c>
      <c r="BA845" t="s">
        <v>74</v>
      </c>
      <c r="BB845">
        <v>673</v>
      </c>
      <c r="BC845">
        <v>680</v>
      </c>
      <c r="BD845" t="s">
        <v>74</v>
      </c>
      <c r="BE845" t="s">
        <v>14736</v>
      </c>
      <c r="BF845" t="str">
        <f>HYPERLINK("http://dx.doi.org/10.1017/S0954102010000763","http://dx.doi.org/10.1017/S0954102010000763")</f>
        <v>http://dx.doi.org/10.1017/S0954102010000763</v>
      </c>
      <c r="BG845" t="s">
        <v>74</v>
      </c>
      <c r="BH845" t="s">
        <v>74</v>
      </c>
      <c r="BI845">
        <v>8</v>
      </c>
      <c r="BJ845" t="s">
        <v>99</v>
      </c>
      <c r="BK845" t="s">
        <v>100</v>
      </c>
      <c r="BL845" t="s">
        <v>101</v>
      </c>
      <c r="BM845" t="s">
        <v>14349</v>
      </c>
      <c r="BN845" t="s">
        <v>74</v>
      </c>
      <c r="BO845" t="s">
        <v>138</v>
      </c>
      <c r="BP845" t="s">
        <v>74</v>
      </c>
      <c r="BQ845" t="s">
        <v>74</v>
      </c>
      <c r="BR845" t="s">
        <v>103</v>
      </c>
      <c r="BS845" t="s">
        <v>14737</v>
      </c>
      <c r="BT845" t="str">
        <f>HYPERLINK("https%3A%2F%2Fwww.webofscience.com%2Fwos%2Fwoscc%2Ffull-record%2FWOS:000285470300008","View Full Record in Web of Science")</f>
        <v>View Full Record in Web of Science</v>
      </c>
    </row>
    <row r="846" spans="1:72" x14ac:dyDescent="0.15">
      <c r="A846" t="s">
        <v>72</v>
      </c>
      <c r="B846" t="s">
        <v>5039</v>
      </c>
      <c r="C846" t="s">
        <v>74</v>
      </c>
      <c r="D846" t="s">
        <v>74</v>
      </c>
      <c r="E846" t="s">
        <v>74</v>
      </c>
      <c r="F846" t="s">
        <v>5040</v>
      </c>
      <c r="G846" t="s">
        <v>74</v>
      </c>
      <c r="H846" t="s">
        <v>74</v>
      </c>
      <c r="I846" t="s">
        <v>14738</v>
      </c>
      <c r="J846" t="s">
        <v>77</v>
      </c>
      <c r="K846" t="s">
        <v>74</v>
      </c>
      <c r="L846" t="s">
        <v>74</v>
      </c>
      <c r="M846" t="s">
        <v>78</v>
      </c>
      <c r="N846" t="s">
        <v>79</v>
      </c>
      <c r="O846" t="s">
        <v>74</v>
      </c>
      <c r="P846" t="s">
        <v>74</v>
      </c>
      <c r="Q846" t="s">
        <v>74</v>
      </c>
      <c r="R846" t="s">
        <v>74</v>
      </c>
      <c r="S846" t="s">
        <v>74</v>
      </c>
      <c r="T846" t="s">
        <v>14739</v>
      </c>
      <c r="U846" t="s">
        <v>14740</v>
      </c>
      <c r="V846" t="s">
        <v>14741</v>
      </c>
      <c r="W846" t="s">
        <v>14742</v>
      </c>
      <c r="X846" t="s">
        <v>5046</v>
      </c>
      <c r="Y846" t="s">
        <v>14743</v>
      </c>
      <c r="Z846" t="s">
        <v>14744</v>
      </c>
      <c r="AA846" t="s">
        <v>5049</v>
      </c>
      <c r="AB846" t="s">
        <v>5050</v>
      </c>
      <c r="AC846" t="s">
        <v>14745</v>
      </c>
      <c r="AD846" t="s">
        <v>14746</v>
      </c>
      <c r="AE846" t="s">
        <v>14747</v>
      </c>
      <c r="AF846" t="s">
        <v>74</v>
      </c>
      <c r="AG846">
        <v>42</v>
      </c>
      <c r="AH846">
        <v>32</v>
      </c>
      <c r="AI846">
        <v>34</v>
      </c>
      <c r="AJ846">
        <v>1</v>
      </c>
      <c r="AK846">
        <v>8</v>
      </c>
      <c r="AL846" t="s">
        <v>90</v>
      </c>
      <c r="AM846" t="s">
        <v>91</v>
      </c>
      <c r="AN846" t="s">
        <v>92</v>
      </c>
      <c r="AO846" t="s">
        <v>93</v>
      </c>
      <c r="AP846" t="s">
        <v>94</v>
      </c>
      <c r="AQ846" t="s">
        <v>74</v>
      </c>
      <c r="AR846" t="s">
        <v>95</v>
      </c>
      <c r="AS846" t="s">
        <v>96</v>
      </c>
      <c r="AT846" t="s">
        <v>14347</v>
      </c>
      <c r="AU846">
        <v>2010</v>
      </c>
      <c r="AV846">
        <v>22</v>
      </c>
      <c r="AW846">
        <v>6</v>
      </c>
      <c r="AX846" t="s">
        <v>74</v>
      </c>
      <c r="AY846" t="s">
        <v>74</v>
      </c>
      <c r="AZ846" t="s">
        <v>967</v>
      </c>
      <c r="BA846" t="s">
        <v>74</v>
      </c>
      <c r="BB846">
        <v>681</v>
      </c>
      <c r="BC846">
        <v>690</v>
      </c>
      <c r="BD846" t="s">
        <v>74</v>
      </c>
      <c r="BE846" t="s">
        <v>14748</v>
      </c>
      <c r="BF846" t="str">
        <f>HYPERLINK("http://dx.doi.org/10.1017/S0954102010000647","http://dx.doi.org/10.1017/S0954102010000647")</f>
        <v>http://dx.doi.org/10.1017/S0954102010000647</v>
      </c>
      <c r="BG846" t="s">
        <v>74</v>
      </c>
      <c r="BH846" t="s">
        <v>74</v>
      </c>
      <c r="BI846">
        <v>10</v>
      </c>
      <c r="BJ846" t="s">
        <v>99</v>
      </c>
      <c r="BK846" t="s">
        <v>100</v>
      </c>
      <c r="BL846" t="s">
        <v>101</v>
      </c>
      <c r="BM846" t="s">
        <v>14349</v>
      </c>
      <c r="BN846" t="s">
        <v>74</v>
      </c>
      <c r="BO846" t="s">
        <v>138</v>
      </c>
      <c r="BP846" t="s">
        <v>74</v>
      </c>
      <c r="BQ846" t="s">
        <v>74</v>
      </c>
      <c r="BR846" t="s">
        <v>103</v>
      </c>
      <c r="BS846" t="s">
        <v>14749</v>
      </c>
      <c r="BT846" t="str">
        <f>HYPERLINK("https%3A%2F%2Fwww.webofscience.com%2Fwos%2Fwoscc%2Ffull-record%2FWOS:000285470300009","View Full Record in Web of Science")</f>
        <v>View Full Record in Web of Science</v>
      </c>
    </row>
    <row r="847" spans="1:72" x14ac:dyDescent="0.15">
      <c r="A847" t="s">
        <v>72</v>
      </c>
      <c r="B847" t="s">
        <v>14750</v>
      </c>
      <c r="C847" t="s">
        <v>74</v>
      </c>
      <c r="D847" t="s">
        <v>74</v>
      </c>
      <c r="E847" t="s">
        <v>74</v>
      </c>
      <c r="F847" t="s">
        <v>14751</v>
      </c>
      <c r="G847" t="s">
        <v>74</v>
      </c>
      <c r="H847" t="s">
        <v>74</v>
      </c>
      <c r="I847" t="s">
        <v>14752</v>
      </c>
      <c r="J847" t="s">
        <v>77</v>
      </c>
      <c r="K847" t="s">
        <v>74</v>
      </c>
      <c r="L847" t="s">
        <v>74</v>
      </c>
      <c r="M847" t="s">
        <v>78</v>
      </c>
      <c r="N847" t="s">
        <v>79</v>
      </c>
      <c r="O847" t="s">
        <v>74</v>
      </c>
      <c r="P847" t="s">
        <v>74</v>
      </c>
      <c r="Q847" t="s">
        <v>74</v>
      </c>
      <c r="R847" t="s">
        <v>74</v>
      </c>
      <c r="S847" t="s">
        <v>74</v>
      </c>
      <c r="T847" t="s">
        <v>14753</v>
      </c>
      <c r="U847" t="s">
        <v>14754</v>
      </c>
      <c r="V847" t="s">
        <v>14755</v>
      </c>
      <c r="W847" t="s">
        <v>14756</v>
      </c>
      <c r="X847" t="s">
        <v>14757</v>
      </c>
      <c r="Y847" t="s">
        <v>14758</v>
      </c>
      <c r="Z847" t="s">
        <v>14759</v>
      </c>
      <c r="AA847" t="s">
        <v>14760</v>
      </c>
      <c r="AB847" t="s">
        <v>14761</v>
      </c>
      <c r="AC847" t="s">
        <v>14762</v>
      </c>
      <c r="AD847" t="s">
        <v>14763</v>
      </c>
      <c r="AE847" t="s">
        <v>14764</v>
      </c>
      <c r="AF847" t="s">
        <v>74</v>
      </c>
      <c r="AG847">
        <v>73</v>
      </c>
      <c r="AH847">
        <v>32</v>
      </c>
      <c r="AI847">
        <v>36</v>
      </c>
      <c r="AJ847">
        <v>1</v>
      </c>
      <c r="AK847">
        <v>24</v>
      </c>
      <c r="AL847" t="s">
        <v>90</v>
      </c>
      <c r="AM847" t="s">
        <v>91</v>
      </c>
      <c r="AN847" t="s">
        <v>92</v>
      </c>
      <c r="AO847" t="s">
        <v>93</v>
      </c>
      <c r="AP847" t="s">
        <v>94</v>
      </c>
      <c r="AQ847" t="s">
        <v>74</v>
      </c>
      <c r="AR847" t="s">
        <v>95</v>
      </c>
      <c r="AS847" t="s">
        <v>96</v>
      </c>
      <c r="AT847" t="s">
        <v>14347</v>
      </c>
      <c r="AU847">
        <v>2010</v>
      </c>
      <c r="AV847">
        <v>22</v>
      </c>
      <c r="AW847">
        <v>6</v>
      </c>
      <c r="AX847" t="s">
        <v>74</v>
      </c>
      <c r="AY847" t="s">
        <v>74</v>
      </c>
      <c r="AZ847" t="s">
        <v>967</v>
      </c>
      <c r="BA847" t="s">
        <v>74</v>
      </c>
      <c r="BB847">
        <v>691</v>
      </c>
      <c r="BC847">
        <v>702</v>
      </c>
      <c r="BD847" t="s">
        <v>74</v>
      </c>
      <c r="BE847" t="s">
        <v>14765</v>
      </c>
      <c r="BF847" t="str">
        <f>HYPERLINK("http://dx.doi.org/10.1017/S0954102010000568","http://dx.doi.org/10.1017/S0954102010000568")</f>
        <v>http://dx.doi.org/10.1017/S0954102010000568</v>
      </c>
      <c r="BG847" t="s">
        <v>74</v>
      </c>
      <c r="BH847" t="s">
        <v>74</v>
      </c>
      <c r="BI847">
        <v>12</v>
      </c>
      <c r="BJ847" t="s">
        <v>99</v>
      </c>
      <c r="BK847" t="s">
        <v>100</v>
      </c>
      <c r="BL847" t="s">
        <v>101</v>
      </c>
      <c r="BM847" t="s">
        <v>14349</v>
      </c>
      <c r="BN847" t="s">
        <v>74</v>
      </c>
      <c r="BO847" t="s">
        <v>74</v>
      </c>
      <c r="BP847" t="s">
        <v>74</v>
      </c>
      <c r="BQ847" t="s">
        <v>74</v>
      </c>
      <c r="BR847" t="s">
        <v>103</v>
      </c>
      <c r="BS847" t="s">
        <v>14766</v>
      </c>
      <c r="BT847" t="str">
        <f>HYPERLINK("https%3A%2F%2Fwww.webofscience.com%2Fwos%2Fwoscc%2Ffull-record%2FWOS:000285470300010","View Full Record in Web of Science")</f>
        <v>View Full Record in Web of Science</v>
      </c>
    </row>
    <row r="848" spans="1:72" x14ac:dyDescent="0.15">
      <c r="A848" t="s">
        <v>72</v>
      </c>
      <c r="B848" t="s">
        <v>14767</v>
      </c>
      <c r="C848" t="s">
        <v>74</v>
      </c>
      <c r="D848" t="s">
        <v>74</v>
      </c>
      <c r="E848" t="s">
        <v>74</v>
      </c>
      <c r="F848" t="s">
        <v>14768</v>
      </c>
      <c r="G848" t="s">
        <v>74</v>
      </c>
      <c r="H848" t="s">
        <v>74</v>
      </c>
      <c r="I848" t="s">
        <v>14769</v>
      </c>
      <c r="J848" t="s">
        <v>77</v>
      </c>
      <c r="K848" t="s">
        <v>74</v>
      </c>
      <c r="L848" t="s">
        <v>74</v>
      </c>
      <c r="M848" t="s">
        <v>78</v>
      </c>
      <c r="N848" t="s">
        <v>79</v>
      </c>
      <c r="O848" t="s">
        <v>74</v>
      </c>
      <c r="P848" t="s">
        <v>74</v>
      </c>
      <c r="Q848" t="s">
        <v>74</v>
      </c>
      <c r="R848" t="s">
        <v>74</v>
      </c>
      <c r="S848" t="s">
        <v>74</v>
      </c>
      <c r="T848" t="s">
        <v>14770</v>
      </c>
      <c r="U848" t="s">
        <v>14771</v>
      </c>
      <c r="V848" t="s">
        <v>14772</v>
      </c>
      <c r="W848" t="s">
        <v>14773</v>
      </c>
      <c r="X848" t="s">
        <v>14774</v>
      </c>
      <c r="Y848" t="s">
        <v>14775</v>
      </c>
      <c r="Z848" t="s">
        <v>14776</v>
      </c>
      <c r="AA848" t="s">
        <v>9288</v>
      </c>
      <c r="AB848" t="s">
        <v>14777</v>
      </c>
      <c r="AC848" t="s">
        <v>74</v>
      </c>
      <c r="AD848" t="s">
        <v>74</v>
      </c>
      <c r="AE848" t="s">
        <v>74</v>
      </c>
      <c r="AF848" t="s">
        <v>74</v>
      </c>
      <c r="AG848">
        <v>46</v>
      </c>
      <c r="AH848">
        <v>17</v>
      </c>
      <c r="AI848">
        <v>17</v>
      </c>
      <c r="AJ848">
        <v>1</v>
      </c>
      <c r="AK848">
        <v>25</v>
      </c>
      <c r="AL848" t="s">
        <v>90</v>
      </c>
      <c r="AM848" t="s">
        <v>91</v>
      </c>
      <c r="AN848" t="s">
        <v>92</v>
      </c>
      <c r="AO848" t="s">
        <v>93</v>
      </c>
      <c r="AP848" t="s">
        <v>94</v>
      </c>
      <c r="AQ848" t="s">
        <v>74</v>
      </c>
      <c r="AR848" t="s">
        <v>95</v>
      </c>
      <c r="AS848" t="s">
        <v>96</v>
      </c>
      <c r="AT848" t="s">
        <v>14347</v>
      </c>
      <c r="AU848">
        <v>2010</v>
      </c>
      <c r="AV848">
        <v>22</v>
      </c>
      <c r="AW848">
        <v>6</v>
      </c>
      <c r="AX848" t="s">
        <v>74</v>
      </c>
      <c r="AY848" t="s">
        <v>74</v>
      </c>
      <c r="AZ848" t="s">
        <v>967</v>
      </c>
      <c r="BA848" t="s">
        <v>74</v>
      </c>
      <c r="BB848">
        <v>703</v>
      </c>
      <c r="BC848">
        <v>713</v>
      </c>
      <c r="BD848" t="s">
        <v>74</v>
      </c>
      <c r="BE848" t="s">
        <v>14778</v>
      </c>
      <c r="BF848" t="str">
        <f>HYPERLINK("http://dx.doi.org/10.1017/S0954102010000751","http://dx.doi.org/10.1017/S0954102010000751")</f>
        <v>http://dx.doi.org/10.1017/S0954102010000751</v>
      </c>
      <c r="BG848" t="s">
        <v>74</v>
      </c>
      <c r="BH848" t="s">
        <v>74</v>
      </c>
      <c r="BI848">
        <v>11</v>
      </c>
      <c r="BJ848" t="s">
        <v>99</v>
      </c>
      <c r="BK848" t="s">
        <v>100</v>
      </c>
      <c r="BL848" t="s">
        <v>101</v>
      </c>
      <c r="BM848" t="s">
        <v>14349</v>
      </c>
      <c r="BN848" t="s">
        <v>74</v>
      </c>
      <c r="BO848" t="s">
        <v>74</v>
      </c>
      <c r="BP848" t="s">
        <v>74</v>
      </c>
      <c r="BQ848" t="s">
        <v>74</v>
      </c>
      <c r="BR848" t="s">
        <v>103</v>
      </c>
      <c r="BS848" t="s">
        <v>14779</v>
      </c>
      <c r="BT848" t="str">
        <f>HYPERLINK("https%3A%2F%2Fwww.webofscience.com%2Fwos%2Fwoscc%2Ffull-record%2FWOS:000285470300011","View Full Record in Web of Science")</f>
        <v>View Full Record in Web of Science</v>
      </c>
    </row>
    <row r="849" spans="1:72" x14ac:dyDescent="0.15">
      <c r="A849" t="s">
        <v>72</v>
      </c>
      <c r="B849" t="s">
        <v>14780</v>
      </c>
      <c r="C849" t="s">
        <v>74</v>
      </c>
      <c r="D849" t="s">
        <v>74</v>
      </c>
      <c r="E849" t="s">
        <v>74</v>
      </c>
      <c r="F849" t="s">
        <v>14781</v>
      </c>
      <c r="G849" t="s">
        <v>74</v>
      </c>
      <c r="H849" t="s">
        <v>74</v>
      </c>
      <c r="I849" t="s">
        <v>14782</v>
      </c>
      <c r="J849" t="s">
        <v>77</v>
      </c>
      <c r="K849" t="s">
        <v>74</v>
      </c>
      <c r="L849" t="s">
        <v>74</v>
      </c>
      <c r="M849" t="s">
        <v>78</v>
      </c>
      <c r="N849" t="s">
        <v>79</v>
      </c>
      <c r="O849" t="s">
        <v>74</v>
      </c>
      <c r="P849" t="s">
        <v>74</v>
      </c>
      <c r="Q849" t="s">
        <v>74</v>
      </c>
      <c r="R849" t="s">
        <v>74</v>
      </c>
      <c r="S849" t="s">
        <v>74</v>
      </c>
      <c r="T849" t="s">
        <v>14783</v>
      </c>
      <c r="U849" t="s">
        <v>14784</v>
      </c>
      <c r="V849" t="s">
        <v>14785</v>
      </c>
      <c r="W849" t="s">
        <v>14786</v>
      </c>
      <c r="X849" t="s">
        <v>14787</v>
      </c>
      <c r="Y849" t="s">
        <v>1431</v>
      </c>
      <c r="Z849" t="s">
        <v>1432</v>
      </c>
      <c r="AA849" t="s">
        <v>14788</v>
      </c>
      <c r="AB849" t="s">
        <v>14789</v>
      </c>
      <c r="AC849" t="s">
        <v>14790</v>
      </c>
      <c r="AD849" t="s">
        <v>14791</v>
      </c>
      <c r="AE849" t="s">
        <v>14792</v>
      </c>
      <c r="AF849" t="s">
        <v>74</v>
      </c>
      <c r="AG849">
        <v>38</v>
      </c>
      <c r="AH849">
        <v>51</v>
      </c>
      <c r="AI849">
        <v>60</v>
      </c>
      <c r="AJ849">
        <v>2</v>
      </c>
      <c r="AK849">
        <v>22</v>
      </c>
      <c r="AL849" t="s">
        <v>90</v>
      </c>
      <c r="AM849" t="s">
        <v>91</v>
      </c>
      <c r="AN849" t="s">
        <v>92</v>
      </c>
      <c r="AO849" t="s">
        <v>93</v>
      </c>
      <c r="AP849" t="s">
        <v>74</v>
      </c>
      <c r="AQ849" t="s">
        <v>74</v>
      </c>
      <c r="AR849" t="s">
        <v>95</v>
      </c>
      <c r="AS849" t="s">
        <v>96</v>
      </c>
      <c r="AT849" t="s">
        <v>14347</v>
      </c>
      <c r="AU849">
        <v>2010</v>
      </c>
      <c r="AV849">
        <v>22</v>
      </c>
      <c r="AW849">
        <v>6</v>
      </c>
      <c r="AX849" t="s">
        <v>74</v>
      </c>
      <c r="AY849" t="s">
        <v>74</v>
      </c>
      <c r="AZ849" t="s">
        <v>967</v>
      </c>
      <c r="BA849" t="s">
        <v>74</v>
      </c>
      <c r="BB849">
        <v>714</v>
      </c>
      <c r="BC849">
        <v>720</v>
      </c>
      <c r="BD849" t="s">
        <v>74</v>
      </c>
      <c r="BE849" t="s">
        <v>14793</v>
      </c>
      <c r="BF849" t="str">
        <f>HYPERLINK("http://dx.doi.org/10.1017/S0954102010000507","http://dx.doi.org/10.1017/S0954102010000507")</f>
        <v>http://dx.doi.org/10.1017/S0954102010000507</v>
      </c>
      <c r="BG849" t="s">
        <v>74</v>
      </c>
      <c r="BH849" t="s">
        <v>74</v>
      </c>
      <c r="BI849">
        <v>7</v>
      </c>
      <c r="BJ849" t="s">
        <v>99</v>
      </c>
      <c r="BK849" t="s">
        <v>100</v>
      </c>
      <c r="BL849" t="s">
        <v>101</v>
      </c>
      <c r="BM849" t="s">
        <v>14349</v>
      </c>
      <c r="BN849" t="s">
        <v>74</v>
      </c>
      <c r="BO849" t="s">
        <v>138</v>
      </c>
      <c r="BP849" t="s">
        <v>74</v>
      </c>
      <c r="BQ849" t="s">
        <v>74</v>
      </c>
      <c r="BR849" t="s">
        <v>103</v>
      </c>
      <c r="BS849" t="s">
        <v>14794</v>
      </c>
      <c r="BT849" t="str">
        <f>HYPERLINK("https%3A%2F%2Fwww.webofscience.com%2Fwos%2Fwoscc%2Ffull-record%2FWOS:000285470300012","View Full Record in Web of Science")</f>
        <v>View Full Record in Web of Science</v>
      </c>
    </row>
    <row r="850" spans="1:72" x14ac:dyDescent="0.15">
      <c r="A850" t="s">
        <v>72</v>
      </c>
      <c r="B850" t="s">
        <v>14795</v>
      </c>
      <c r="C850" t="s">
        <v>74</v>
      </c>
      <c r="D850" t="s">
        <v>74</v>
      </c>
      <c r="E850" t="s">
        <v>74</v>
      </c>
      <c r="F850" t="s">
        <v>14796</v>
      </c>
      <c r="G850" t="s">
        <v>74</v>
      </c>
      <c r="H850" t="s">
        <v>74</v>
      </c>
      <c r="I850" t="s">
        <v>14797</v>
      </c>
      <c r="J850" t="s">
        <v>77</v>
      </c>
      <c r="K850" t="s">
        <v>74</v>
      </c>
      <c r="L850" t="s">
        <v>74</v>
      </c>
      <c r="M850" t="s">
        <v>78</v>
      </c>
      <c r="N850" t="s">
        <v>79</v>
      </c>
      <c r="O850" t="s">
        <v>74</v>
      </c>
      <c r="P850" t="s">
        <v>74</v>
      </c>
      <c r="Q850" t="s">
        <v>74</v>
      </c>
      <c r="R850" t="s">
        <v>74</v>
      </c>
      <c r="S850" t="s">
        <v>74</v>
      </c>
      <c r="T850" t="s">
        <v>14798</v>
      </c>
      <c r="U850" t="s">
        <v>14799</v>
      </c>
      <c r="V850" t="s">
        <v>14800</v>
      </c>
      <c r="W850" t="s">
        <v>14801</v>
      </c>
      <c r="X850" t="s">
        <v>14802</v>
      </c>
      <c r="Y850" t="s">
        <v>14803</v>
      </c>
      <c r="Z850" t="s">
        <v>14804</v>
      </c>
      <c r="AA850" t="s">
        <v>14805</v>
      </c>
      <c r="AB850" t="s">
        <v>14806</v>
      </c>
      <c r="AC850" t="s">
        <v>14807</v>
      </c>
      <c r="AD850" t="s">
        <v>14808</v>
      </c>
      <c r="AE850" t="s">
        <v>14809</v>
      </c>
      <c r="AF850" t="s">
        <v>74</v>
      </c>
      <c r="AG850">
        <v>28</v>
      </c>
      <c r="AH850">
        <v>23</v>
      </c>
      <c r="AI850">
        <v>24</v>
      </c>
      <c r="AJ850">
        <v>0</v>
      </c>
      <c r="AK850">
        <v>16</v>
      </c>
      <c r="AL850" t="s">
        <v>90</v>
      </c>
      <c r="AM850" t="s">
        <v>91</v>
      </c>
      <c r="AN850" t="s">
        <v>92</v>
      </c>
      <c r="AO850" t="s">
        <v>93</v>
      </c>
      <c r="AP850" t="s">
        <v>94</v>
      </c>
      <c r="AQ850" t="s">
        <v>74</v>
      </c>
      <c r="AR850" t="s">
        <v>95</v>
      </c>
      <c r="AS850" t="s">
        <v>96</v>
      </c>
      <c r="AT850" t="s">
        <v>14347</v>
      </c>
      <c r="AU850">
        <v>2010</v>
      </c>
      <c r="AV850">
        <v>22</v>
      </c>
      <c r="AW850">
        <v>6</v>
      </c>
      <c r="AX850" t="s">
        <v>74</v>
      </c>
      <c r="AY850" t="s">
        <v>74</v>
      </c>
      <c r="AZ850" t="s">
        <v>967</v>
      </c>
      <c r="BA850" t="s">
        <v>74</v>
      </c>
      <c r="BB850">
        <v>721</v>
      </c>
      <c r="BC850">
        <v>726</v>
      </c>
      <c r="BD850" t="s">
        <v>74</v>
      </c>
      <c r="BE850" t="s">
        <v>14810</v>
      </c>
      <c r="BF850" t="str">
        <f>HYPERLINK("http://dx.doi.org/10.1017/S0954102010000453","http://dx.doi.org/10.1017/S0954102010000453")</f>
        <v>http://dx.doi.org/10.1017/S0954102010000453</v>
      </c>
      <c r="BG850" t="s">
        <v>74</v>
      </c>
      <c r="BH850" t="s">
        <v>74</v>
      </c>
      <c r="BI850">
        <v>6</v>
      </c>
      <c r="BJ850" t="s">
        <v>99</v>
      </c>
      <c r="BK850" t="s">
        <v>100</v>
      </c>
      <c r="BL850" t="s">
        <v>101</v>
      </c>
      <c r="BM850" t="s">
        <v>14349</v>
      </c>
      <c r="BN850" t="s">
        <v>74</v>
      </c>
      <c r="BO850" t="s">
        <v>138</v>
      </c>
      <c r="BP850" t="s">
        <v>74</v>
      </c>
      <c r="BQ850" t="s">
        <v>74</v>
      </c>
      <c r="BR850" t="s">
        <v>103</v>
      </c>
      <c r="BS850" t="s">
        <v>14811</v>
      </c>
      <c r="BT850" t="str">
        <f>HYPERLINK("https%3A%2F%2Fwww.webofscience.com%2Fwos%2Fwoscc%2Ffull-record%2FWOS:000285470300013","View Full Record in Web of Science")</f>
        <v>View Full Record in Web of Science</v>
      </c>
    </row>
    <row r="851" spans="1:72" x14ac:dyDescent="0.15">
      <c r="A851" t="s">
        <v>72</v>
      </c>
      <c r="B851" t="s">
        <v>14812</v>
      </c>
      <c r="C851" t="s">
        <v>74</v>
      </c>
      <c r="D851" t="s">
        <v>74</v>
      </c>
      <c r="E851" t="s">
        <v>74</v>
      </c>
      <c r="F851" t="s">
        <v>14813</v>
      </c>
      <c r="G851" t="s">
        <v>74</v>
      </c>
      <c r="H851" t="s">
        <v>74</v>
      </c>
      <c r="I851" t="s">
        <v>14814</v>
      </c>
      <c r="J851" t="s">
        <v>77</v>
      </c>
      <c r="K851" t="s">
        <v>74</v>
      </c>
      <c r="L851" t="s">
        <v>74</v>
      </c>
      <c r="M851" t="s">
        <v>78</v>
      </c>
      <c r="N851" t="s">
        <v>79</v>
      </c>
      <c r="O851" t="s">
        <v>74</v>
      </c>
      <c r="P851" t="s">
        <v>74</v>
      </c>
      <c r="Q851" t="s">
        <v>74</v>
      </c>
      <c r="R851" t="s">
        <v>74</v>
      </c>
      <c r="S851" t="s">
        <v>74</v>
      </c>
      <c r="T851" t="s">
        <v>14815</v>
      </c>
      <c r="U851" t="s">
        <v>14816</v>
      </c>
      <c r="V851" t="s">
        <v>14817</v>
      </c>
      <c r="W851" t="s">
        <v>14818</v>
      </c>
      <c r="X851" t="s">
        <v>14819</v>
      </c>
      <c r="Y851" t="s">
        <v>14820</v>
      </c>
      <c r="Z851" t="s">
        <v>14821</v>
      </c>
      <c r="AA851" t="s">
        <v>14822</v>
      </c>
      <c r="AB851" t="s">
        <v>14823</v>
      </c>
      <c r="AC851" t="s">
        <v>14824</v>
      </c>
      <c r="AD851" t="s">
        <v>14824</v>
      </c>
      <c r="AE851" t="s">
        <v>14825</v>
      </c>
      <c r="AF851" t="s">
        <v>74</v>
      </c>
      <c r="AG851">
        <v>57</v>
      </c>
      <c r="AH851">
        <v>34</v>
      </c>
      <c r="AI851">
        <v>35</v>
      </c>
      <c r="AJ851">
        <v>0</v>
      </c>
      <c r="AK851">
        <v>8</v>
      </c>
      <c r="AL851" t="s">
        <v>90</v>
      </c>
      <c r="AM851" t="s">
        <v>91</v>
      </c>
      <c r="AN851" t="s">
        <v>92</v>
      </c>
      <c r="AO851" t="s">
        <v>93</v>
      </c>
      <c r="AP851" t="s">
        <v>74</v>
      </c>
      <c r="AQ851" t="s">
        <v>74</v>
      </c>
      <c r="AR851" t="s">
        <v>95</v>
      </c>
      <c r="AS851" t="s">
        <v>96</v>
      </c>
      <c r="AT851" t="s">
        <v>14347</v>
      </c>
      <c r="AU851">
        <v>2010</v>
      </c>
      <c r="AV851">
        <v>22</v>
      </c>
      <c r="AW851">
        <v>6</v>
      </c>
      <c r="AX851" t="s">
        <v>74</v>
      </c>
      <c r="AY851" t="s">
        <v>74</v>
      </c>
      <c r="AZ851" t="s">
        <v>967</v>
      </c>
      <c r="BA851" t="s">
        <v>74</v>
      </c>
      <c r="BB851">
        <v>727</v>
      </c>
      <c r="BC851">
        <v>741</v>
      </c>
      <c r="BD851" t="s">
        <v>74</v>
      </c>
      <c r="BE851" t="s">
        <v>14826</v>
      </c>
      <c r="BF851" t="str">
        <f>HYPERLINK("http://dx.doi.org/10.1017/S0954102010000477","http://dx.doi.org/10.1017/S0954102010000477")</f>
        <v>http://dx.doi.org/10.1017/S0954102010000477</v>
      </c>
      <c r="BG851" t="s">
        <v>74</v>
      </c>
      <c r="BH851" t="s">
        <v>74</v>
      </c>
      <c r="BI851">
        <v>15</v>
      </c>
      <c r="BJ851" t="s">
        <v>99</v>
      </c>
      <c r="BK851" t="s">
        <v>100</v>
      </c>
      <c r="BL851" t="s">
        <v>101</v>
      </c>
      <c r="BM851" t="s">
        <v>14349</v>
      </c>
      <c r="BN851" t="s">
        <v>74</v>
      </c>
      <c r="BO851" t="s">
        <v>138</v>
      </c>
      <c r="BP851" t="s">
        <v>74</v>
      </c>
      <c r="BQ851" t="s">
        <v>74</v>
      </c>
      <c r="BR851" t="s">
        <v>103</v>
      </c>
      <c r="BS851" t="s">
        <v>14827</v>
      </c>
      <c r="BT851" t="str">
        <f>HYPERLINK("https%3A%2F%2Fwww.webofscience.com%2Fwos%2Fwoscc%2Ffull-record%2FWOS:000285470300014","View Full Record in Web of Science")</f>
        <v>View Full Record in Web of Science</v>
      </c>
    </row>
    <row r="852" spans="1:72" x14ac:dyDescent="0.15">
      <c r="A852" t="s">
        <v>72</v>
      </c>
      <c r="B852" t="s">
        <v>14828</v>
      </c>
      <c r="C852" t="s">
        <v>74</v>
      </c>
      <c r="D852" t="s">
        <v>74</v>
      </c>
      <c r="E852" t="s">
        <v>74</v>
      </c>
      <c r="F852" t="s">
        <v>14829</v>
      </c>
      <c r="G852" t="s">
        <v>74</v>
      </c>
      <c r="H852" t="s">
        <v>74</v>
      </c>
      <c r="I852" t="s">
        <v>14830</v>
      </c>
      <c r="J852" t="s">
        <v>77</v>
      </c>
      <c r="K852" t="s">
        <v>74</v>
      </c>
      <c r="L852" t="s">
        <v>74</v>
      </c>
      <c r="M852" t="s">
        <v>78</v>
      </c>
      <c r="N852" t="s">
        <v>79</v>
      </c>
      <c r="O852" t="s">
        <v>74</v>
      </c>
      <c r="P852" t="s">
        <v>74</v>
      </c>
      <c r="Q852" t="s">
        <v>74</v>
      </c>
      <c r="R852" t="s">
        <v>74</v>
      </c>
      <c r="S852" t="s">
        <v>74</v>
      </c>
      <c r="T852" t="s">
        <v>14831</v>
      </c>
      <c r="U852" t="s">
        <v>14832</v>
      </c>
      <c r="V852" t="s">
        <v>14833</v>
      </c>
      <c r="W852" t="s">
        <v>14834</v>
      </c>
      <c r="X852" t="s">
        <v>14835</v>
      </c>
      <c r="Y852" t="s">
        <v>14836</v>
      </c>
      <c r="Z852" t="s">
        <v>14837</v>
      </c>
      <c r="AA852" t="s">
        <v>14838</v>
      </c>
      <c r="AB852" t="s">
        <v>14839</v>
      </c>
      <c r="AC852" t="s">
        <v>14840</v>
      </c>
      <c r="AD852" t="s">
        <v>14841</v>
      </c>
      <c r="AE852" t="s">
        <v>14842</v>
      </c>
      <c r="AF852" t="s">
        <v>74</v>
      </c>
      <c r="AG852">
        <v>45</v>
      </c>
      <c r="AH852">
        <v>8</v>
      </c>
      <c r="AI852">
        <v>8</v>
      </c>
      <c r="AJ852">
        <v>1</v>
      </c>
      <c r="AK852">
        <v>27</v>
      </c>
      <c r="AL852" t="s">
        <v>90</v>
      </c>
      <c r="AM852" t="s">
        <v>91</v>
      </c>
      <c r="AN852" t="s">
        <v>92</v>
      </c>
      <c r="AO852" t="s">
        <v>93</v>
      </c>
      <c r="AP852" t="s">
        <v>74</v>
      </c>
      <c r="AQ852" t="s">
        <v>74</v>
      </c>
      <c r="AR852" t="s">
        <v>95</v>
      </c>
      <c r="AS852" t="s">
        <v>96</v>
      </c>
      <c r="AT852" t="s">
        <v>14347</v>
      </c>
      <c r="AU852">
        <v>2010</v>
      </c>
      <c r="AV852">
        <v>22</v>
      </c>
      <c r="AW852">
        <v>6</v>
      </c>
      <c r="AX852" t="s">
        <v>74</v>
      </c>
      <c r="AY852" t="s">
        <v>74</v>
      </c>
      <c r="AZ852" t="s">
        <v>967</v>
      </c>
      <c r="BA852" t="s">
        <v>74</v>
      </c>
      <c r="BB852">
        <v>742</v>
      </c>
      <c r="BC852">
        <v>748</v>
      </c>
      <c r="BD852" t="s">
        <v>74</v>
      </c>
      <c r="BE852" t="s">
        <v>14843</v>
      </c>
      <c r="BF852" t="str">
        <f>HYPERLINK("http://dx.doi.org/10.1017/S095410201000043X","http://dx.doi.org/10.1017/S095410201000043X")</f>
        <v>http://dx.doi.org/10.1017/S095410201000043X</v>
      </c>
      <c r="BG852" t="s">
        <v>74</v>
      </c>
      <c r="BH852" t="s">
        <v>74</v>
      </c>
      <c r="BI852">
        <v>7</v>
      </c>
      <c r="BJ852" t="s">
        <v>99</v>
      </c>
      <c r="BK852" t="s">
        <v>100</v>
      </c>
      <c r="BL852" t="s">
        <v>101</v>
      </c>
      <c r="BM852" t="s">
        <v>14349</v>
      </c>
      <c r="BN852" t="s">
        <v>74</v>
      </c>
      <c r="BO852" t="s">
        <v>138</v>
      </c>
      <c r="BP852" t="s">
        <v>74</v>
      </c>
      <c r="BQ852" t="s">
        <v>74</v>
      </c>
      <c r="BR852" t="s">
        <v>103</v>
      </c>
      <c r="BS852" t="s">
        <v>14844</v>
      </c>
      <c r="BT852" t="str">
        <f>HYPERLINK("https%3A%2F%2Fwww.webofscience.com%2Fwos%2Fwoscc%2Ffull-record%2FWOS:000285470300015","View Full Record in Web of Science")</f>
        <v>View Full Record in Web of Science</v>
      </c>
    </row>
    <row r="853" spans="1:72" x14ac:dyDescent="0.15">
      <c r="A853" t="s">
        <v>72</v>
      </c>
      <c r="B853" t="s">
        <v>14845</v>
      </c>
      <c r="C853" t="s">
        <v>74</v>
      </c>
      <c r="D853" t="s">
        <v>74</v>
      </c>
      <c r="E853" t="s">
        <v>74</v>
      </c>
      <c r="F853" t="s">
        <v>14846</v>
      </c>
      <c r="G853" t="s">
        <v>74</v>
      </c>
      <c r="H853" t="s">
        <v>74</v>
      </c>
      <c r="I853" t="s">
        <v>14847</v>
      </c>
      <c r="J853" t="s">
        <v>77</v>
      </c>
      <c r="K853" t="s">
        <v>74</v>
      </c>
      <c r="L853" t="s">
        <v>74</v>
      </c>
      <c r="M853" t="s">
        <v>78</v>
      </c>
      <c r="N853" t="s">
        <v>79</v>
      </c>
      <c r="O853" t="s">
        <v>74</v>
      </c>
      <c r="P853" t="s">
        <v>74</v>
      </c>
      <c r="Q853" t="s">
        <v>74</v>
      </c>
      <c r="R853" t="s">
        <v>74</v>
      </c>
      <c r="S853" t="s">
        <v>74</v>
      </c>
      <c r="T853" t="s">
        <v>14848</v>
      </c>
      <c r="U853" t="s">
        <v>14849</v>
      </c>
      <c r="V853" t="s">
        <v>14850</v>
      </c>
      <c r="W853" t="s">
        <v>14851</v>
      </c>
      <c r="X853" t="s">
        <v>14852</v>
      </c>
      <c r="Y853" t="s">
        <v>14853</v>
      </c>
      <c r="Z853" t="s">
        <v>14854</v>
      </c>
      <c r="AA853" t="s">
        <v>14855</v>
      </c>
      <c r="AB853" t="s">
        <v>14856</v>
      </c>
      <c r="AC853" t="s">
        <v>14857</v>
      </c>
      <c r="AD853" t="s">
        <v>14858</v>
      </c>
      <c r="AE853" t="s">
        <v>14859</v>
      </c>
      <c r="AF853" t="s">
        <v>74</v>
      </c>
      <c r="AG853">
        <v>32</v>
      </c>
      <c r="AH853">
        <v>13</v>
      </c>
      <c r="AI853">
        <v>14</v>
      </c>
      <c r="AJ853">
        <v>0</v>
      </c>
      <c r="AK853">
        <v>5</v>
      </c>
      <c r="AL853" t="s">
        <v>90</v>
      </c>
      <c r="AM853" t="s">
        <v>91</v>
      </c>
      <c r="AN853" t="s">
        <v>92</v>
      </c>
      <c r="AO853" t="s">
        <v>93</v>
      </c>
      <c r="AP853" t="s">
        <v>94</v>
      </c>
      <c r="AQ853" t="s">
        <v>74</v>
      </c>
      <c r="AR853" t="s">
        <v>95</v>
      </c>
      <c r="AS853" t="s">
        <v>96</v>
      </c>
      <c r="AT853" t="s">
        <v>14347</v>
      </c>
      <c r="AU853">
        <v>2010</v>
      </c>
      <c r="AV853">
        <v>22</v>
      </c>
      <c r="AW853">
        <v>6</v>
      </c>
      <c r="AX853" t="s">
        <v>74</v>
      </c>
      <c r="AY853" t="s">
        <v>74</v>
      </c>
      <c r="AZ853" t="s">
        <v>967</v>
      </c>
      <c r="BA853" t="s">
        <v>74</v>
      </c>
      <c r="BB853">
        <v>749</v>
      </c>
      <c r="BC853">
        <v>756</v>
      </c>
      <c r="BD853" t="s">
        <v>74</v>
      </c>
      <c r="BE853" t="s">
        <v>14860</v>
      </c>
      <c r="BF853" t="str">
        <f>HYPERLINK("http://dx.doi.org/10.1017/S0954102010000659","http://dx.doi.org/10.1017/S0954102010000659")</f>
        <v>http://dx.doi.org/10.1017/S0954102010000659</v>
      </c>
      <c r="BG853" t="s">
        <v>74</v>
      </c>
      <c r="BH853" t="s">
        <v>74</v>
      </c>
      <c r="BI853">
        <v>8</v>
      </c>
      <c r="BJ853" t="s">
        <v>99</v>
      </c>
      <c r="BK853" t="s">
        <v>100</v>
      </c>
      <c r="BL853" t="s">
        <v>101</v>
      </c>
      <c r="BM853" t="s">
        <v>14349</v>
      </c>
      <c r="BN853" t="s">
        <v>74</v>
      </c>
      <c r="BO853" t="s">
        <v>3320</v>
      </c>
      <c r="BP853" t="s">
        <v>74</v>
      </c>
      <c r="BQ853" t="s">
        <v>74</v>
      </c>
      <c r="BR853" t="s">
        <v>103</v>
      </c>
      <c r="BS853" t="s">
        <v>14861</v>
      </c>
      <c r="BT853" t="str">
        <f>HYPERLINK("https%3A%2F%2Fwww.webofscience.com%2Fwos%2Fwoscc%2Ffull-record%2FWOS:000285470300016","View Full Record in Web of Science")</f>
        <v>View Full Record in Web of Science</v>
      </c>
    </row>
    <row r="854" spans="1:72" x14ac:dyDescent="0.15">
      <c r="A854" t="s">
        <v>72</v>
      </c>
      <c r="B854" t="s">
        <v>14862</v>
      </c>
      <c r="C854" t="s">
        <v>74</v>
      </c>
      <c r="D854" t="s">
        <v>74</v>
      </c>
      <c r="E854" t="s">
        <v>74</v>
      </c>
      <c r="F854" t="s">
        <v>14863</v>
      </c>
      <c r="G854" t="s">
        <v>74</v>
      </c>
      <c r="H854" t="s">
        <v>74</v>
      </c>
      <c r="I854" t="s">
        <v>14864</v>
      </c>
      <c r="J854" t="s">
        <v>77</v>
      </c>
      <c r="K854" t="s">
        <v>74</v>
      </c>
      <c r="L854" t="s">
        <v>74</v>
      </c>
      <c r="M854" t="s">
        <v>78</v>
      </c>
      <c r="N854" t="s">
        <v>79</v>
      </c>
      <c r="O854" t="s">
        <v>74</v>
      </c>
      <c r="P854" t="s">
        <v>74</v>
      </c>
      <c r="Q854" t="s">
        <v>74</v>
      </c>
      <c r="R854" t="s">
        <v>74</v>
      </c>
      <c r="S854" t="s">
        <v>74</v>
      </c>
      <c r="T854" t="s">
        <v>14865</v>
      </c>
      <c r="U854" t="s">
        <v>14866</v>
      </c>
      <c r="V854" t="s">
        <v>14867</v>
      </c>
      <c r="W854" t="s">
        <v>14868</v>
      </c>
      <c r="X854" t="s">
        <v>14869</v>
      </c>
      <c r="Y854" t="s">
        <v>14870</v>
      </c>
      <c r="Z854" t="s">
        <v>14871</v>
      </c>
      <c r="AA854" t="s">
        <v>14872</v>
      </c>
      <c r="AB854" t="s">
        <v>14873</v>
      </c>
      <c r="AC854" t="s">
        <v>14874</v>
      </c>
      <c r="AD854" t="s">
        <v>14875</v>
      </c>
      <c r="AE854" t="s">
        <v>14876</v>
      </c>
      <c r="AF854" t="s">
        <v>74</v>
      </c>
      <c r="AG854">
        <v>44</v>
      </c>
      <c r="AH854">
        <v>22</v>
      </c>
      <c r="AI854">
        <v>23</v>
      </c>
      <c r="AJ854">
        <v>2</v>
      </c>
      <c r="AK854">
        <v>21</v>
      </c>
      <c r="AL854" t="s">
        <v>90</v>
      </c>
      <c r="AM854" t="s">
        <v>91</v>
      </c>
      <c r="AN854" t="s">
        <v>92</v>
      </c>
      <c r="AO854" t="s">
        <v>93</v>
      </c>
      <c r="AP854" t="s">
        <v>94</v>
      </c>
      <c r="AQ854" t="s">
        <v>74</v>
      </c>
      <c r="AR854" t="s">
        <v>95</v>
      </c>
      <c r="AS854" t="s">
        <v>96</v>
      </c>
      <c r="AT854" t="s">
        <v>14347</v>
      </c>
      <c r="AU854">
        <v>2010</v>
      </c>
      <c r="AV854">
        <v>22</v>
      </c>
      <c r="AW854">
        <v>6</v>
      </c>
      <c r="AX854" t="s">
        <v>74</v>
      </c>
      <c r="AY854" t="s">
        <v>74</v>
      </c>
      <c r="AZ854" t="s">
        <v>967</v>
      </c>
      <c r="BA854" t="s">
        <v>74</v>
      </c>
      <c r="BB854">
        <v>757</v>
      </c>
      <c r="BC854">
        <v>765</v>
      </c>
      <c r="BD854" t="s">
        <v>74</v>
      </c>
      <c r="BE854" t="s">
        <v>14877</v>
      </c>
      <c r="BF854" t="str">
        <f>HYPERLINK("http://dx.doi.org/10.1017/S0954102010000775","http://dx.doi.org/10.1017/S0954102010000775")</f>
        <v>http://dx.doi.org/10.1017/S0954102010000775</v>
      </c>
      <c r="BG854" t="s">
        <v>74</v>
      </c>
      <c r="BH854" t="s">
        <v>74</v>
      </c>
      <c r="BI854">
        <v>9</v>
      </c>
      <c r="BJ854" t="s">
        <v>99</v>
      </c>
      <c r="BK854" t="s">
        <v>100</v>
      </c>
      <c r="BL854" t="s">
        <v>101</v>
      </c>
      <c r="BM854" t="s">
        <v>14349</v>
      </c>
      <c r="BN854" t="s">
        <v>74</v>
      </c>
      <c r="BO854" t="s">
        <v>172</v>
      </c>
      <c r="BP854" t="s">
        <v>74</v>
      </c>
      <c r="BQ854" t="s">
        <v>74</v>
      </c>
      <c r="BR854" t="s">
        <v>103</v>
      </c>
      <c r="BS854" t="s">
        <v>14878</v>
      </c>
      <c r="BT854" t="str">
        <f>HYPERLINK("https%3A%2F%2Fwww.webofscience.com%2Fwos%2Fwoscc%2Ffull-record%2FWOS:000285470300017","View Full Record in Web of Science")</f>
        <v>View Full Record in Web of Science</v>
      </c>
    </row>
    <row r="855" spans="1:72" x14ac:dyDescent="0.15">
      <c r="A855" t="s">
        <v>72</v>
      </c>
      <c r="B855" t="s">
        <v>14879</v>
      </c>
      <c r="C855" t="s">
        <v>74</v>
      </c>
      <c r="D855" t="s">
        <v>74</v>
      </c>
      <c r="E855" t="s">
        <v>74</v>
      </c>
      <c r="F855" t="s">
        <v>14880</v>
      </c>
      <c r="G855" t="s">
        <v>74</v>
      </c>
      <c r="H855" t="s">
        <v>74</v>
      </c>
      <c r="I855" t="s">
        <v>14881</v>
      </c>
      <c r="J855" t="s">
        <v>77</v>
      </c>
      <c r="K855" t="s">
        <v>74</v>
      </c>
      <c r="L855" t="s">
        <v>74</v>
      </c>
      <c r="M855" t="s">
        <v>78</v>
      </c>
      <c r="N855" t="s">
        <v>79</v>
      </c>
      <c r="O855" t="s">
        <v>74</v>
      </c>
      <c r="P855" t="s">
        <v>74</v>
      </c>
      <c r="Q855" t="s">
        <v>74</v>
      </c>
      <c r="R855" t="s">
        <v>74</v>
      </c>
      <c r="S855" t="s">
        <v>74</v>
      </c>
      <c r="T855" t="s">
        <v>14882</v>
      </c>
      <c r="U855" t="s">
        <v>14883</v>
      </c>
      <c r="V855" t="s">
        <v>14884</v>
      </c>
      <c r="W855" t="s">
        <v>14885</v>
      </c>
      <c r="X855" t="s">
        <v>14886</v>
      </c>
      <c r="Y855" t="s">
        <v>14887</v>
      </c>
      <c r="Z855" t="s">
        <v>14888</v>
      </c>
      <c r="AA855" t="s">
        <v>74</v>
      </c>
      <c r="AB855" t="s">
        <v>74</v>
      </c>
      <c r="AC855" t="s">
        <v>9075</v>
      </c>
      <c r="AD855" t="s">
        <v>9076</v>
      </c>
      <c r="AE855" t="s">
        <v>14889</v>
      </c>
      <c r="AF855" t="s">
        <v>74</v>
      </c>
      <c r="AG855">
        <v>40</v>
      </c>
      <c r="AH855">
        <v>22</v>
      </c>
      <c r="AI855">
        <v>24</v>
      </c>
      <c r="AJ855">
        <v>0</v>
      </c>
      <c r="AK855">
        <v>13</v>
      </c>
      <c r="AL855" t="s">
        <v>90</v>
      </c>
      <c r="AM855" t="s">
        <v>91</v>
      </c>
      <c r="AN855" t="s">
        <v>92</v>
      </c>
      <c r="AO855" t="s">
        <v>93</v>
      </c>
      <c r="AP855" t="s">
        <v>94</v>
      </c>
      <c r="AQ855" t="s">
        <v>74</v>
      </c>
      <c r="AR855" t="s">
        <v>95</v>
      </c>
      <c r="AS855" t="s">
        <v>96</v>
      </c>
      <c r="AT855" t="s">
        <v>14347</v>
      </c>
      <c r="AU855">
        <v>2010</v>
      </c>
      <c r="AV855">
        <v>22</v>
      </c>
      <c r="AW855">
        <v>6</v>
      </c>
      <c r="AX855" t="s">
        <v>74</v>
      </c>
      <c r="AY855" t="s">
        <v>74</v>
      </c>
      <c r="AZ855" t="s">
        <v>967</v>
      </c>
      <c r="BA855" t="s">
        <v>74</v>
      </c>
      <c r="BB855">
        <v>766</v>
      </c>
      <c r="BC855">
        <v>773</v>
      </c>
      <c r="BD855" t="s">
        <v>74</v>
      </c>
      <c r="BE855" t="s">
        <v>14890</v>
      </c>
      <c r="BF855" t="str">
        <f>HYPERLINK("http://dx.doi.org/10.1017/S0954102010000490","http://dx.doi.org/10.1017/S0954102010000490")</f>
        <v>http://dx.doi.org/10.1017/S0954102010000490</v>
      </c>
      <c r="BG855" t="s">
        <v>74</v>
      </c>
      <c r="BH855" t="s">
        <v>74</v>
      </c>
      <c r="BI855">
        <v>8</v>
      </c>
      <c r="BJ855" t="s">
        <v>99</v>
      </c>
      <c r="BK855" t="s">
        <v>100</v>
      </c>
      <c r="BL855" t="s">
        <v>101</v>
      </c>
      <c r="BM855" t="s">
        <v>14349</v>
      </c>
      <c r="BN855" t="s">
        <v>74</v>
      </c>
      <c r="BO855" t="s">
        <v>74</v>
      </c>
      <c r="BP855" t="s">
        <v>74</v>
      </c>
      <c r="BQ855" t="s">
        <v>74</v>
      </c>
      <c r="BR855" t="s">
        <v>103</v>
      </c>
      <c r="BS855" t="s">
        <v>14891</v>
      </c>
      <c r="BT855" t="str">
        <f>HYPERLINK("https%3A%2F%2Fwww.webofscience.com%2Fwos%2Fwoscc%2Ffull-record%2FWOS:000285470300018","View Full Record in Web of Science")</f>
        <v>View Full Record in Web of Science</v>
      </c>
    </row>
    <row r="856" spans="1:72" x14ac:dyDescent="0.15">
      <c r="A856" t="s">
        <v>72</v>
      </c>
      <c r="B856" t="s">
        <v>14892</v>
      </c>
      <c r="C856" t="s">
        <v>74</v>
      </c>
      <c r="D856" t="s">
        <v>74</v>
      </c>
      <c r="E856" t="s">
        <v>74</v>
      </c>
      <c r="F856" t="s">
        <v>14893</v>
      </c>
      <c r="G856" t="s">
        <v>74</v>
      </c>
      <c r="H856" t="s">
        <v>74</v>
      </c>
      <c r="I856" t="s">
        <v>14894</v>
      </c>
      <c r="J856" t="s">
        <v>77</v>
      </c>
      <c r="K856" t="s">
        <v>74</v>
      </c>
      <c r="L856" t="s">
        <v>74</v>
      </c>
      <c r="M856" t="s">
        <v>78</v>
      </c>
      <c r="N856" t="s">
        <v>79</v>
      </c>
      <c r="O856" t="s">
        <v>74</v>
      </c>
      <c r="P856" t="s">
        <v>74</v>
      </c>
      <c r="Q856" t="s">
        <v>74</v>
      </c>
      <c r="R856" t="s">
        <v>74</v>
      </c>
      <c r="S856" t="s">
        <v>74</v>
      </c>
      <c r="T856" t="s">
        <v>14895</v>
      </c>
      <c r="U856" t="s">
        <v>14896</v>
      </c>
      <c r="V856" t="s">
        <v>14897</v>
      </c>
      <c r="W856" t="s">
        <v>14898</v>
      </c>
      <c r="X856" t="s">
        <v>1386</v>
      </c>
      <c r="Y856" t="s">
        <v>14899</v>
      </c>
      <c r="Z856" t="s">
        <v>14900</v>
      </c>
      <c r="AA856" t="s">
        <v>14901</v>
      </c>
      <c r="AB856" t="s">
        <v>14902</v>
      </c>
      <c r="AC856" t="s">
        <v>11170</v>
      </c>
      <c r="AD856" t="s">
        <v>6849</v>
      </c>
      <c r="AE856" t="s">
        <v>14903</v>
      </c>
      <c r="AF856" t="s">
        <v>74</v>
      </c>
      <c r="AG856">
        <v>39</v>
      </c>
      <c r="AH856">
        <v>12</v>
      </c>
      <c r="AI856">
        <v>12</v>
      </c>
      <c r="AJ856">
        <v>0</v>
      </c>
      <c r="AK856">
        <v>22</v>
      </c>
      <c r="AL856" t="s">
        <v>90</v>
      </c>
      <c r="AM856" t="s">
        <v>91</v>
      </c>
      <c r="AN856" t="s">
        <v>92</v>
      </c>
      <c r="AO856" t="s">
        <v>93</v>
      </c>
      <c r="AP856" t="s">
        <v>94</v>
      </c>
      <c r="AQ856" t="s">
        <v>74</v>
      </c>
      <c r="AR856" t="s">
        <v>95</v>
      </c>
      <c r="AS856" t="s">
        <v>96</v>
      </c>
      <c r="AT856" t="s">
        <v>14347</v>
      </c>
      <c r="AU856">
        <v>2010</v>
      </c>
      <c r="AV856">
        <v>22</v>
      </c>
      <c r="AW856">
        <v>6</v>
      </c>
      <c r="AX856" t="s">
        <v>74</v>
      </c>
      <c r="AY856" t="s">
        <v>74</v>
      </c>
      <c r="AZ856" t="s">
        <v>967</v>
      </c>
      <c r="BA856" t="s">
        <v>74</v>
      </c>
      <c r="BB856">
        <v>774</v>
      </c>
      <c r="BC856">
        <v>781</v>
      </c>
      <c r="BD856" t="s">
        <v>74</v>
      </c>
      <c r="BE856" t="s">
        <v>14904</v>
      </c>
      <c r="BF856" t="str">
        <f>HYPERLINK("http://dx.doi.org/10.1017/S0954102010000465","http://dx.doi.org/10.1017/S0954102010000465")</f>
        <v>http://dx.doi.org/10.1017/S0954102010000465</v>
      </c>
      <c r="BG856" t="s">
        <v>74</v>
      </c>
      <c r="BH856" t="s">
        <v>74</v>
      </c>
      <c r="BI856">
        <v>8</v>
      </c>
      <c r="BJ856" t="s">
        <v>99</v>
      </c>
      <c r="BK856" t="s">
        <v>100</v>
      </c>
      <c r="BL856" t="s">
        <v>101</v>
      </c>
      <c r="BM856" t="s">
        <v>14349</v>
      </c>
      <c r="BN856" t="s">
        <v>74</v>
      </c>
      <c r="BO856" t="s">
        <v>172</v>
      </c>
      <c r="BP856" t="s">
        <v>74</v>
      </c>
      <c r="BQ856" t="s">
        <v>74</v>
      </c>
      <c r="BR856" t="s">
        <v>103</v>
      </c>
      <c r="BS856" t="s">
        <v>14905</v>
      </c>
      <c r="BT856" t="str">
        <f>HYPERLINK("https%3A%2F%2Fwww.webofscience.com%2Fwos%2Fwoscc%2Ffull-record%2FWOS:000285470300019","View Full Record in Web of Science")</f>
        <v>View Full Record in Web of Science</v>
      </c>
    </row>
    <row r="857" spans="1:72" x14ac:dyDescent="0.15">
      <c r="A857" t="s">
        <v>72</v>
      </c>
      <c r="B857" t="s">
        <v>14906</v>
      </c>
      <c r="C857" t="s">
        <v>74</v>
      </c>
      <c r="D857" t="s">
        <v>74</v>
      </c>
      <c r="E857" t="s">
        <v>74</v>
      </c>
      <c r="F857" t="s">
        <v>14907</v>
      </c>
      <c r="G857" t="s">
        <v>74</v>
      </c>
      <c r="H857" t="s">
        <v>74</v>
      </c>
      <c r="I857" t="s">
        <v>14908</v>
      </c>
      <c r="J857" t="s">
        <v>77</v>
      </c>
      <c r="K857" t="s">
        <v>74</v>
      </c>
      <c r="L857" t="s">
        <v>74</v>
      </c>
      <c r="M857" t="s">
        <v>78</v>
      </c>
      <c r="N857" t="s">
        <v>79</v>
      </c>
      <c r="O857" t="s">
        <v>74</v>
      </c>
      <c r="P857" t="s">
        <v>74</v>
      </c>
      <c r="Q857" t="s">
        <v>74</v>
      </c>
      <c r="R857" t="s">
        <v>74</v>
      </c>
      <c r="S857" t="s">
        <v>74</v>
      </c>
      <c r="T857" t="s">
        <v>14909</v>
      </c>
      <c r="U857" t="s">
        <v>14910</v>
      </c>
      <c r="V857" t="s">
        <v>14911</v>
      </c>
      <c r="W857" t="s">
        <v>14912</v>
      </c>
      <c r="X857" t="s">
        <v>8071</v>
      </c>
      <c r="Y857" t="s">
        <v>14913</v>
      </c>
      <c r="Z857" t="s">
        <v>14914</v>
      </c>
      <c r="AA857" t="s">
        <v>14915</v>
      </c>
      <c r="AB857" t="s">
        <v>14916</v>
      </c>
      <c r="AC857" t="s">
        <v>14917</v>
      </c>
      <c r="AD857" t="s">
        <v>14918</v>
      </c>
      <c r="AE857" t="s">
        <v>14919</v>
      </c>
      <c r="AF857" t="s">
        <v>74</v>
      </c>
      <c r="AG857">
        <v>37</v>
      </c>
      <c r="AH857">
        <v>12</v>
      </c>
      <c r="AI857">
        <v>12</v>
      </c>
      <c r="AJ857">
        <v>1</v>
      </c>
      <c r="AK857">
        <v>15</v>
      </c>
      <c r="AL857" t="s">
        <v>90</v>
      </c>
      <c r="AM857" t="s">
        <v>91</v>
      </c>
      <c r="AN857" t="s">
        <v>92</v>
      </c>
      <c r="AO857" t="s">
        <v>93</v>
      </c>
      <c r="AP857" t="s">
        <v>94</v>
      </c>
      <c r="AQ857" t="s">
        <v>74</v>
      </c>
      <c r="AR857" t="s">
        <v>95</v>
      </c>
      <c r="AS857" t="s">
        <v>96</v>
      </c>
      <c r="AT857" t="s">
        <v>14347</v>
      </c>
      <c r="AU857">
        <v>2010</v>
      </c>
      <c r="AV857">
        <v>22</v>
      </c>
      <c r="AW857">
        <v>6</v>
      </c>
      <c r="AX857" t="s">
        <v>74</v>
      </c>
      <c r="AY857" t="s">
        <v>74</v>
      </c>
      <c r="AZ857" t="s">
        <v>967</v>
      </c>
      <c r="BA857" t="s">
        <v>74</v>
      </c>
      <c r="BB857">
        <v>782</v>
      </c>
      <c r="BC857">
        <v>792</v>
      </c>
      <c r="BD857" t="s">
        <v>74</v>
      </c>
      <c r="BE857" t="s">
        <v>14920</v>
      </c>
      <c r="BF857" t="str">
        <f>HYPERLINK("http://dx.doi.org/10.1017/S0954102010000441","http://dx.doi.org/10.1017/S0954102010000441")</f>
        <v>http://dx.doi.org/10.1017/S0954102010000441</v>
      </c>
      <c r="BG857" t="s">
        <v>74</v>
      </c>
      <c r="BH857" t="s">
        <v>74</v>
      </c>
      <c r="BI857">
        <v>11</v>
      </c>
      <c r="BJ857" t="s">
        <v>99</v>
      </c>
      <c r="BK857" t="s">
        <v>100</v>
      </c>
      <c r="BL857" t="s">
        <v>101</v>
      </c>
      <c r="BM857" t="s">
        <v>14349</v>
      </c>
      <c r="BN857" t="s">
        <v>74</v>
      </c>
      <c r="BO857" t="s">
        <v>74</v>
      </c>
      <c r="BP857" t="s">
        <v>74</v>
      </c>
      <c r="BQ857" t="s">
        <v>74</v>
      </c>
      <c r="BR857" t="s">
        <v>103</v>
      </c>
      <c r="BS857" t="s">
        <v>14921</v>
      </c>
      <c r="BT857" t="str">
        <f>HYPERLINK("https%3A%2F%2Fwww.webofscience.com%2Fwos%2Fwoscc%2Ffull-record%2FWOS:000285470300020","View Full Record in Web of Science")</f>
        <v>View Full Record in Web of Science</v>
      </c>
    </row>
    <row r="858" spans="1:72" x14ac:dyDescent="0.15">
      <c r="A858" t="s">
        <v>72</v>
      </c>
      <c r="B858" t="s">
        <v>14922</v>
      </c>
      <c r="C858" t="s">
        <v>74</v>
      </c>
      <c r="D858" t="s">
        <v>74</v>
      </c>
      <c r="E858" t="s">
        <v>74</v>
      </c>
      <c r="F858" t="s">
        <v>14923</v>
      </c>
      <c r="G858" t="s">
        <v>74</v>
      </c>
      <c r="H858" t="s">
        <v>74</v>
      </c>
      <c r="I858" t="s">
        <v>14924</v>
      </c>
      <c r="J858" t="s">
        <v>77</v>
      </c>
      <c r="K858" t="s">
        <v>74</v>
      </c>
      <c r="L858" t="s">
        <v>74</v>
      </c>
      <c r="M858" t="s">
        <v>78</v>
      </c>
      <c r="N858" t="s">
        <v>79</v>
      </c>
      <c r="O858" t="s">
        <v>74</v>
      </c>
      <c r="P858" t="s">
        <v>74</v>
      </c>
      <c r="Q858" t="s">
        <v>74</v>
      </c>
      <c r="R858" t="s">
        <v>74</v>
      </c>
      <c r="S858" t="s">
        <v>74</v>
      </c>
      <c r="T858" t="s">
        <v>14925</v>
      </c>
      <c r="U858" t="s">
        <v>14926</v>
      </c>
      <c r="V858" t="s">
        <v>14927</v>
      </c>
      <c r="W858" t="s">
        <v>14928</v>
      </c>
      <c r="X858" t="s">
        <v>14929</v>
      </c>
      <c r="Y858" t="s">
        <v>14930</v>
      </c>
      <c r="Z858" t="s">
        <v>2171</v>
      </c>
      <c r="AA858" t="s">
        <v>14931</v>
      </c>
      <c r="AB858" t="s">
        <v>14932</v>
      </c>
      <c r="AC858" t="s">
        <v>14933</v>
      </c>
      <c r="AD858" t="s">
        <v>14933</v>
      </c>
      <c r="AE858" t="s">
        <v>14934</v>
      </c>
      <c r="AF858" t="s">
        <v>74</v>
      </c>
      <c r="AG858">
        <v>46</v>
      </c>
      <c r="AH858">
        <v>29</v>
      </c>
      <c r="AI858">
        <v>29</v>
      </c>
      <c r="AJ858">
        <v>0</v>
      </c>
      <c r="AK858">
        <v>26</v>
      </c>
      <c r="AL858" t="s">
        <v>90</v>
      </c>
      <c r="AM858" t="s">
        <v>91</v>
      </c>
      <c r="AN858" t="s">
        <v>92</v>
      </c>
      <c r="AO858" t="s">
        <v>93</v>
      </c>
      <c r="AP858" t="s">
        <v>94</v>
      </c>
      <c r="AQ858" t="s">
        <v>74</v>
      </c>
      <c r="AR858" t="s">
        <v>95</v>
      </c>
      <c r="AS858" t="s">
        <v>96</v>
      </c>
      <c r="AT858" t="s">
        <v>14347</v>
      </c>
      <c r="AU858">
        <v>2010</v>
      </c>
      <c r="AV858">
        <v>22</v>
      </c>
      <c r="AW858">
        <v>6</v>
      </c>
      <c r="AX858" t="s">
        <v>74</v>
      </c>
      <c r="AY858" t="s">
        <v>74</v>
      </c>
      <c r="AZ858" t="s">
        <v>967</v>
      </c>
      <c r="BA858" t="s">
        <v>74</v>
      </c>
      <c r="BB858">
        <v>793</v>
      </c>
      <c r="BC858">
        <v>804</v>
      </c>
      <c r="BD858" t="s">
        <v>74</v>
      </c>
      <c r="BE858" t="s">
        <v>14935</v>
      </c>
      <c r="BF858" t="str">
        <f>HYPERLINK("http://dx.doi.org/10.1017/S0954102010000489","http://dx.doi.org/10.1017/S0954102010000489")</f>
        <v>http://dx.doi.org/10.1017/S0954102010000489</v>
      </c>
      <c r="BG858" t="s">
        <v>74</v>
      </c>
      <c r="BH858" t="s">
        <v>74</v>
      </c>
      <c r="BI858">
        <v>12</v>
      </c>
      <c r="BJ858" t="s">
        <v>99</v>
      </c>
      <c r="BK858" t="s">
        <v>100</v>
      </c>
      <c r="BL858" t="s">
        <v>101</v>
      </c>
      <c r="BM858" t="s">
        <v>14349</v>
      </c>
      <c r="BN858" t="s">
        <v>74</v>
      </c>
      <c r="BO858" t="s">
        <v>74</v>
      </c>
      <c r="BP858" t="s">
        <v>74</v>
      </c>
      <c r="BQ858" t="s">
        <v>74</v>
      </c>
      <c r="BR858" t="s">
        <v>103</v>
      </c>
      <c r="BS858" t="s">
        <v>14936</v>
      </c>
      <c r="BT858" t="str">
        <f>HYPERLINK("https%3A%2F%2Fwww.webofscience.com%2Fwos%2Fwoscc%2Ffull-record%2FWOS:000285470300021","View Full Record in Web of Science")</f>
        <v>View Full Record in Web of Science</v>
      </c>
    </row>
    <row r="859" spans="1:72" x14ac:dyDescent="0.15">
      <c r="A859" t="s">
        <v>72</v>
      </c>
      <c r="B859" t="s">
        <v>14937</v>
      </c>
      <c r="C859" t="s">
        <v>74</v>
      </c>
      <c r="D859" t="s">
        <v>74</v>
      </c>
      <c r="E859" t="s">
        <v>74</v>
      </c>
      <c r="F859" t="s">
        <v>14938</v>
      </c>
      <c r="G859" t="s">
        <v>74</v>
      </c>
      <c r="H859" t="s">
        <v>74</v>
      </c>
      <c r="I859" t="s">
        <v>14939</v>
      </c>
      <c r="J859" t="s">
        <v>14940</v>
      </c>
      <c r="K859" t="s">
        <v>74</v>
      </c>
      <c r="L859" t="s">
        <v>74</v>
      </c>
      <c r="M859" t="s">
        <v>78</v>
      </c>
      <c r="N859" t="s">
        <v>79</v>
      </c>
      <c r="O859" t="s">
        <v>74</v>
      </c>
      <c r="P859" t="s">
        <v>74</v>
      </c>
      <c r="Q859" t="s">
        <v>74</v>
      </c>
      <c r="R859" t="s">
        <v>74</v>
      </c>
      <c r="S859" t="s">
        <v>74</v>
      </c>
      <c r="T859" t="s">
        <v>14941</v>
      </c>
      <c r="U859" t="s">
        <v>14942</v>
      </c>
      <c r="V859" t="s">
        <v>14943</v>
      </c>
      <c r="W859" t="s">
        <v>14944</v>
      </c>
      <c r="X859" t="s">
        <v>14945</v>
      </c>
      <c r="Y859" t="s">
        <v>14946</v>
      </c>
      <c r="Z859" t="s">
        <v>14947</v>
      </c>
      <c r="AA859" t="s">
        <v>14948</v>
      </c>
      <c r="AB859" t="s">
        <v>14949</v>
      </c>
      <c r="AC859" t="s">
        <v>74</v>
      </c>
      <c r="AD859" t="s">
        <v>74</v>
      </c>
      <c r="AE859" t="s">
        <v>74</v>
      </c>
      <c r="AF859" t="s">
        <v>74</v>
      </c>
      <c r="AG859">
        <v>92</v>
      </c>
      <c r="AH859">
        <v>5</v>
      </c>
      <c r="AI859">
        <v>6</v>
      </c>
      <c r="AJ859">
        <v>0</v>
      </c>
      <c r="AK859">
        <v>16</v>
      </c>
      <c r="AL859" t="s">
        <v>214</v>
      </c>
      <c r="AM859" t="s">
        <v>215</v>
      </c>
      <c r="AN859" t="s">
        <v>216</v>
      </c>
      <c r="AO859" t="s">
        <v>14950</v>
      </c>
      <c r="AP859" t="s">
        <v>14951</v>
      </c>
      <c r="AQ859" t="s">
        <v>74</v>
      </c>
      <c r="AR859" t="s">
        <v>14940</v>
      </c>
      <c r="AS859" t="s">
        <v>14952</v>
      </c>
      <c r="AT859" t="s">
        <v>14347</v>
      </c>
      <c r="AU859">
        <v>2010</v>
      </c>
      <c r="AV859">
        <v>42</v>
      </c>
      <c r="AW859">
        <v>4</v>
      </c>
      <c r="AX859" t="s">
        <v>74</v>
      </c>
      <c r="AY859" t="s">
        <v>74</v>
      </c>
      <c r="AZ859" t="s">
        <v>74</v>
      </c>
      <c r="BA859" t="s">
        <v>74</v>
      </c>
      <c r="BB859">
        <v>444</v>
      </c>
      <c r="BC859">
        <v>456</v>
      </c>
      <c r="BD859" t="s">
        <v>74</v>
      </c>
      <c r="BE859" t="s">
        <v>14953</v>
      </c>
      <c r="BF859" t="str">
        <f>HYPERLINK("http://dx.doi.org/10.1111/j.1475-4762.2009.00936.x","http://dx.doi.org/10.1111/j.1475-4762.2009.00936.x")</f>
        <v>http://dx.doi.org/10.1111/j.1475-4762.2009.00936.x</v>
      </c>
      <c r="BG859" t="s">
        <v>74</v>
      </c>
      <c r="BH859" t="s">
        <v>74</v>
      </c>
      <c r="BI859">
        <v>13</v>
      </c>
      <c r="BJ859" t="s">
        <v>14954</v>
      </c>
      <c r="BK859" t="s">
        <v>1318</v>
      </c>
      <c r="BL859" t="s">
        <v>14954</v>
      </c>
      <c r="BM859" t="s">
        <v>14955</v>
      </c>
      <c r="BN859" t="s">
        <v>74</v>
      </c>
      <c r="BO859" t="s">
        <v>74</v>
      </c>
      <c r="BP859" t="s">
        <v>74</v>
      </c>
      <c r="BQ859" t="s">
        <v>74</v>
      </c>
      <c r="BR859" t="s">
        <v>103</v>
      </c>
      <c r="BS859" t="s">
        <v>14956</v>
      </c>
      <c r="BT859" t="str">
        <f>HYPERLINK("https%3A%2F%2Fwww.webofscience.com%2Fwos%2Fwoscc%2Ffull-record%2FWOS:000283733100007","View Full Record in Web of Science")</f>
        <v>View Full Record in Web of Science</v>
      </c>
    </row>
    <row r="860" spans="1:72" x14ac:dyDescent="0.15">
      <c r="A860" t="s">
        <v>72</v>
      </c>
      <c r="B860" t="s">
        <v>14957</v>
      </c>
      <c r="C860" t="s">
        <v>74</v>
      </c>
      <c r="D860" t="s">
        <v>74</v>
      </c>
      <c r="E860" t="s">
        <v>74</v>
      </c>
      <c r="F860" t="s">
        <v>14958</v>
      </c>
      <c r="G860" t="s">
        <v>74</v>
      </c>
      <c r="H860" t="s">
        <v>74</v>
      </c>
      <c r="I860" t="s">
        <v>14959</v>
      </c>
      <c r="J860" t="s">
        <v>14960</v>
      </c>
      <c r="K860" t="s">
        <v>74</v>
      </c>
      <c r="L860" t="s">
        <v>74</v>
      </c>
      <c r="M860" t="s">
        <v>78</v>
      </c>
      <c r="N860" t="s">
        <v>6656</v>
      </c>
      <c r="O860" t="s">
        <v>74</v>
      </c>
      <c r="P860" t="s">
        <v>74</v>
      </c>
      <c r="Q860" t="s">
        <v>74</v>
      </c>
      <c r="R860" t="s">
        <v>74</v>
      </c>
      <c r="S860" t="s">
        <v>74</v>
      </c>
      <c r="T860" t="s">
        <v>74</v>
      </c>
      <c r="U860" t="s">
        <v>74</v>
      </c>
      <c r="V860" t="s">
        <v>74</v>
      </c>
      <c r="W860" t="s">
        <v>14961</v>
      </c>
      <c r="X860" t="s">
        <v>14962</v>
      </c>
      <c r="Y860" t="s">
        <v>14963</v>
      </c>
      <c r="Z860" t="s">
        <v>14964</v>
      </c>
      <c r="AA860" t="s">
        <v>14965</v>
      </c>
      <c r="AB860" t="s">
        <v>14966</v>
      </c>
      <c r="AC860" t="s">
        <v>74</v>
      </c>
      <c r="AD860" t="s">
        <v>74</v>
      </c>
      <c r="AE860" t="s">
        <v>74</v>
      </c>
      <c r="AF860" t="s">
        <v>74</v>
      </c>
      <c r="AG860">
        <v>1</v>
      </c>
      <c r="AH860">
        <v>0</v>
      </c>
      <c r="AI860">
        <v>0</v>
      </c>
      <c r="AJ860">
        <v>0</v>
      </c>
      <c r="AK860">
        <v>6</v>
      </c>
      <c r="AL860" t="s">
        <v>2447</v>
      </c>
      <c r="AM860" t="s">
        <v>2448</v>
      </c>
      <c r="AN860" t="s">
        <v>2449</v>
      </c>
      <c r="AO860" t="s">
        <v>14967</v>
      </c>
      <c r="AP860" t="s">
        <v>74</v>
      </c>
      <c r="AQ860" t="s">
        <v>74</v>
      </c>
      <c r="AR860" t="s">
        <v>14968</v>
      </c>
      <c r="AS860" t="s">
        <v>14969</v>
      </c>
      <c r="AT860" t="s">
        <v>14347</v>
      </c>
      <c r="AU860">
        <v>2010</v>
      </c>
      <c r="AV860">
        <v>140</v>
      </c>
      <c r="AW860">
        <v>6</v>
      </c>
      <c r="AX860" t="s">
        <v>74</v>
      </c>
      <c r="AY860" t="s">
        <v>74</v>
      </c>
      <c r="AZ860" t="s">
        <v>74</v>
      </c>
      <c r="BA860" t="s">
        <v>74</v>
      </c>
      <c r="BB860">
        <v>2146</v>
      </c>
      <c r="BC860">
        <v>2146</v>
      </c>
      <c r="BD860" t="s">
        <v>74</v>
      </c>
      <c r="BE860" t="s">
        <v>14970</v>
      </c>
      <c r="BF860" t="str">
        <f>HYPERLINK("http://dx.doi.org/10.1088/0004-6256/140/6/2146","http://dx.doi.org/10.1088/0004-6256/140/6/2146")</f>
        <v>http://dx.doi.org/10.1088/0004-6256/140/6/2146</v>
      </c>
      <c r="BG860" t="s">
        <v>74</v>
      </c>
      <c r="BH860" t="s">
        <v>74</v>
      </c>
      <c r="BI860">
        <v>1</v>
      </c>
      <c r="BJ860" t="s">
        <v>373</v>
      </c>
      <c r="BK860" t="s">
        <v>100</v>
      </c>
      <c r="BL860" t="s">
        <v>373</v>
      </c>
      <c r="BM860" t="s">
        <v>14971</v>
      </c>
      <c r="BN860" t="s">
        <v>74</v>
      </c>
      <c r="BO860" t="s">
        <v>375</v>
      </c>
      <c r="BP860" t="s">
        <v>74</v>
      </c>
      <c r="BQ860" t="s">
        <v>74</v>
      </c>
      <c r="BR860" t="s">
        <v>103</v>
      </c>
      <c r="BS860" t="s">
        <v>14972</v>
      </c>
      <c r="BT860" t="str">
        <f>HYPERLINK("https%3A%2F%2Fwww.webofscience.com%2Fwos%2Fwoscc%2Ffull-record%2FWOS:000284143500048","View Full Record in Web of Science")</f>
        <v>View Full Record in Web of Science</v>
      </c>
    </row>
    <row r="861" spans="1:72" x14ac:dyDescent="0.15">
      <c r="A861" t="s">
        <v>72</v>
      </c>
      <c r="B861" t="s">
        <v>14973</v>
      </c>
      <c r="C861" t="s">
        <v>74</v>
      </c>
      <c r="D861" t="s">
        <v>74</v>
      </c>
      <c r="E861" t="s">
        <v>74</v>
      </c>
      <c r="F861" t="s">
        <v>14974</v>
      </c>
      <c r="G861" t="s">
        <v>74</v>
      </c>
      <c r="H861" t="s">
        <v>74</v>
      </c>
      <c r="I861" t="s">
        <v>14975</v>
      </c>
      <c r="J861" t="s">
        <v>14976</v>
      </c>
      <c r="K861" t="s">
        <v>74</v>
      </c>
      <c r="L861" t="s">
        <v>74</v>
      </c>
      <c r="M861" t="s">
        <v>78</v>
      </c>
      <c r="N861" t="s">
        <v>79</v>
      </c>
      <c r="O861" t="s">
        <v>74</v>
      </c>
      <c r="P861" t="s">
        <v>74</v>
      </c>
      <c r="Q861" t="s">
        <v>74</v>
      </c>
      <c r="R861" t="s">
        <v>74</v>
      </c>
      <c r="S861" t="s">
        <v>74</v>
      </c>
      <c r="T861" t="s">
        <v>14977</v>
      </c>
      <c r="U861" t="s">
        <v>14978</v>
      </c>
      <c r="V861" t="s">
        <v>14979</v>
      </c>
      <c r="W861" t="s">
        <v>14980</v>
      </c>
      <c r="X861" t="s">
        <v>14981</v>
      </c>
      <c r="Y861" t="s">
        <v>14982</v>
      </c>
      <c r="Z861" t="s">
        <v>14983</v>
      </c>
      <c r="AA861" t="s">
        <v>74</v>
      </c>
      <c r="AB861" t="s">
        <v>74</v>
      </c>
      <c r="AC861" t="s">
        <v>74</v>
      </c>
      <c r="AD861" t="s">
        <v>74</v>
      </c>
      <c r="AE861" t="s">
        <v>74</v>
      </c>
      <c r="AF861" t="s">
        <v>74</v>
      </c>
      <c r="AG861">
        <v>44</v>
      </c>
      <c r="AH861">
        <v>34</v>
      </c>
      <c r="AI861">
        <v>38</v>
      </c>
      <c r="AJ861">
        <v>0</v>
      </c>
      <c r="AK861">
        <v>2</v>
      </c>
      <c r="AL861" t="s">
        <v>767</v>
      </c>
      <c r="AM861" t="s">
        <v>640</v>
      </c>
      <c r="AN861" t="s">
        <v>768</v>
      </c>
      <c r="AO861" t="s">
        <v>14984</v>
      </c>
      <c r="AP861" t="s">
        <v>14985</v>
      </c>
      <c r="AQ861" t="s">
        <v>74</v>
      </c>
      <c r="AR861" t="s">
        <v>14986</v>
      </c>
      <c r="AS861" t="s">
        <v>14987</v>
      </c>
      <c r="AT861" t="s">
        <v>14347</v>
      </c>
      <c r="AU861">
        <v>2010</v>
      </c>
      <c r="AV861">
        <v>34</v>
      </c>
      <c r="AW861">
        <v>5</v>
      </c>
      <c r="AX861" t="s">
        <v>74</v>
      </c>
      <c r="AY861" t="s">
        <v>74</v>
      </c>
      <c r="AZ861" t="s">
        <v>74</v>
      </c>
      <c r="BA861" t="s">
        <v>74</v>
      </c>
      <c r="BB861">
        <v>293</v>
      </c>
      <c r="BC861">
        <v>303</v>
      </c>
      <c r="BD861" t="s">
        <v>74</v>
      </c>
      <c r="BE861" t="s">
        <v>14988</v>
      </c>
      <c r="BF861" t="str">
        <f>HYPERLINK("http://dx.doi.org/10.1016/j.astropartphys.2010.08.008","http://dx.doi.org/10.1016/j.astropartphys.2010.08.008")</f>
        <v>http://dx.doi.org/10.1016/j.astropartphys.2010.08.008</v>
      </c>
      <c r="BG861" t="s">
        <v>74</v>
      </c>
      <c r="BH861" t="s">
        <v>74</v>
      </c>
      <c r="BI861">
        <v>11</v>
      </c>
      <c r="BJ861" t="s">
        <v>1851</v>
      </c>
      <c r="BK861" t="s">
        <v>100</v>
      </c>
      <c r="BL861" t="s">
        <v>1852</v>
      </c>
      <c r="BM861" t="s">
        <v>14989</v>
      </c>
      <c r="BN861" t="s">
        <v>74</v>
      </c>
      <c r="BO861" t="s">
        <v>138</v>
      </c>
      <c r="BP861" t="s">
        <v>74</v>
      </c>
      <c r="BQ861" t="s">
        <v>74</v>
      </c>
      <c r="BR861" t="s">
        <v>103</v>
      </c>
      <c r="BS861" t="s">
        <v>14990</v>
      </c>
      <c r="BT861" t="str">
        <f>HYPERLINK("https%3A%2F%2Fwww.webofscience.com%2Fwos%2Fwoscc%2Ffull-record%2FWOS:000284669100005","View Full Record in Web of Science")</f>
        <v>View Full Record in Web of Science</v>
      </c>
    </row>
    <row r="862" spans="1:72" x14ac:dyDescent="0.15">
      <c r="A862" t="s">
        <v>72</v>
      </c>
      <c r="B862" t="s">
        <v>14991</v>
      </c>
      <c r="C862" t="s">
        <v>74</v>
      </c>
      <c r="D862" t="s">
        <v>74</v>
      </c>
      <c r="E862" t="s">
        <v>74</v>
      </c>
      <c r="F862" t="s">
        <v>14992</v>
      </c>
      <c r="G862" t="s">
        <v>74</v>
      </c>
      <c r="H862" t="s">
        <v>74</v>
      </c>
      <c r="I862" t="s">
        <v>14993</v>
      </c>
      <c r="J862" t="s">
        <v>14994</v>
      </c>
      <c r="K862" t="s">
        <v>74</v>
      </c>
      <c r="L862" t="s">
        <v>74</v>
      </c>
      <c r="M862" t="s">
        <v>78</v>
      </c>
      <c r="N862" t="s">
        <v>79</v>
      </c>
      <c r="O862" t="s">
        <v>74</v>
      </c>
      <c r="P862" t="s">
        <v>74</v>
      </c>
      <c r="Q862" t="s">
        <v>74</v>
      </c>
      <c r="R862" t="s">
        <v>74</v>
      </c>
      <c r="S862" t="s">
        <v>74</v>
      </c>
      <c r="T862" t="s">
        <v>14995</v>
      </c>
      <c r="U862" t="s">
        <v>14996</v>
      </c>
      <c r="V862" t="s">
        <v>14997</v>
      </c>
      <c r="W862" t="s">
        <v>14998</v>
      </c>
      <c r="X862" t="s">
        <v>14999</v>
      </c>
      <c r="Y862" t="s">
        <v>15000</v>
      </c>
      <c r="Z862" t="s">
        <v>15001</v>
      </c>
      <c r="AA862" t="s">
        <v>15002</v>
      </c>
      <c r="AB862" t="s">
        <v>15003</v>
      </c>
      <c r="AC862" t="s">
        <v>15004</v>
      </c>
      <c r="AD862" t="s">
        <v>15005</v>
      </c>
      <c r="AE862" t="s">
        <v>15006</v>
      </c>
      <c r="AF862" t="s">
        <v>74</v>
      </c>
      <c r="AG862">
        <v>48</v>
      </c>
      <c r="AH862">
        <v>25</v>
      </c>
      <c r="AI862">
        <v>29</v>
      </c>
      <c r="AJ862">
        <v>0</v>
      </c>
      <c r="AK862">
        <v>23</v>
      </c>
      <c r="AL862" t="s">
        <v>8557</v>
      </c>
      <c r="AM862" t="s">
        <v>8558</v>
      </c>
      <c r="AN862" t="s">
        <v>8559</v>
      </c>
      <c r="AO862" t="s">
        <v>74</v>
      </c>
      <c r="AP862" t="s">
        <v>15007</v>
      </c>
      <c r="AQ862" t="s">
        <v>74</v>
      </c>
      <c r="AR862" t="s">
        <v>15008</v>
      </c>
      <c r="AS862" t="s">
        <v>15009</v>
      </c>
      <c r="AT862" t="s">
        <v>14347</v>
      </c>
      <c r="AU862">
        <v>2010</v>
      </c>
      <c r="AV862">
        <v>1</v>
      </c>
      <c r="AW862">
        <v>1</v>
      </c>
      <c r="AX862" t="s">
        <v>74</v>
      </c>
      <c r="AY862" t="s">
        <v>74</v>
      </c>
      <c r="AZ862" t="s">
        <v>74</v>
      </c>
      <c r="BA862" t="s">
        <v>74</v>
      </c>
      <c r="BB862">
        <v>34</v>
      </c>
      <c r="BC862">
        <v>50</v>
      </c>
      <c r="BD862" t="s">
        <v>74</v>
      </c>
      <c r="BE862" t="s">
        <v>15010</v>
      </c>
      <c r="BF862" t="str">
        <f>HYPERLINK("http://dx.doi.org/10.3390/atmos1010034","http://dx.doi.org/10.3390/atmos1010034")</f>
        <v>http://dx.doi.org/10.3390/atmos1010034</v>
      </c>
      <c r="BG862" t="s">
        <v>74</v>
      </c>
      <c r="BH862" t="s">
        <v>74</v>
      </c>
      <c r="BI862">
        <v>17</v>
      </c>
      <c r="BJ862" t="s">
        <v>2963</v>
      </c>
      <c r="BK862" t="s">
        <v>100</v>
      </c>
      <c r="BL862" t="s">
        <v>2964</v>
      </c>
      <c r="BM862" t="s">
        <v>15011</v>
      </c>
      <c r="BN862" t="s">
        <v>74</v>
      </c>
      <c r="BO862" t="s">
        <v>2456</v>
      </c>
      <c r="BP862" t="s">
        <v>74</v>
      </c>
      <c r="BQ862" t="s">
        <v>74</v>
      </c>
      <c r="BR862" t="s">
        <v>103</v>
      </c>
      <c r="BS862" t="s">
        <v>15012</v>
      </c>
      <c r="BT862" t="str">
        <f>HYPERLINK("https%3A%2F%2Fwww.webofscience.com%2Fwos%2Fwoscc%2Ffull-record%2FWOS:000208732000004","View Full Record in Web of Science")</f>
        <v>View Full Record in Web of Science</v>
      </c>
    </row>
    <row r="863" spans="1:72" x14ac:dyDescent="0.15">
      <c r="A863" t="s">
        <v>72</v>
      </c>
      <c r="B863" t="s">
        <v>15013</v>
      </c>
      <c r="C863" t="s">
        <v>74</v>
      </c>
      <c r="D863" t="s">
        <v>74</v>
      </c>
      <c r="E863" t="s">
        <v>74</v>
      </c>
      <c r="F863" t="s">
        <v>15014</v>
      </c>
      <c r="G863" t="s">
        <v>74</v>
      </c>
      <c r="H863" t="s">
        <v>74</v>
      </c>
      <c r="I863" t="s">
        <v>15015</v>
      </c>
      <c r="J863" t="s">
        <v>15016</v>
      </c>
      <c r="K863" t="s">
        <v>74</v>
      </c>
      <c r="L863" t="s">
        <v>74</v>
      </c>
      <c r="M863" t="s">
        <v>78</v>
      </c>
      <c r="N863" t="s">
        <v>79</v>
      </c>
      <c r="O863" t="s">
        <v>74</v>
      </c>
      <c r="P863" t="s">
        <v>74</v>
      </c>
      <c r="Q863" t="s">
        <v>74</v>
      </c>
      <c r="R863" t="s">
        <v>74</v>
      </c>
      <c r="S863" t="s">
        <v>74</v>
      </c>
      <c r="T863" t="s">
        <v>74</v>
      </c>
      <c r="U863" t="s">
        <v>74</v>
      </c>
      <c r="V863" t="s">
        <v>15017</v>
      </c>
      <c r="W863" t="s">
        <v>15018</v>
      </c>
      <c r="X863" t="s">
        <v>15019</v>
      </c>
      <c r="Y863" t="s">
        <v>15020</v>
      </c>
      <c r="Z863" t="s">
        <v>74</v>
      </c>
      <c r="AA863" t="s">
        <v>15021</v>
      </c>
      <c r="AB863" t="s">
        <v>15022</v>
      </c>
      <c r="AC863" t="s">
        <v>15023</v>
      </c>
      <c r="AD863" t="s">
        <v>15024</v>
      </c>
      <c r="AE863" t="s">
        <v>15025</v>
      </c>
      <c r="AF863" t="s">
        <v>74</v>
      </c>
      <c r="AG863">
        <v>13</v>
      </c>
      <c r="AH863">
        <v>22</v>
      </c>
      <c r="AI863">
        <v>36</v>
      </c>
      <c r="AJ863">
        <v>0</v>
      </c>
      <c r="AK863">
        <v>0</v>
      </c>
      <c r="AL863" t="s">
        <v>15026</v>
      </c>
      <c r="AM863" t="s">
        <v>15027</v>
      </c>
      <c r="AN863" t="s">
        <v>15028</v>
      </c>
      <c r="AO863" t="s">
        <v>15029</v>
      </c>
      <c r="AP863" t="s">
        <v>15030</v>
      </c>
      <c r="AQ863" t="s">
        <v>74</v>
      </c>
      <c r="AR863" t="s">
        <v>15031</v>
      </c>
      <c r="AS863" t="s">
        <v>15032</v>
      </c>
      <c r="AT863" t="s">
        <v>14347</v>
      </c>
      <c r="AU863">
        <v>2010</v>
      </c>
      <c r="AV863">
        <v>23</v>
      </c>
      <c r="AW863">
        <v>6</v>
      </c>
      <c r="AX863" t="s">
        <v>74</v>
      </c>
      <c r="AY863" t="s">
        <v>74</v>
      </c>
      <c r="AZ863" t="s">
        <v>74</v>
      </c>
      <c r="BA863" t="s">
        <v>74</v>
      </c>
      <c r="BB863">
        <v>500</v>
      </c>
      <c r="BC863">
        <v>507</v>
      </c>
      <c r="BD863" t="s">
        <v>74</v>
      </c>
      <c r="BE863" t="s">
        <v>15033</v>
      </c>
      <c r="BF863" t="str">
        <f>HYPERLINK("http://dx.doi.org/10.1134/S1024856010060102","http://dx.doi.org/10.1134/S1024856010060102")</f>
        <v>http://dx.doi.org/10.1134/S1024856010060102</v>
      </c>
      <c r="BG863" t="s">
        <v>74</v>
      </c>
      <c r="BH863" t="s">
        <v>74</v>
      </c>
      <c r="BI863">
        <v>8</v>
      </c>
      <c r="BJ863" t="s">
        <v>15034</v>
      </c>
      <c r="BK863" t="s">
        <v>6441</v>
      </c>
      <c r="BL863" t="s">
        <v>15034</v>
      </c>
      <c r="BM863" t="s">
        <v>15035</v>
      </c>
      <c r="BN863" t="s">
        <v>74</v>
      </c>
      <c r="BO863" t="s">
        <v>74</v>
      </c>
      <c r="BP863" t="s">
        <v>74</v>
      </c>
      <c r="BQ863" t="s">
        <v>74</v>
      </c>
      <c r="BR863" t="s">
        <v>103</v>
      </c>
      <c r="BS863" t="s">
        <v>15036</v>
      </c>
      <c r="BT863" t="str">
        <f>HYPERLINK("https%3A%2F%2Fwww.webofscience.com%2Fwos%2Fwoscc%2Ffull-record%2FWOS:000434582700010","View Full Record in Web of Science")</f>
        <v>View Full Record in Web of Science</v>
      </c>
    </row>
    <row r="864" spans="1:72" x14ac:dyDescent="0.15">
      <c r="A864" t="s">
        <v>72</v>
      </c>
      <c r="B864" t="s">
        <v>15037</v>
      </c>
      <c r="C864" t="s">
        <v>74</v>
      </c>
      <c r="D864" t="s">
        <v>74</v>
      </c>
      <c r="E864" t="s">
        <v>74</v>
      </c>
      <c r="F864" t="s">
        <v>15038</v>
      </c>
      <c r="G864" t="s">
        <v>74</v>
      </c>
      <c r="H864" t="s">
        <v>74</v>
      </c>
      <c r="I864" t="s">
        <v>15039</v>
      </c>
      <c r="J864" t="s">
        <v>15040</v>
      </c>
      <c r="K864" t="s">
        <v>74</v>
      </c>
      <c r="L864" t="s">
        <v>74</v>
      </c>
      <c r="M864" t="s">
        <v>78</v>
      </c>
      <c r="N864" t="s">
        <v>79</v>
      </c>
      <c r="O864" t="s">
        <v>74</v>
      </c>
      <c r="P864" t="s">
        <v>74</v>
      </c>
      <c r="Q864" t="s">
        <v>74</v>
      </c>
      <c r="R864" t="s">
        <v>74</v>
      </c>
      <c r="S864" t="s">
        <v>74</v>
      </c>
      <c r="T864" t="s">
        <v>15041</v>
      </c>
      <c r="U864" t="s">
        <v>15042</v>
      </c>
      <c r="V864" t="s">
        <v>15043</v>
      </c>
      <c r="W864" t="s">
        <v>15044</v>
      </c>
      <c r="X864" t="s">
        <v>15045</v>
      </c>
      <c r="Y864" t="s">
        <v>15046</v>
      </c>
      <c r="Z864" t="s">
        <v>10704</v>
      </c>
      <c r="AA864" t="s">
        <v>15047</v>
      </c>
      <c r="AB864" t="s">
        <v>15048</v>
      </c>
      <c r="AC864" t="s">
        <v>15049</v>
      </c>
      <c r="AD864" t="s">
        <v>15049</v>
      </c>
      <c r="AE864" t="s">
        <v>15050</v>
      </c>
      <c r="AF864" t="s">
        <v>74</v>
      </c>
      <c r="AG864">
        <v>49</v>
      </c>
      <c r="AH864">
        <v>14</v>
      </c>
      <c r="AI864">
        <v>16</v>
      </c>
      <c r="AJ864">
        <v>0</v>
      </c>
      <c r="AK864">
        <v>28</v>
      </c>
      <c r="AL864" t="s">
        <v>214</v>
      </c>
      <c r="AM864" t="s">
        <v>215</v>
      </c>
      <c r="AN864" t="s">
        <v>216</v>
      </c>
      <c r="AO864" t="s">
        <v>15051</v>
      </c>
      <c r="AP864" t="s">
        <v>15052</v>
      </c>
      <c r="AQ864" t="s">
        <v>74</v>
      </c>
      <c r="AR864" t="s">
        <v>15053</v>
      </c>
      <c r="AS864" t="s">
        <v>15054</v>
      </c>
      <c r="AT864" t="s">
        <v>14347</v>
      </c>
      <c r="AU864">
        <v>2010</v>
      </c>
      <c r="AV864">
        <v>35</v>
      </c>
      <c r="AW864">
        <v>8</v>
      </c>
      <c r="AX864" t="s">
        <v>74</v>
      </c>
      <c r="AY864" t="s">
        <v>74</v>
      </c>
      <c r="AZ864" t="s">
        <v>74</v>
      </c>
      <c r="BA864" t="s">
        <v>74</v>
      </c>
      <c r="BB864">
        <v>906</v>
      </c>
      <c r="BC864">
        <v>918</v>
      </c>
      <c r="BD864" t="s">
        <v>74</v>
      </c>
      <c r="BE864" t="s">
        <v>15055</v>
      </c>
      <c r="BF864" t="str">
        <f>HYPERLINK("http://dx.doi.org/10.1111/j.1442-9993.2009.02097.x","http://dx.doi.org/10.1111/j.1442-9993.2009.02097.x")</f>
        <v>http://dx.doi.org/10.1111/j.1442-9993.2009.02097.x</v>
      </c>
      <c r="BG864" t="s">
        <v>74</v>
      </c>
      <c r="BH864" t="s">
        <v>74</v>
      </c>
      <c r="BI864">
        <v>13</v>
      </c>
      <c r="BJ864" t="s">
        <v>821</v>
      </c>
      <c r="BK864" t="s">
        <v>100</v>
      </c>
      <c r="BL864" t="s">
        <v>822</v>
      </c>
      <c r="BM864" t="s">
        <v>15056</v>
      </c>
      <c r="BN864" t="s">
        <v>74</v>
      </c>
      <c r="BO864" t="s">
        <v>74</v>
      </c>
      <c r="BP864" t="s">
        <v>74</v>
      </c>
      <c r="BQ864" t="s">
        <v>74</v>
      </c>
      <c r="BR864" t="s">
        <v>103</v>
      </c>
      <c r="BS864" t="s">
        <v>15057</v>
      </c>
      <c r="BT864" t="str">
        <f>HYPERLINK("https%3A%2F%2Fwww.webofscience.com%2Fwos%2Fwoscc%2Ffull-record%2FWOS:000284643700008","View Full Record in Web of Science")</f>
        <v>View Full Record in Web of Science</v>
      </c>
    </row>
    <row r="865" spans="1:72" x14ac:dyDescent="0.15">
      <c r="A865" t="s">
        <v>72</v>
      </c>
      <c r="B865" t="s">
        <v>15058</v>
      </c>
      <c r="C865" t="s">
        <v>74</v>
      </c>
      <c r="D865" t="s">
        <v>74</v>
      </c>
      <c r="E865" t="s">
        <v>74</v>
      </c>
      <c r="F865" t="s">
        <v>15059</v>
      </c>
      <c r="G865" t="s">
        <v>74</v>
      </c>
      <c r="H865" t="s">
        <v>74</v>
      </c>
      <c r="I865" t="s">
        <v>15060</v>
      </c>
      <c r="J865" t="s">
        <v>15061</v>
      </c>
      <c r="K865" t="s">
        <v>74</v>
      </c>
      <c r="L865" t="s">
        <v>74</v>
      </c>
      <c r="M865" t="s">
        <v>78</v>
      </c>
      <c r="N865" t="s">
        <v>79</v>
      </c>
      <c r="O865" t="s">
        <v>74</v>
      </c>
      <c r="P865" t="s">
        <v>74</v>
      </c>
      <c r="Q865" t="s">
        <v>74</v>
      </c>
      <c r="R865" t="s">
        <v>74</v>
      </c>
      <c r="S865" t="s">
        <v>74</v>
      </c>
      <c r="T865" t="s">
        <v>74</v>
      </c>
      <c r="U865" t="s">
        <v>15062</v>
      </c>
      <c r="V865" t="s">
        <v>74</v>
      </c>
      <c r="W865" t="s">
        <v>15063</v>
      </c>
      <c r="X865" t="s">
        <v>15064</v>
      </c>
      <c r="Y865" t="s">
        <v>15065</v>
      </c>
      <c r="Z865" t="s">
        <v>74</v>
      </c>
      <c r="AA865" t="s">
        <v>74</v>
      </c>
      <c r="AB865" t="s">
        <v>74</v>
      </c>
      <c r="AC865" t="s">
        <v>74</v>
      </c>
      <c r="AD865" t="s">
        <v>74</v>
      </c>
      <c r="AE865" t="s">
        <v>74</v>
      </c>
      <c r="AF865" t="s">
        <v>74</v>
      </c>
      <c r="AG865">
        <v>11</v>
      </c>
      <c r="AH865">
        <v>1</v>
      </c>
      <c r="AI865">
        <v>1</v>
      </c>
      <c r="AJ865">
        <v>0</v>
      </c>
      <c r="AK865">
        <v>1</v>
      </c>
      <c r="AL865" t="s">
        <v>15066</v>
      </c>
      <c r="AM865" t="s">
        <v>367</v>
      </c>
      <c r="AN865" t="s">
        <v>368</v>
      </c>
      <c r="AO865" t="s">
        <v>15067</v>
      </c>
      <c r="AP865" t="s">
        <v>74</v>
      </c>
      <c r="AQ865" t="s">
        <v>74</v>
      </c>
      <c r="AR865" t="s">
        <v>15068</v>
      </c>
      <c r="AS865" t="s">
        <v>15069</v>
      </c>
      <c r="AT865" t="s">
        <v>14347</v>
      </c>
      <c r="AU865">
        <v>2010</v>
      </c>
      <c r="AV865">
        <v>56</v>
      </c>
      <c r="AW865">
        <v>4</v>
      </c>
      <c r="AX865" t="s">
        <v>74</v>
      </c>
      <c r="AY865" t="s">
        <v>74</v>
      </c>
      <c r="AZ865" t="s">
        <v>74</v>
      </c>
      <c r="BA865" t="s">
        <v>74</v>
      </c>
      <c r="BB865">
        <v>617</v>
      </c>
      <c r="BC865">
        <v>619</v>
      </c>
      <c r="BD865" t="s">
        <v>74</v>
      </c>
      <c r="BE865" t="s">
        <v>15070</v>
      </c>
      <c r="BF865" t="str">
        <f>HYPERLINK("http://dx.doi.org/10.1111/j.1467-8497.2010.01575.x","http://dx.doi.org/10.1111/j.1467-8497.2010.01575.x")</f>
        <v>http://dx.doi.org/10.1111/j.1467-8497.2010.01575.x</v>
      </c>
      <c r="BG865" t="s">
        <v>74</v>
      </c>
      <c r="BH865" t="s">
        <v>74</v>
      </c>
      <c r="BI865">
        <v>3</v>
      </c>
      <c r="BJ865" t="s">
        <v>15071</v>
      </c>
      <c r="BK865" t="s">
        <v>1561</v>
      </c>
      <c r="BL865" t="s">
        <v>15072</v>
      </c>
      <c r="BM865" t="s">
        <v>15073</v>
      </c>
      <c r="BN865" t="s">
        <v>74</v>
      </c>
      <c r="BO865" t="s">
        <v>74</v>
      </c>
      <c r="BP865" t="s">
        <v>74</v>
      </c>
      <c r="BQ865" t="s">
        <v>74</v>
      </c>
      <c r="BR865" t="s">
        <v>103</v>
      </c>
      <c r="BS865" t="s">
        <v>15074</v>
      </c>
      <c r="BT865" t="str">
        <f>HYPERLINK("https%3A%2F%2Fwww.webofscience.com%2Fwos%2Fwoscc%2Ffull-record%2FWOS:000284644900009","View Full Record in Web of Science")</f>
        <v>View Full Record in Web of Science</v>
      </c>
    </row>
    <row r="866" spans="1:72" x14ac:dyDescent="0.15">
      <c r="A866" t="s">
        <v>72</v>
      </c>
      <c r="B866" t="s">
        <v>15075</v>
      </c>
      <c r="C866" t="s">
        <v>74</v>
      </c>
      <c r="D866" t="s">
        <v>74</v>
      </c>
      <c r="E866" t="s">
        <v>74</v>
      </c>
      <c r="F866" t="s">
        <v>15076</v>
      </c>
      <c r="G866" t="s">
        <v>74</v>
      </c>
      <c r="H866" t="s">
        <v>74</v>
      </c>
      <c r="I866" t="s">
        <v>15077</v>
      </c>
      <c r="J866" t="s">
        <v>15078</v>
      </c>
      <c r="K866" t="s">
        <v>74</v>
      </c>
      <c r="L866" t="s">
        <v>74</v>
      </c>
      <c r="M866" t="s">
        <v>78</v>
      </c>
      <c r="N866" t="s">
        <v>79</v>
      </c>
      <c r="O866" t="s">
        <v>74</v>
      </c>
      <c r="P866" t="s">
        <v>74</v>
      </c>
      <c r="Q866" t="s">
        <v>74</v>
      </c>
      <c r="R866" t="s">
        <v>74</v>
      </c>
      <c r="S866" t="s">
        <v>74</v>
      </c>
      <c r="T866" t="s">
        <v>74</v>
      </c>
      <c r="U866" t="s">
        <v>15079</v>
      </c>
      <c r="V866" t="s">
        <v>15080</v>
      </c>
      <c r="W866" t="s">
        <v>15081</v>
      </c>
      <c r="X866" t="s">
        <v>15082</v>
      </c>
      <c r="Y866" t="s">
        <v>15083</v>
      </c>
      <c r="Z866" t="s">
        <v>15084</v>
      </c>
      <c r="AA866" t="s">
        <v>15085</v>
      </c>
      <c r="AB866" t="s">
        <v>15086</v>
      </c>
      <c r="AC866" t="s">
        <v>15087</v>
      </c>
      <c r="AD866" t="s">
        <v>15088</v>
      </c>
      <c r="AE866" t="s">
        <v>15089</v>
      </c>
      <c r="AF866" t="s">
        <v>74</v>
      </c>
      <c r="AG866">
        <v>52</v>
      </c>
      <c r="AH866">
        <v>28</v>
      </c>
      <c r="AI866">
        <v>30</v>
      </c>
      <c r="AJ866">
        <v>0</v>
      </c>
      <c r="AK866">
        <v>14</v>
      </c>
      <c r="AL866" t="s">
        <v>15090</v>
      </c>
      <c r="AM866" t="s">
        <v>15091</v>
      </c>
      <c r="AN866" t="s">
        <v>15092</v>
      </c>
      <c r="AO866" t="s">
        <v>15093</v>
      </c>
      <c r="AP866" t="s">
        <v>74</v>
      </c>
      <c r="AQ866" t="s">
        <v>74</v>
      </c>
      <c r="AR866" t="s">
        <v>15094</v>
      </c>
      <c r="AS866" t="s">
        <v>15095</v>
      </c>
      <c r="AT866" t="s">
        <v>14347</v>
      </c>
      <c r="AU866">
        <v>2010</v>
      </c>
      <c r="AV866">
        <v>219</v>
      </c>
      <c r="AW866">
        <v>3</v>
      </c>
      <c r="AX866" t="s">
        <v>74</v>
      </c>
      <c r="AY866" t="s">
        <v>74</v>
      </c>
      <c r="AZ866" t="s">
        <v>74</v>
      </c>
      <c r="BA866" t="s">
        <v>74</v>
      </c>
      <c r="BB866">
        <v>231</v>
      </c>
      <c r="BC866">
        <v>248</v>
      </c>
      <c r="BD866" t="s">
        <v>74</v>
      </c>
      <c r="BE866" t="s">
        <v>15096</v>
      </c>
      <c r="BF866" t="str">
        <f>HYPERLINK("http://dx.doi.org/10.1086/BBLv219n3p231","http://dx.doi.org/10.1086/BBLv219n3p231")</f>
        <v>http://dx.doi.org/10.1086/BBLv219n3p231</v>
      </c>
      <c r="BG866" t="s">
        <v>74</v>
      </c>
      <c r="BH866" t="s">
        <v>74</v>
      </c>
      <c r="BI866">
        <v>18</v>
      </c>
      <c r="BJ866" t="s">
        <v>15097</v>
      </c>
      <c r="BK866" t="s">
        <v>100</v>
      </c>
      <c r="BL866" t="s">
        <v>15098</v>
      </c>
      <c r="BM866" t="s">
        <v>15099</v>
      </c>
      <c r="BN866">
        <v>21183444</v>
      </c>
      <c r="BO866" t="s">
        <v>74</v>
      </c>
      <c r="BP866" t="s">
        <v>74</v>
      </c>
      <c r="BQ866" t="s">
        <v>74</v>
      </c>
      <c r="BR866" t="s">
        <v>103</v>
      </c>
      <c r="BS866" t="s">
        <v>15100</v>
      </c>
      <c r="BT866" t="str">
        <f>HYPERLINK("https%3A%2F%2Fwww.webofscience.com%2Fwos%2Fwoscc%2Ffull-record%2FWOS:000285795500005","View Full Record in Web of Science")</f>
        <v>View Full Record in Web of Science</v>
      </c>
    </row>
    <row r="867" spans="1:72" x14ac:dyDescent="0.15">
      <c r="A867" t="s">
        <v>72</v>
      </c>
      <c r="B867" t="s">
        <v>15101</v>
      </c>
      <c r="C867" t="s">
        <v>74</v>
      </c>
      <c r="D867" t="s">
        <v>74</v>
      </c>
      <c r="E867" t="s">
        <v>74</v>
      </c>
      <c r="F867" t="s">
        <v>15102</v>
      </c>
      <c r="G867" t="s">
        <v>74</v>
      </c>
      <c r="H867" t="s">
        <v>74</v>
      </c>
      <c r="I867" t="s">
        <v>15103</v>
      </c>
      <c r="J867" t="s">
        <v>15104</v>
      </c>
      <c r="K867" t="s">
        <v>74</v>
      </c>
      <c r="L867" t="s">
        <v>74</v>
      </c>
      <c r="M867" t="s">
        <v>78</v>
      </c>
      <c r="N867" t="s">
        <v>79</v>
      </c>
      <c r="O867" t="s">
        <v>74</v>
      </c>
      <c r="P867" t="s">
        <v>74</v>
      </c>
      <c r="Q867" t="s">
        <v>74</v>
      </c>
      <c r="R867" t="s">
        <v>74</v>
      </c>
      <c r="S867" t="s">
        <v>74</v>
      </c>
      <c r="T867" t="s">
        <v>15105</v>
      </c>
      <c r="U867" t="s">
        <v>15106</v>
      </c>
      <c r="V867" t="s">
        <v>15107</v>
      </c>
      <c r="W867" t="s">
        <v>15108</v>
      </c>
      <c r="X867" t="s">
        <v>15109</v>
      </c>
      <c r="Y867" t="s">
        <v>15110</v>
      </c>
      <c r="Z867" t="s">
        <v>15111</v>
      </c>
      <c r="AA867" t="s">
        <v>15112</v>
      </c>
      <c r="AB867" t="s">
        <v>15113</v>
      </c>
      <c r="AC867" t="s">
        <v>15114</v>
      </c>
      <c r="AD867" t="s">
        <v>15115</v>
      </c>
      <c r="AE867" t="s">
        <v>15116</v>
      </c>
      <c r="AF867" t="s">
        <v>74</v>
      </c>
      <c r="AG867">
        <v>30</v>
      </c>
      <c r="AH867">
        <v>24</v>
      </c>
      <c r="AI867">
        <v>26</v>
      </c>
      <c r="AJ867">
        <v>2</v>
      </c>
      <c r="AK867">
        <v>66</v>
      </c>
      <c r="AL867" t="s">
        <v>270</v>
      </c>
      <c r="AM867" t="s">
        <v>271</v>
      </c>
      <c r="AN867" t="s">
        <v>272</v>
      </c>
      <c r="AO867" t="s">
        <v>15117</v>
      </c>
      <c r="AP867" t="s">
        <v>15118</v>
      </c>
      <c r="AQ867" t="s">
        <v>74</v>
      </c>
      <c r="AR867" t="s">
        <v>15119</v>
      </c>
      <c r="AS867" t="s">
        <v>15120</v>
      </c>
      <c r="AT867" t="s">
        <v>14347</v>
      </c>
      <c r="AU867">
        <v>2010</v>
      </c>
      <c r="AV867">
        <v>11</v>
      </c>
      <c r="AW867">
        <v>6</v>
      </c>
      <c r="AX867" t="s">
        <v>74</v>
      </c>
      <c r="AY867" t="s">
        <v>74</v>
      </c>
      <c r="AZ867" t="s">
        <v>74</v>
      </c>
      <c r="BA867" t="s">
        <v>74</v>
      </c>
      <c r="BB867">
        <v>2437</v>
      </c>
      <c r="BC867">
        <v>2441</v>
      </c>
      <c r="BD867" t="s">
        <v>74</v>
      </c>
      <c r="BE867" t="s">
        <v>15121</v>
      </c>
      <c r="BF867" t="str">
        <f>HYPERLINK("http://dx.doi.org/10.1007/s10592-010-0121-9","http://dx.doi.org/10.1007/s10592-010-0121-9")</f>
        <v>http://dx.doi.org/10.1007/s10592-010-0121-9</v>
      </c>
      <c r="BG867" t="s">
        <v>74</v>
      </c>
      <c r="BH867" t="s">
        <v>74</v>
      </c>
      <c r="BI867">
        <v>5</v>
      </c>
      <c r="BJ867" t="s">
        <v>15122</v>
      </c>
      <c r="BK867" t="s">
        <v>100</v>
      </c>
      <c r="BL867" t="s">
        <v>15123</v>
      </c>
      <c r="BM867" t="s">
        <v>15124</v>
      </c>
      <c r="BN867" t="s">
        <v>74</v>
      </c>
      <c r="BO867" t="s">
        <v>74</v>
      </c>
      <c r="BP867" t="s">
        <v>74</v>
      </c>
      <c r="BQ867" t="s">
        <v>74</v>
      </c>
      <c r="BR867" t="s">
        <v>103</v>
      </c>
      <c r="BS867" t="s">
        <v>15125</v>
      </c>
      <c r="BT867" t="str">
        <f>HYPERLINK("https%3A%2F%2Fwww.webofscience.com%2Fwos%2Fwoscc%2Ffull-record%2FWOS:000283505900031","View Full Record in Web of Science")</f>
        <v>View Full Record in Web of Science</v>
      </c>
    </row>
    <row r="868" spans="1:72" x14ac:dyDescent="0.15">
      <c r="A868" t="s">
        <v>72</v>
      </c>
      <c r="B868" t="s">
        <v>15126</v>
      </c>
      <c r="C868" t="s">
        <v>74</v>
      </c>
      <c r="D868" t="s">
        <v>74</v>
      </c>
      <c r="E868" t="s">
        <v>74</v>
      </c>
      <c r="F868" t="s">
        <v>15127</v>
      </c>
      <c r="G868" t="s">
        <v>74</v>
      </c>
      <c r="H868" t="s">
        <v>74</v>
      </c>
      <c r="I868" t="s">
        <v>15128</v>
      </c>
      <c r="J868" t="s">
        <v>15129</v>
      </c>
      <c r="K868" t="s">
        <v>74</v>
      </c>
      <c r="L868" t="s">
        <v>74</v>
      </c>
      <c r="M868" t="s">
        <v>78</v>
      </c>
      <c r="N868" t="s">
        <v>79</v>
      </c>
      <c r="O868" t="s">
        <v>74</v>
      </c>
      <c r="P868" t="s">
        <v>74</v>
      </c>
      <c r="Q868" t="s">
        <v>74</v>
      </c>
      <c r="R868" t="s">
        <v>74</v>
      </c>
      <c r="S868" t="s">
        <v>74</v>
      </c>
      <c r="T868" t="s">
        <v>15130</v>
      </c>
      <c r="U868" t="s">
        <v>15131</v>
      </c>
      <c r="V868" t="s">
        <v>15132</v>
      </c>
      <c r="W868" t="s">
        <v>15133</v>
      </c>
      <c r="X868" t="s">
        <v>15134</v>
      </c>
      <c r="Y868" t="s">
        <v>15135</v>
      </c>
      <c r="Z868" t="s">
        <v>15136</v>
      </c>
      <c r="AA868" t="s">
        <v>15137</v>
      </c>
      <c r="AB868" t="s">
        <v>15138</v>
      </c>
      <c r="AC868" t="s">
        <v>15139</v>
      </c>
      <c r="AD868" t="s">
        <v>15139</v>
      </c>
      <c r="AE868" t="s">
        <v>15140</v>
      </c>
      <c r="AF868" t="s">
        <v>74</v>
      </c>
      <c r="AG868">
        <v>70</v>
      </c>
      <c r="AH868">
        <v>29</v>
      </c>
      <c r="AI868">
        <v>31</v>
      </c>
      <c r="AJ868">
        <v>1</v>
      </c>
      <c r="AK868">
        <v>33</v>
      </c>
      <c r="AL868" t="s">
        <v>270</v>
      </c>
      <c r="AM868" t="s">
        <v>91</v>
      </c>
      <c r="AN868" t="s">
        <v>320</v>
      </c>
      <c r="AO868" t="s">
        <v>15141</v>
      </c>
      <c r="AP868" t="s">
        <v>15142</v>
      </c>
      <c r="AQ868" t="s">
        <v>74</v>
      </c>
      <c r="AR868" t="s">
        <v>15129</v>
      </c>
      <c r="AS868" t="s">
        <v>15143</v>
      </c>
      <c r="AT868" t="s">
        <v>14347</v>
      </c>
      <c r="AU868">
        <v>2010</v>
      </c>
      <c r="AV868">
        <v>29</v>
      </c>
      <c r="AW868">
        <v>4</v>
      </c>
      <c r="AX868" t="s">
        <v>74</v>
      </c>
      <c r="AY868" t="s">
        <v>74</v>
      </c>
      <c r="AZ868" t="s">
        <v>74</v>
      </c>
      <c r="BA868" t="s">
        <v>74</v>
      </c>
      <c r="BB868">
        <v>1035</v>
      </c>
      <c r="BC868">
        <v>1045</v>
      </c>
      <c r="BD868" t="s">
        <v>74</v>
      </c>
      <c r="BE868" t="s">
        <v>15144</v>
      </c>
      <c r="BF868" t="str">
        <f>HYPERLINK("http://dx.doi.org/10.1007/s00338-010-0660-z","http://dx.doi.org/10.1007/s00338-010-0660-z")</f>
        <v>http://dx.doi.org/10.1007/s00338-010-0660-z</v>
      </c>
      <c r="BG868" t="s">
        <v>74</v>
      </c>
      <c r="BH868" t="s">
        <v>74</v>
      </c>
      <c r="BI868">
        <v>11</v>
      </c>
      <c r="BJ868" t="s">
        <v>893</v>
      </c>
      <c r="BK868" t="s">
        <v>100</v>
      </c>
      <c r="BL868" t="s">
        <v>893</v>
      </c>
      <c r="BM868" t="s">
        <v>15145</v>
      </c>
      <c r="BN868" t="s">
        <v>74</v>
      </c>
      <c r="BO868" t="s">
        <v>74</v>
      </c>
      <c r="BP868" t="s">
        <v>74</v>
      </c>
      <c r="BQ868" t="s">
        <v>74</v>
      </c>
      <c r="BR868" t="s">
        <v>103</v>
      </c>
      <c r="BS868" t="s">
        <v>15146</v>
      </c>
      <c r="BT868" t="str">
        <f>HYPERLINK("https%3A%2F%2Fwww.webofscience.com%2Fwos%2Fwoscc%2Ffull-record%2FWOS:000283940700025","View Full Record in Web of Science")</f>
        <v>View Full Record in Web of Science</v>
      </c>
    </row>
    <row r="869" spans="1:72" x14ac:dyDescent="0.15">
      <c r="A869" t="s">
        <v>72</v>
      </c>
      <c r="B869" t="s">
        <v>15147</v>
      </c>
      <c r="C869" t="s">
        <v>74</v>
      </c>
      <c r="D869" t="s">
        <v>74</v>
      </c>
      <c r="E869" t="s">
        <v>74</v>
      </c>
      <c r="F869" t="s">
        <v>15148</v>
      </c>
      <c r="G869" t="s">
        <v>74</v>
      </c>
      <c r="H869" t="s">
        <v>74</v>
      </c>
      <c r="I869" t="s">
        <v>15149</v>
      </c>
      <c r="J869" t="s">
        <v>15150</v>
      </c>
      <c r="K869" t="s">
        <v>74</v>
      </c>
      <c r="L869" t="s">
        <v>74</v>
      </c>
      <c r="M869" t="s">
        <v>78</v>
      </c>
      <c r="N869" t="s">
        <v>79</v>
      </c>
      <c r="O869" t="s">
        <v>74</v>
      </c>
      <c r="P869" t="s">
        <v>74</v>
      </c>
      <c r="Q869" t="s">
        <v>74</v>
      </c>
      <c r="R869" t="s">
        <v>74</v>
      </c>
      <c r="S869" t="s">
        <v>74</v>
      </c>
      <c r="T869" t="s">
        <v>74</v>
      </c>
      <c r="U869" t="s">
        <v>15151</v>
      </c>
      <c r="V869" t="s">
        <v>15152</v>
      </c>
      <c r="W869" t="s">
        <v>15153</v>
      </c>
      <c r="X869" t="s">
        <v>15154</v>
      </c>
      <c r="Y869" t="s">
        <v>15155</v>
      </c>
      <c r="Z869" t="s">
        <v>74</v>
      </c>
      <c r="AA869" t="s">
        <v>15156</v>
      </c>
      <c r="AB869" t="s">
        <v>15157</v>
      </c>
      <c r="AC869" t="s">
        <v>15158</v>
      </c>
      <c r="AD869" t="s">
        <v>15159</v>
      </c>
      <c r="AE869" t="s">
        <v>15160</v>
      </c>
      <c r="AF869" t="s">
        <v>74</v>
      </c>
      <c r="AG869">
        <v>102</v>
      </c>
      <c r="AH869">
        <v>24</v>
      </c>
      <c r="AI869">
        <v>28</v>
      </c>
      <c r="AJ869">
        <v>0</v>
      </c>
      <c r="AK869">
        <v>52</v>
      </c>
      <c r="AL869" t="s">
        <v>5744</v>
      </c>
      <c r="AM869" t="s">
        <v>241</v>
      </c>
      <c r="AN869" t="s">
        <v>5745</v>
      </c>
      <c r="AO869" t="s">
        <v>15161</v>
      </c>
      <c r="AP869" t="s">
        <v>15162</v>
      </c>
      <c r="AQ869" t="s">
        <v>74</v>
      </c>
      <c r="AR869" t="s">
        <v>15163</v>
      </c>
      <c r="AS869" t="s">
        <v>15164</v>
      </c>
      <c r="AT869" t="s">
        <v>14347</v>
      </c>
      <c r="AU869">
        <v>2010</v>
      </c>
      <c r="AV869">
        <v>10</v>
      </c>
      <c r="AW869">
        <v>12</v>
      </c>
      <c r="AX869" t="s">
        <v>74</v>
      </c>
      <c r="AY869" t="s">
        <v>74</v>
      </c>
      <c r="AZ869" t="s">
        <v>74</v>
      </c>
      <c r="BA869" t="s">
        <v>74</v>
      </c>
      <c r="BB869">
        <v>5066</v>
      </c>
      <c r="BC869">
        <v>5077</v>
      </c>
      <c r="BD869" t="s">
        <v>74</v>
      </c>
      <c r="BE869" t="s">
        <v>15165</v>
      </c>
      <c r="BF869" t="str">
        <f>HYPERLINK("http://dx.doi.org/10.1021/cg1005083","http://dx.doi.org/10.1021/cg1005083")</f>
        <v>http://dx.doi.org/10.1021/cg1005083</v>
      </c>
      <c r="BG869" t="s">
        <v>74</v>
      </c>
      <c r="BH869" t="s">
        <v>74</v>
      </c>
      <c r="BI869">
        <v>12</v>
      </c>
      <c r="BJ869" t="s">
        <v>15166</v>
      </c>
      <c r="BK869" t="s">
        <v>6915</v>
      </c>
      <c r="BL869" t="s">
        <v>15167</v>
      </c>
      <c r="BM869" t="s">
        <v>15168</v>
      </c>
      <c r="BN869" t="s">
        <v>74</v>
      </c>
      <c r="BO869" t="s">
        <v>74</v>
      </c>
      <c r="BP869" t="s">
        <v>74</v>
      </c>
      <c r="BQ869" t="s">
        <v>74</v>
      </c>
      <c r="BR869" t="s">
        <v>103</v>
      </c>
      <c r="BS869" t="s">
        <v>15169</v>
      </c>
      <c r="BT869" t="str">
        <f>HYPERLINK("https%3A%2F%2Fwww.webofscience.com%2Fwos%2Fwoscc%2Ffull-record%2FWOS:000284675100009","View Full Record in Web of Science")</f>
        <v>View Full Record in Web of Science</v>
      </c>
    </row>
    <row r="870" spans="1:72" x14ac:dyDescent="0.15">
      <c r="A870" t="s">
        <v>72</v>
      </c>
      <c r="B870" t="s">
        <v>15170</v>
      </c>
      <c r="C870" t="s">
        <v>74</v>
      </c>
      <c r="D870" t="s">
        <v>74</v>
      </c>
      <c r="E870" t="s">
        <v>74</v>
      </c>
      <c r="F870" t="s">
        <v>15171</v>
      </c>
      <c r="G870" t="s">
        <v>74</v>
      </c>
      <c r="H870" t="s">
        <v>74</v>
      </c>
      <c r="I870" t="s">
        <v>15172</v>
      </c>
      <c r="J870" t="s">
        <v>754</v>
      </c>
      <c r="K870" t="s">
        <v>74</v>
      </c>
      <c r="L870" t="s">
        <v>74</v>
      </c>
      <c r="M870" t="s">
        <v>78</v>
      </c>
      <c r="N870" t="s">
        <v>79</v>
      </c>
      <c r="O870" t="s">
        <v>74</v>
      </c>
      <c r="P870" t="s">
        <v>74</v>
      </c>
      <c r="Q870" t="s">
        <v>74</v>
      </c>
      <c r="R870" t="s">
        <v>74</v>
      </c>
      <c r="S870" t="s">
        <v>74</v>
      </c>
      <c r="T870" t="s">
        <v>15173</v>
      </c>
      <c r="U870" t="s">
        <v>15174</v>
      </c>
      <c r="V870" t="s">
        <v>15175</v>
      </c>
      <c r="W870" t="s">
        <v>15176</v>
      </c>
      <c r="X870" t="s">
        <v>15177</v>
      </c>
      <c r="Y870" t="s">
        <v>15178</v>
      </c>
      <c r="Z870" t="s">
        <v>15179</v>
      </c>
      <c r="AA870" t="s">
        <v>15180</v>
      </c>
      <c r="AB870" t="s">
        <v>15181</v>
      </c>
      <c r="AC870" t="s">
        <v>15182</v>
      </c>
      <c r="AD870" t="s">
        <v>1455</v>
      </c>
      <c r="AE870" t="s">
        <v>15183</v>
      </c>
      <c r="AF870" t="s">
        <v>74</v>
      </c>
      <c r="AG870">
        <v>50</v>
      </c>
      <c r="AH870">
        <v>62</v>
      </c>
      <c r="AI870">
        <v>76</v>
      </c>
      <c r="AJ870">
        <v>0</v>
      </c>
      <c r="AK870">
        <v>21</v>
      </c>
      <c r="AL870" t="s">
        <v>639</v>
      </c>
      <c r="AM870" t="s">
        <v>640</v>
      </c>
      <c r="AN870" t="s">
        <v>641</v>
      </c>
      <c r="AO870" t="s">
        <v>769</v>
      </c>
      <c r="AP870" t="s">
        <v>770</v>
      </c>
      <c r="AQ870" t="s">
        <v>74</v>
      </c>
      <c r="AR870" t="s">
        <v>771</v>
      </c>
      <c r="AS870" t="s">
        <v>772</v>
      </c>
      <c r="AT870" t="s">
        <v>14500</v>
      </c>
      <c r="AU870">
        <v>2010</v>
      </c>
      <c r="AV870">
        <v>300</v>
      </c>
      <c r="AW870" t="s">
        <v>601</v>
      </c>
      <c r="AX870" t="s">
        <v>74</v>
      </c>
      <c r="AY870" t="s">
        <v>74</v>
      </c>
      <c r="AZ870" t="s">
        <v>74</v>
      </c>
      <c r="BA870" t="s">
        <v>74</v>
      </c>
      <c r="BB870">
        <v>395</v>
      </c>
      <c r="BC870">
        <v>401</v>
      </c>
      <c r="BD870" t="s">
        <v>74</v>
      </c>
      <c r="BE870" t="s">
        <v>15184</v>
      </c>
      <c r="BF870" t="str">
        <f>HYPERLINK("http://dx.doi.org/10.1016/j.epsl.2010.10.022","http://dx.doi.org/10.1016/j.epsl.2010.10.022")</f>
        <v>http://dx.doi.org/10.1016/j.epsl.2010.10.022</v>
      </c>
      <c r="BG870" t="s">
        <v>74</v>
      </c>
      <c r="BH870" t="s">
        <v>74</v>
      </c>
      <c r="BI870">
        <v>7</v>
      </c>
      <c r="BJ870" t="s">
        <v>774</v>
      </c>
      <c r="BK870" t="s">
        <v>100</v>
      </c>
      <c r="BL870" t="s">
        <v>774</v>
      </c>
      <c r="BM870" t="s">
        <v>14502</v>
      </c>
      <c r="BN870" t="s">
        <v>74</v>
      </c>
      <c r="BO870" t="s">
        <v>74</v>
      </c>
      <c r="BP870" t="s">
        <v>74</v>
      </c>
      <c r="BQ870" t="s">
        <v>74</v>
      </c>
      <c r="BR870" t="s">
        <v>103</v>
      </c>
      <c r="BS870" t="s">
        <v>15185</v>
      </c>
      <c r="BT870" t="str">
        <f>HYPERLINK("https%3A%2F%2Fwww.webofscience.com%2Fwos%2Fwoscc%2Ffull-record%2FWOS:000286284600022","View Full Record in Web of Science")</f>
        <v>View Full Record in Web of Science</v>
      </c>
    </row>
    <row r="871" spans="1:72" x14ac:dyDescent="0.15">
      <c r="A871" t="s">
        <v>72</v>
      </c>
      <c r="B871" t="s">
        <v>15186</v>
      </c>
      <c r="C871" t="s">
        <v>74</v>
      </c>
      <c r="D871" t="s">
        <v>74</v>
      </c>
      <c r="E871" t="s">
        <v>74</v>
      </c>
      <c r="F871" t="s">
        <v>15187</v>
      </c>
      <c r="G871" t="s">
        <v>74</v>
      </c>
      <c r="H871" t="s">
        <v>74</v>
      </c>
      <c r="I871" t="s">
        <v>15188</v>
      </c>
      <c r="J871" t="s">
        <v>331</v>
      </c>
      <c r="K871" t="s">
        <v>74</v>
      </c>
      <c r="L871" t="s">
        <v>74</v>
      </c>
      <c r="M871" t="s">
        <v>78</v>
      </c>
      <c r="N871" t="s">
        <v>2000</v>
      </c>
      <c r="O871" t="s">
        <v>15189</v>
      </c>
      <c r="P871" t="s">
        <v>15190</v>
      </c>
      <c r="Q871" t="s">
        <v>15191</v>
      </c>
      <c r="R871" t="s">
        <v>74</v>
      </c>
      <c r="S871" t="s">
        <v>74</v>
      </c>
      <c r="T871" t="s">
        <v>15192</v>
      </c>
      <c r="U871" t="s">
        <v>15193</v>
      </c>
      <c r="V871" t="s">
        <v>15194</v>
      </c>
      <c r="W871" t="s">
        <v>15195</v>
      </c>
      <c r="X871" t="s">
        <v>15196</v>
      </c>
      <c r="Y871" t="s">
        <v>15197</v>
      </c>
      <c r="Z871" t="s">
        <v>15198</v>
      </c>
      <c r="AA871" t="s">
        <v>15199</v>
      </c>
      <c r="AB871" t="s">
        <v>15200</v>
      </c>
      <c r="AC871" t="s">
        <v>74</v>
      </c>
      <c r="AD871" t="s">
        <v>74</v>
      </c>
      <c r="AE871" t="s">
        <v>74</v>
      </c>
      <c r="AF871" t="s">
        <v>74</v>
      </c>
      <c r="AG871">
        <v>67</v>
      </c>
      <c r="AH871">
        <v>83</v>
      </c>
      <c r="AI871">
        <v>88</v>
      </c>
      <c r="AJ871">
        <v>0</v>
      </c>
      <c r="AK871">
        <v>30</v>
      </c>
      <c r="AL871" t="s">
        <v>270</v>
      </c>
      <c r="AM871" t="s">
        <v>91</v>
      </c>
      <c r="AN871" t="s">
        <v>296</v>
      </c>
      <c r="AO871" t="s">
        <v>341</v>
      </c>
      <c r="AP871" t="s">
        <v>342</v>
      </c>
      <c r="AQ871" t="s">
        <v>74</v>
      </c>
      <c r="AR871" t="s">
        <v>343</v>
      </c>
      <c r="AS871" t="s">
        <v>344</v>
      </c>
      <c r="AT871" t="s">
        <v>14347</v>
      </c>
      <c r="AU871">
        <v>2010</v>
      </c>
      <c r="AV871">
        <v>89</v>
      </c>
      <c r="AW871" t="s">
        <v>601</v>
      </c>
      <c r="AX871" t="s">
        <v>74</v>
      </c>
      <c r="AY871" t="s">
        <v>74</v>
      </c>
      <c r="AZ871" t="s">
        <v>74</v>
      </c>
      <c r="BA871" t="s">
        <v>74</v>
      </c>
      <c r="BB871">
        <v>607</v>
      </c>
      <c r="BC871">
        <v>618</v>
      </c>
      <c r="BD871" t="s">
        <v>74</v>
      </c>
      <c r="BE871" t="s">
        <v>15201</v>
      </c>
      <c r="BF871" t="str">
        <f>HYPERLINK("http://dx.doi.org/10.1007/s10641-010-9673-2","http://dx.doi.org/10.1007/s10641-010-9673-2")</f>
        <v>http://dx.doi.org/10.1007/s10641-010-9673-2</v>
      </c>
      <c r="BG871" t="s">
        <v>74</v>
      </c>
      <c r="BH871" t="s">
        <v>74</v>
      </c>
      <c r="BI871">
        <v>12</v>
      </c>
      <c r="BJ871" t="s">
        <v>346</v>
      </c>
      <c r="BK871" t="s">
        <v>2022</v>
      </c>
      <c r="BL871" t="s">
        <v>347</v>
      </c>
      <c r="BM871" t="s">
        <v>15202</v>
      </c>
      <c r="BN871" t="s">
        <v>74</v>
      </c>
      <c r="BO871" t="s">
        <v>74</v>
      </c>
      <c r="BP871" t="s">
        <v>74</v>
      </c>
      <c r="BQ871" t="s">
        <v>74</v>
      </c>
      <c r="BR871" t="s">
        <v>103</v>
      </c>
      <c r="BS871" t="s">
        <v>15203</v>
      </c>
      <c r="BT871" t="str">
        <f>HYPERLINK("https%3A%2F%2Fwww.webofscience.com%2Fwos%2Fwoscc%2Ffull-record%2FWOS:000284976500035","View Full Record in Web of Science")</f>
        <v>View Full Record in Web of Science</v>
      </c>
    </row>
    <row r="872" spans="1:72" x14ac:dyDescent="0.15">
      <c r="A872" t="s">
        <v>72</v>
      </c>
      <c r="B872" t="s">
        <v>15204</v>
      </c>
      <c r="C872" t="s">
        <v>74</v>
      </c>
      <c r="D872" t="s">
        <v>74</v>
      </c>
      <c r="E872" t="s">
        <v>74</v>
      </c>
      <c r="F872" t="s">
        <v>15205</v>
      </c>
      <c r="G872" t="s">
        <v>74</v>
      </c>
      <c r="H872" t="s">
        <v>74</v>
      </c>
      <c r="I872" t="s">
        <v>15206</v>
      </c>
      <c r="J872" t="s">
        <v>15207</v>
      </c>
      <c r="K872" t="s">
        <v>74</v>
      </c>
      <c r="L872" t="s">
        <v>74</v>
      </c>
      <c r="M872" t="s">
        <v>78</v>
      </c>
      <c r="N872" t="s">
        <v>79</v>
      </c>
      <c r="O872" t="s">
        <v>74</v>
      </c>
      <c r="P872" t="s">
        <v>74</v>
      </c>
      <c r="Q872" t="s">
        <v>74</v>
      </c>
      <c r="R872" t="s">
        <v>74</v>
      </c>
      <c r="S872" t="s">
        <v>74</v>
      </c>
      <c r="T872" t="s">
        <v>15208</v>
      </c>
      <c r="U872" t="s">
        <v>15209</v>
      </c>
      <c r="V872" t="s">
        <v>15210</v>
      </c>
      <c r="W872" t="s">
        <v>15211</v>
      </c>
      <c r="X872" t="s">
        <v>15212</v>
      </c>
      <c r="Y872" t="s">
        <v>15213</v>
      </c>
      <c r="Z872" t="s">
        <v>10338</v>
      </c>
      <c r="AA872" t="s">
        <v>10339</v>
      </c>
      <c r="AB872" t="s">
        <v>10340</v>
      </c>
      <c r="AC872" t="s">
        <v>10341</v>
      </c>
      <c r="AD872" t="s">
        <v>10342</v>
      </c>
      <c r="AE872" t="s">
        <v>15214</v>
      </c>
      <c r="AF872" t="s">
        <v>74</v>
      </c>
      <c r="AG872">
        <v>51</v>
      </c>
      <c r="AH872">
        <v>7</v>
      </c>
      <c r="AI872">
        <v>7</v>
      </c>
      <c r="AJ872">
        <v>0</v>
      </c>
      <c r="AK872">
        <v>15</v>
      </c>
      <c r="AL872" t="s">
        <v>7435</v>
      </c>
      <c r="AM872" t="s">
        <v>2544</v>
      </c>
      <c r="AN872" t="s">
        <v>7436</v>
      </c>
      <c r="AO872" t="s">
        <v>15215</v>
      </c>
      <c r="AP872" t="s">
        <v>15216</v>
      </c>
      <c r="AQ872" t="s">
        <v>74</v>
      </c>
      <c r="AR872" t="s">
        <v>15217</v>
      </c>
      <c r="AS872" t="s">
        <v>15218</v>
      </c>
      <c r="AT872" t="s">
        <v>14500</v>
      </c>
      <c r="AU872">
        <v>2010</v>
      </c>
      <c r="AV872">
        <v>169</v>
      </c>
      <c r="AW872">
        <v>3</v>
      </c>
      <c r="AX872" t="s">
        <v>74</v>
      </c>
      <c r="AY872" t="s">
        <v>74</v>
      </c>
      <c r="AZ872" t="s">
        <v>74</v>
      </c>
      <c r="BA872" t="s">
        <v>74</v>
      </c>
      <c r="BB872">
        <v>244</v>
      </c>
      <c r="BC872">
        <v>249</v>
      </c>
      <c r="BD872" t="s">
        <v>74</v>
      </c>
      <c r="BE872" t="s">
        <v>15219</v>
      </c>
      <c r="BF872" t="str">
        <f>HYPERLINK("http://dx.doi.org/10.1016/j.ygcen.2010.09.007","http://dx.doi.org/10.1016/j.ygcen.2010.09.007")</f>
        <v>http://dx.doi.org/10.1016/j.ygcen.2010.09.007</v>
      </c>
      <c r="BG872" t="s">
        <v>74</v>
      </c>
      <c r="BH872" t="s">
        <v>74</v>
      </c>
      <c r="BI872">
        <v>6</v>
      </c>
      <c r="BJ872" t="s">
        <v>15220</v>
      </c>
      <c r="BK872" t="s">
        <v>100</v>
      </c>
      <c r="BL872" t="s">
        <v>15220</v>
      </c>
      <c r="BM872" t="s">
        <v>15221</v>
      </c>
      <c r="BN872">
        <v>20850443</v>
      </c>
      <c r="BO872" t="s">
        <v>74</v>
      </c>
      <c r="BP872" t="s">
        <v>74</v>
      </c>
      <c r="BQ872" t="s">
        <v>74</v>
      </c>
      <c r="BR872" t="s">
        <v>103</v>
      </c>
      <c r="BS872" t="s">
        <v>15222</v>
      </c>
      <c r="BT872" t="str">
        <f>HYPERLINK("https%3A%2F%2Fwww.webofscience.com%2Fwos%2Fwoscc%2Ffull-record%2FWOS:000283969400009","View Full Record in Web of Science")</f>
        <v>View Full Record in Web of Science</v>
      </c>
    </row>
    <row r="873" spans="1:72" x14ac:dyDescent="0.15">
      <c r="A873" t="s">
        <v>72</v>
      </c>
      <c r="B873" t="s">
        <v>15223</v>
      </c>
      <c r="C873" t="s">
        <v>74</v>
      </c>
      <c r="D873" t="s">
        <v>74</v>
      </c>
      <c r="E873" t="s">
        <v>74</v>
      </c>
      <c r="F873" t="s">
        <v>15224</v>
      </c>
      <c r="G873" t="s">
        <v>74</v>
      </c>
      <c r="H873" t="s">
        <v>74</v>
      </c>
      <c r="I873" t="s">
        <v>15225</v>
      </c>
      <c r="J873" t="s">
        <v>1884</v>
      </c>
      <c r="K873" t="s">
        <v>74</v>
      </c>
      <c r="L873" t="s">
        <v>74</v>
      </c>
      <c r="M873" t="s">
        <v>78</v>
      </c>
      <c r="N873" t="s">
        <v>79</v>
      </c>
      <c r="O873" t="s">
        <v>74</v>
      </c>
      <c r="P873" t="s">
        <v>74</v>
      </c>
      <c r="Q873" t="s">
        <v>74</v>
      </c>
      <c r="R873" t="s">
        <v>74</v>
      </c>
      <c r="S873" t="s">
        <v>74</v>
      </c>
      <c r="T873" t="s">
        <v>74</v>
      </c>
      <c r="U873" t="s">
        <v>15226</v>
      </c>
      <c r="V873" t="s">
        <v>15227</v>
      </c>
      <c r="W873" t="s">
        <v>15228</v>
      </c>
      <c r="X873" t="s">
        <v>15229</v>
      </c>
      <c r="Y873" t="s">
        <v>15230</v>
      </c>
      <c r="Z873" t="s">
        <v>15231</v>
      </c>
      <c r="AA873" t="s">
        <v>15232</v>
      </c>
      <c r="AB873" t="s">
        <v>15233</v>
      </c>
      <c r="AC873" t="s">
        <v>15234</v>
      </c>
      <c r="AD873" t="s">
        <v>15235</v>
      </c>
      <c r="AE873" t="s">
        <v>74</v>
      </c>
      <c r="AF873" t="s">
        <v>74</v>
      </c>
      <c r="AG873">
        <v>107</v>
      </c>
      <c r="AH873">
        <v>51</v>
      </c>
      <c r="AI873">
        <v>56</v>
      </c>
      <c r="AJ873">
        <v>0</v>
      </c>
      <c r="AK873">
        <v>30</v>
      </c>
      <c r="AL873" t="s">
        <v>718</v>
      </c>
      <c r="AM873" t="s">
        <v>719</v>
      </c>
      <c r="AN873" t="s">
        <v>720</v>
      </c>
      <c r="AO873" t="s">
        <v>1894</v>
      </c>
      <c r="AP873" t="s">
        <v>1895</v>
      </c>
      <c r="AQ873" t="s">
        <v>74</v>
      </c>
      <c r="AR873" t="s">
        <v>1896</v>
      </c>
      <c r="AS873" t="s">
        <v>1897</v>
      </c>
      <c r="AT873" t="s">
        <v>14500</v>
      </c>
      <c r="AU873">
        <v>2010</v>
      </c>
      <c r="AV873">
        <v>74</v>
      </c>
      <c r="AW873">
        <v>23</v>
      </c>
      <c r="AX873" t="s">
        <v>74</v>
      </c>
      <c r="AY873" t="s">
        <v>74</v>
      </c>
      <c r="AZ873" t="s">
        <v>74</v>
      </c>
      <c r="BA873" t="s">
        <v>74</v>
      </c>
      <c r="BB873">
        <v>6885</v>
      </c>
      <c r="BC873">
        <v>6899</v>
      </c>
      <c r="BD873" t="s">
        <v>74</v>
      </c>
      <c r="BE873" t="s">
        <v>15236</v>
      </c>
      <c r="BF873" t="str">
        <f>HYPERLINK("http://dx.doi.org/10.1016/j.gca.2010.09.023","http://dx.doi.org/10.1016/j.gca.2010.09.023")</f>
        <v>http://dx.doi.org/10.1016/j.gca.2010.09.023</v>
      </c>
      <c r="BG873" t="s">
        <v>74</v>
      </c>
      <c r="BH873" t="s">
        <v>74</v>
      </c>
      <c r="BI873">
        <v>15</v>
      </c>
      <c r="BJ873" t="s">
        <v>774</v>
      </c>
      <c r="BK873" t="s">
        <v>100</v>
      </c>
      <c r="BL873" t="s">
        <v>774</v>
      </c>
      <c r="BM873" t="s">
        <v>15237</v>
      </c>
      <c r="BN873" t="s">
        <v>74</v>
      </c>
      <c r="BO873" t="s">
        <v>74</v>
      </c>
      <c r="BP873" t="s">
        <v>74</v>
      </c>
      <c r="BQ873" t="s">
        <v>74</v>
      </c>
      <c r="BR873" t="s">
        <v>103</v>
      </c>
      <c r="BS873" t="s">
        <v>15238</v>
      </c>
      <c r="BT873" t="str">
        <f>HYPERLINK("https%3A%2F%2Fwww.webofscience.com%2Fwos%2Fwoscc%2Ffull-record%2FWOS:000284192000018","View Full Record in Web of Science")</f>
        <v>View Full Record in Web of Science</v>
      </c>
    </row>
    <row r="874" spans="1:72" x14ac:dyDescent="0.15">
      <c r="A874" t="s">
        <v>72</v>
      </c>
      <c r="B874" t="s">
        <v>15239</v>
      </c>
      <c r="C874" t="s">
        <v>74</v>
      </c>
      <c r="D874" t="s">
        <v>74</v>
      </c>
      <c r="E874" t="s">
        <v>74</v>
      </c>
      <c r="F874" t="s">
        <v>15240</v>
      </c>
      <c r="G874" t="s">
        <v>74</v>
      </c>
      <c r="H874" t="s">
        <v>74</v>
      </c>
      <c r="I874" t="s">
        <v>15241</v>
      </c>
      <c r="J874" t="s">
        <v>1980</v>
      </c>
      <c r="K874" t="s">
        <v>74</v>
      </c>
      <c r="L874" t="s">
        <v>74</v>
      </c>
      <c r="M874" t="s">
        <v>78</v>
      </c>
      <c r="N874" t="s">
        <v>79</v>
      </c>
      <c r="O874" t="s">
        <v>74</v>
      </c>
      <c r="P874" t="s">
        <v>74</v>
      </c>
      <c r="Q874" t="s">
        <v>74</v>
      </c>
      <c r="R874" t="s">
        <v>74</v>
      </c>
      <c r="S874" t="s">
        <v>74</v>
      </c>
      <c r="T874" t="s">
        <v>74</v>
      </c>
      <c r="U874" t="s">
        <v>15242</v>
      </c>
      <c r="V874" t="s">
        <v>15243</v>
      </c>
      <c r="W874" t="s">
        <v>15244</v>
      </c>
      <c r="X874" t="s">
        <v>8836</v>
      </c>
      <c r="Y874" t="s">
        <v>15245</v>
      </c>
      <c r="Z874" t="s">
        <v>15246</v>
      </c>
      <c r="AA874" t="s">
        <v>11261</v>
      </c>
      <c r="AB874" t="s">
        <v>11262</v>
      </c>
      <c r="AC874" t="s">
        <v>15247</v>
      </c>
      <c r="AD874" t="s">
        <v>15248</v>
      </c>
      <c r="AE874" t="s">
        <v>15249</v>
      </c>
      <c r="AF874" t="s">
        <v>74</v>
      </c>
      <c r="AG874">
        <v>17</v>
      </c>
      <c r="AH874">
        <v>54</v>
      </c>
      <c r="AI874">
        <v>64</v>
      </c>
      <c r="AJ874">
        <v>2</v>
      </c>
      <c r="AK874">
        <v>18</v>
      </c>
      <c r="AL874" t="s">
        <v>240</v>
      </c>
      <c r="AM874" t="s">
        <v>241</v>
      </c>
      <c r="AN874" t="s">
        <v>242</v>
      </c>
      <c r="AO874" t="s">
        <v>1988</v>
      </c>
      <c r="AP874" t="s">
        <v>14255</v>
      </c>
      <c r="AQ874" t="s">
        <v>74</v>
      </c>
      <c r="AR874" t="s">
        <v>1989</v>
      </c>
      <c r="AS874" t="s">
        <v>1990</v>
      </c>
      <c r="AT874" t="s">
        <v>14500</v>
      </c>
      <c r="AU874">
        <v>2010</v>
      </c>
      <c r="AV874">
        <v>37</v>
      </c>
      <c r="AW874" t="s">
        <v>74</v>
      </c>
      <c r="AX874" t="s">
        <v>74</v>
      </c>
      <c r="AY874" t="s">
        <v>74</v>
      </c>
      <c r="AZ874" t="s">
        <v>74</v>
      </c>
      <c r="BA874" t="s">
        <v>74</v>
      </c>
      <c r="BB874" t="s">
        <v>74</v>
      </c>
      <c r="BC874" t="s">
        <v>74</v>
      </c>
      <c r="BD874" t="s">
        <v>15250</v>
      </c>
      <c r="BE874" t="s">
        <v>15251</v>
      </c>
      <c r="BF874" t="str">
        <f>HYPERLINK("http://dx.doi.org/10.1029/2010GL044777","http://dx.doi.org/10.1029/2010GL044777")</f>
        <v>http://dx.doi.org/10.1029/2010GL044777</v>
      </c>
      <c r="BG874" t="s">
        <v>74</v>
      </c>
      <c r="BH874" t="s">
        <v>74</v>
      </c>
      <c r="BI874">
        <v>5</v>
      </c>
      <c r="BJ874" t="s">
        <v>396</v>
      </c>
      <c r="BK874" t="s">
        <v>100</v>
      </c>
      <c r="BL874" t="s">
        <v>397</v>
      </c>
      <c r="BM874" t="s">
        <v>15252</v>
      </c>
      <c r="BN874" t="s">
        <v>74</v>
      </c>
      <c r="BO874" t="s">
        <v>1744</v>
      </c>
      <c r="BP874" t="s">
        <v>74</v>
      </c>
      <c r="BQ874" t="s">
        <v>74</v>
      </c>
      <c r="BR874" t="s">
        <v>103</v>
      </c>
      <c r="BS874" t="s">
        <v>15253</v>
      </c>
      <c r="BT874" t="str">
        <f>HYPERLINK("https%3A%2F%2Fwww.webofscience.com%2Fwos%2Fwoscc%2Ffull-record%2FWOS:000285013600001","View Full Record in Web of Science")</f>
        <v>View Full Record in Web of Science</v>
      </c>
    </row>
    <row r="875" spans="1:72" x14ac:dyDescent="0.15">
      <c r="A875" t="s">
        <v>72</v>
      </c>
      <c r="B875" t="s">
        <v>15254</v>
      </c>
      <c r="C875" t="s">
        <v>74</v>
      </c>
      <c r="D875" t="s">
        <v>74</v>
      </c>
      <c r="E875" t="s">
        <v>74</v>
      </c>
      <c r="F875" t="s">
        <v>15255</v>
      </c>
      <c r="G875" t="s">
        <v>74</v>
      </c>
      <c r="H875" t="s">
        <v>74</v>
      </c>
      <c r="I875" t="s">
        <v>15256</v>
      </c>
      <c r="J875" t="s">
        <v>5002</v>
      </c>
      <c r="K875" t="s">
        <v>74</v>
      </c>
      <c r="L875" t="s">
        <v>74</v>
      </c>
      <c r="M875" t="s">
        <v>78</v>
      </c>
      <c r="N875" t="s">
        <v>79</v>
      </c>
      <c r="O875" t="s">
        <v>74</v>
      </c>
      <c r="P875" t="s">
        <v>74</v>
      </c>
      <c r="Q875" t="s">
        <v>74</v>
      </c>
      <c r="R875" t="s">
        <v>74</v>
      </c>
      <c r="S875" t="s">
        <v>74</v>
      </c>
      <c r="T875" t="s">
        <v>15257</v>
      </c>
      <c r="U875" t="s">
        <v>15258</v>
      </c>
      <c r="V875" t="s">
        <v>15259</v>
      </c>
      <c r="W875" t="s">
        <v>15260</v>
      </c>
      <c r="X875" t="s">
        <v>15261</v>
      </c>
      <c r="Y875" t="s">
        <v>15262</v>
      </c>
      <c r="Z875" t="s">
        <v>15263</v>
      </c>
      <c r="AA875" t="s">
        <v>74</v>
      </c>
      <c r="AB875" t="s">
        <v>15264</v>
      </c>
      <c r="AC875" t="s">
        <v>15265</v>
      </c>
      <c r="AD875" t="s">
        <v>15266</v>
      </c>
      <c r="AE875" t="s">
        <v>15267</v>
      </c>
      <c r="AF875" t="s">
        <v>74</v>
      </c>
      <c r="AG875">
        <v>82</v>
      </c>
      <c r="AH875">
        <v>51</v>
      </c>
      <c r="AI875">
        <v>56</v>
      </c>
      <c r="AJ875">
        <v>2</v>
      </c>
      <c r="AK875">
        <v>34</v>
      </c>
      <c r="AL875" t="s">
        <v>767</v>
      </c>
      <c r="AM875" t="s">
        <v>640</v>
      </c>
      <c r="AN875" t="s">
        <v>768</v>
      </c>
      <c r="AO875" t="s">
        <v>5015</v>
      </c>
      <c r="AP875" t="s">
        <v>5016</v>
      </c>
      <c r="AQ875" t="s">
        <v>74</v>
      </c>
      <c r="AR875" t="s">
        <v>5017</v>
      </c>
      <c r="AS875" t="s">
        <v>5018</v>
      </c>
      <c r="AT875" t="s">
        <v>14347</v>
      </c>
      <c r="AU875">
        <v>2010</v>
      </c>
      <c r="AV875">
        <v>74</v>
      </c>
      <c r="AW875" t="s">
        <v>601</v>
      </c>
      <c r="AX875" t="s">
        <v>74</v>
      </c>
      <c r="AY875" t="s">
        <v>74</v>
      </c>
      <c r="AZ875" t="s">
        <v>74</v>
      </c>
      <c r="BA875" t="s">
        <v>74</v>
      </c>
      <c r="BB875">
        <v>99</v>
      </c>
      <c r="BC875">
        <v>113</v>
      </c>
      <c r="BD875" t="s">
        <v>74</v>
      </c>
      <c r="BE875" t="s">
        <v>15268</v>
      </c>
      <c r="BF875" t="str">
        <f>HYPERLINK("http://dx.doi.org/10.1016/j.gloplacha.2010.07.003","http://dx.doi.org/10.1016/j.gloplacha.2010.07.003")</f>
        <v>http://dx.doi.org/10.1016/j.gloplacha.2010.07.003</v>
      </c>
      <c r="BG875" t="s">
        <v>74</v>
      </c>
      <c r="BH875" t="s">
        <v>74</v>
      </c>
      <c r="BI875">
        <v>15</v>
      </c>
      <c r="BJ875" t="s">
        <v>222</v>
      </c>
      <c r="BK875" t="s">
        <v>100</v>
      </c>
      <c r="BL875" t="s">
        <v>223</v>
      </c>
      <c r="BM875" t="s">
        <v>15269</v>
      </c>
      <c r="BN875" t="s">
        <v>74</v>
      </c>
      <c r="BO875" t="s">
        <v>726</v>
      </c>
      <c r="BP875" t="s">
        <v>74</v>
      </c>
      <c r="BQ875" t="s">
        <v>74</v>
      </c>
      <c r="BR875" t="s">
        <v>103</v>
      </c>
      <c r="BS875" t="s">
        <v>15270</v>
      </c>
      <c r="BT875" t="str">
        <f>HYPERLINK("https%3A%2F%2Fwww.webofscience.com%2Fwos%2Fwoscc%2Ffull-record%2FWOS:000285909100001","View Full Record in Web of Science")</f>
        <v>View Full Record in Web of Science</v>
      </c>
    </row>
    <row r="876" spans="1:72" x14ac:dyDescent="0.15">
      <c r="A876" t="s">
        <v>72</v>
      </c>
      <c r="B876" t="s">
        <v>15271</v>
      </c>
      <c r="C876" t="s">
        <v>74</v>
      </c>
      <c r="D876" t="s">
        <v>74</v>
      </c>
      <c r="E876" t="s">
        <v>74</v>
      </c>
      <c r="F876" t="s">
        <v>15272</v>
      </c>
      <c r="G876" t="s">
        <v>74</v>
      </c>
      <c r="H876" t="s">
        <v>74</v>
      </c>
      <c r="I876" t="s">
        <v>15273</v>
      </c>
      <c r="J876" t="s">
        <v>851</v>
      </c>
      <c r="K876" t="s">
        <v>74</v>
      </c>
      <c r="L876" t="s">
        <v>74</v>
      </c>
      <c r="M876" t="s">
        <v>78</v>
      </c>
      <c r="N876" t="s">
        <v>79</v>
      </c>
      <c r="O876" t="s">
        <v>74</v>
      </c>
      <c r="P876" t="s">
        <v>74</v>
      </c>
      <c r="Q876" t="s">
        <v>74</v>
      </c>
      <c r="R876" t="s">
        <v>74</v>
      </c>
      <c r="S876" t="s">
        <v>74</v>
      </c>
      <c r="T876" t="s">
        <v>15274</v>
      </c>
      <c r="U876" t="s">
        <v>15275</v>
      </c>
      <c r="V876" t="s">
        <v>15276</v>
      </c>
      <c r="W876" t="s">
        <v>15277</v>
      </c>
      <c r="X876" t="s">
        <v>1386</v>
      </c>
      <c r="Y876" t="s">
        <v>15278</v>
      </c>
      <c r="Z876" t="s">
        <v>15279</v>
      </c>
      <c r="AA876" t="s">
        <v>74</v>
      </c>
      <c r="AB876" t="s">
        <v>74</v>
      </c>
      <c r="AC876" t="s">
        <v>1214</v>
      </c>
      <c r="AD876" t="s">
        <v>1215</v>
      </c>
      <c r="AE876" t="s">
        <v>74</v>
      </c>
      <c r="AF876" t="s">
        <v>74</v>
      </c>
      <c r="AG876">
        <v>54</v>
      </c>
      <c r="AH876">
        <v>49</v>
      </c>
      <c r="AI876">
        <v>54</v>
      </c>
      <c r="AJ876">
        <v>0</v>
      </c>
      <c r="AK876">
        <v>19</v>
      </c>
      <c r="AL876" t="s">
        <v>214</v>
      </c>
      <c r="AM876" t="s">
        <v>215</v>
      </c>
      <c r="AN876" t="s">
        <v>216</v>
      </c>
      <c r="AO876" t="s">
        <v>864</v>
      </c>
      <c r="AP876" t="s">
        <v>865</v>
      </c>
      <c r="AQ876" t="s">
        <v>74</v>
      </c>
      <c r="AR876" t="s">
        <v>866</v>
      </c>
      <c r="AS876" t="s">
        <v>867</v>
      </c>
      <c r="AT876" t="s">
        <v>14347</v>
      </c>
      <c r="AU876">
        <v>2010</v>
      </c>
      <c r="AV876">
        <v>16</v>
      </c>
      <c r="AW876">
        <v>12</v>
      </c>
      <c r="AX876" t="s">
        <v>74</v>
      </c>
      <c r="AY876" t="s">
        <v>74</v>
      </c>
      <c r="AZ876" t="s">
        <v>74</v>
      </c>
      <c r="BA876" t="s">
        <v>74</v>
      </c>
      <c r="BB876">
        <v>3297</v>
      </c>
      <c r="BC876">
        <v>3303</v>
      </c>
      <c r="BD876" t="s">
        <v>74</v>
      </c>
      <c r="BE876" t="s">
        <v>15280</v>
      </c>
      <c r="BF876" t="str">
        <f>HYPERLINK("http://dx.doi.org/10.1111/j.1365-2486.2010.02198.x","http://dx.doi.org/10.1111/j.1365-2486.2010.02198.x")</f>
        <v>http://dx.doi.org/10.1111/j.1365-2486.2010.02198.x</v>
      </c>
      <c r="BG876" t="s">
        <v>74</v>
      </c>
      <c r="BH876" t="s">
        <v>74</v>
      </c>
      <c r="BI876">
        <v>7</v>
      </c>
      <c r="BJ876" t="s">
        <v>869</v>
      </c>
      <c r="BK876" t="s">
        <v>100</v>
      </c>
      <c r="BL876" t="s">
        <v>870</v>
      </c>
      <c r="BM876" t="s">
        <v>15281</v>
      </c>
      <c r="BN876" t="s">
        <v>74</v>
      </c>
      <c r="BO876" t="s">
        <v>74</v>
      </c>
      <c r="BP876" t="s">
        <v>74</v>
      </c>
      <c r="BQ876" t="s">
        <v>74</v>
      </c>
      <c r="BR876" t="s">
        <v>103</v>
      </c>
      <c r="BS876" t="s">
        <v>15282</v>
      </c>
      <c r="BT876" t="str">
        <f>HYPERLINK("https%3A%2F%2Fwww.webofscience.com%2Fwos%2Fwoscc%2Ffull-record%2FWOS:000283726600012","View Full Record in Web of Science")</f>
        <v>View Full Record in Web of Science</v>
      </c>
    </row>
    <row r="877" spans="1:72" x14ac:dyDescent="0.15">
      <c r="A877" t="s">
        <v>72</v>
      </c>
      <c r="B877" t="s">
        <v>15283</v>
      </c>
      <c r="C877" t="s">
        <v>74</v>
      </c>
      <c r="D877" t="s">
        <v>74</v>
      </c>
      <c r="E877" t="s">
        <v>74</v>
      </c>
      <c r="F877" t="s">
        <v>15284</v>
      </c>
      <c r="G877" t="s">
        <v>74</v>
      </c>
      <c r="H877" t="s">
        <v>74</v>
      </c>
      <c r="I877" t="s">
        <v>15285</v>
      </c>
      <c r="J877" t="s">
        <v>15286</v>
      </c>
      <c r="K877" t="s">
        <v>74</v>
      </c>
      <c r="L877" t="s">
        <v>74</v>
      </c>
      <c r="M877" t="s">
        <v>78</v>
      </c>
      <c r="N877" t="s">
        <v>403</v>
      </c>
      <c r="O877" t="s">
        <v>74</v>
      </c>
      <c r="P877" t="s">
        <v>74</v>
      </c>
      <c r="Q877" t="s">
        <v>74</v>
      </c>
      <c r="R877" t="s">
        <v>74</v>
      </c>
      <c r="S877" t="s">
        <v>74</v>
      </c>
      <c r="T877" t="s">
        <v>74</v>
      </c>
      <c r="U877" t="s">
        <v>15287</v>
      </c>
      <c r="V877" t="s">
        <v>74</v>
      </c>
      <c r="W877" t="s">
        <v>15288</v>
      </c>
      <c r="X877" t="s">
        <v>15289</v>
      </c>
      <c r="Y877" t="s">
        <v>15290</v>
      </c>
      <c r="Z877" t="s">
        <v>15291</v>
      </c>
      <c r="AA877" t="s">
        <v>15292</v>
      </c>
      <c r="AB877" t="s">
        <v>15293</v>
      </c>
      <c r="AC877" t="s">
        <v>74</v>
      </c>
      <c r="AD877" t="s">
        <v>74</v>
      </c>
      <c r="AE877" t="s">
        <v>74</v>
      </c>
      <c r="AF877" t="s">
        <v>74</v>
      </c>
      <c r="AG877">
        <v>9</v>
      </c>
      <c r="AH877">
        <v>0</v>
      </c>
      <c r="AI877">
        <v>1</v>
      </c>
      <c r="AJ877">
        <v>0</v>
      </c>
      <c r="AK877">
        <v>7</v>
      </c>
      <c r="AL877" t="s">
        <v>666</v>
      </c>
      <c r="AM877" t="s">
        <v>667</v>
      </c>
      <c r="AN877" t="s">
        <v>668</v>
      </c>
      <c r="AO877" t="s">
        <v>15294</v>
      </c>
      <c r="AP877" t="s">
        <v>15295</v>
      </c>
      <c r="AQ877" t="s">
        <v>74</v>
      </c>
      <c r="AR877" t="s">
        <v>15296</v>
      </c>
      <c r="AS877" t="s">
        <v>15297</v>
      </c>
      <c r="AT877" t="s">
        <v>14347</v>
      </c>
      <c r="AU877">
        <v>2010</v>
      </c>
      <c r="AV877">
        <v>50</v>
      </c>
      <c r="AW877">
        <v>6</v>
      </c>
      <c r="AX877" t="s">
        <v>74</v>
      </c>
      <c r="AY877" t="s">
        <v>74</v>
      </c>
      <c r="AZ877" t="s">
        <v>74</v>
      </c>
      <c r="BA877" t="s">
        <v>74</v>
      </c>
      <c r="BB877">
        <v>948</v>
      </c>
      <c r="BC877">
        <v>949</v>
      </c>
      <c r="BD877" t="s">
        <v>74</v>
      </c>
      <c r="BE877" t="s">
        <v>15298</v>
      </c>
      <c r="BF877" t="str">
        <f>HYPERLINK("http://dx.doi.org/10.1093/icb/icq005","http://dx.doi.org/10.1093/icb/icq005")</f>
        <v>http://dx.doi.org/10.1093/icb/icq005</v>
      </c>
      <c r="BG877" t="s">
        <v>74</v>
      </c>
      <c r="BH877" t="s">
        <v>74</v>
      </c>
      <c r="BI877">
        <v>2</v>
      </c>
      <c r="BJ877" t="s">
        <v>674</v>
      </c>
      <c r="BK877" t="s">
        <v>100</v>
      </c>
      <c r="BL877" t="s">
        <v>674</v>
      </c>
      <c r="BM877" t="s">
        <v>15299</v>
      </c>
      <c r="BN877">
        <v>21558251</v>
      </c>
      <c r="BO877" t="s">
        <v>74</v>
      </c>
      <c r="BP877" t="s">
        <v>74</v>
      </c>
      <c r="BQ877" t="s">
        <v>74</v>
      </c>
      <c r="BR877" t="s">
        <v>103</v>
      </c>
      <c r="BS877" t="s">
        <v>15300</v>
      </c>
      <c r="BT877" t="str">
        <f>HYPERLINK("https%3A%2F%2Fwww.webofscience.com%2Fwos%2Fwoscc%2Ffull-record%2FWOS:000284430400004","View Full Record in Web of Science")</f>
        <v>View Full Record in Web of Science</v>
      </c>
    </row>
    <row r="878" spans="1:72" x14ac:dyDescent="0.15">
      <c r="A878" t="s">
        <v>72</v>
      </c>
      <c r="B878" t="s">
        <v>15301</v>
      </c>
      <c r="C878" t="s">
        <v>74</v>
      </c>
      <c r="D878" t="s">
        <v>74</v>
      </c>
      <c r="E878" t="s">
        <v>74</v>
      </c>
      <c r="F878" t="s">
        <v>15302</v>
      </c>
      <c r="G878" t="s">
        <v>74</v>
      </c>
      <c r="H878" t="s">
        <v>74</v>
      </c>
      <c r="I878" t="s">
        <v>15303</v>
      </c>
      <c r="J878" t="s">
        <v>15286</v>
      </c>
      <c r="K878" t="s">
        <v>74</v>
      </c>
      <c r="L878" t="s">
        <v>74</v>
      </c>
      <c r="M878" t="s">
        <v>78</v>
      </c>
      <c r="N878" t="s">
        <v>2000</v>
      </c>
      <c r="O878" t="s">
        <v>15304</v>
      </c>
      <c r="P878" t="s">
        <v>15305</v>
      </c>
      <c r="Q878" t="s">
        <v>15306</v>
      </c>
      <c r="R878" t="s">
        <v>74</v>
      </c>
      <c r="S878" t="s">
        <v>74</v>
      </c>
      <c r="T878" t="s">
        <v>74</v>
      </c>
      <c r="U878" t="s">
        <v>15307</v>
      </c>
      <c r="V878" t="s">
        <v>15308</v>
      </c>
      <c r="W878" t="s">
        <v>15309</v>
      </c>
      <c r="X878" t="s">
        <v>1103</v>
      </c>
      <c r="Y878" t="s">
        <v>15310</v>
      </c>
      <c r="Z878" t="s">
        <v>15291</v>
      </c>
      <c r="AA878" t="s">
        <v>1106</v>
      </c>
      <c r="AB878" t="s">
        <v>1107</v>
      </c>
      <c r="AC878" t="s">
        <v>15311</v>
      </c>
      <c r="AD878" t="s">
        <v>2610</v>
      </c>
      <c r="AE878" t="s">
        <v>74</v>
      </c>
      <c r="AF878" t="s">
        <v>74</v>
      </c>
      <c r="AG878">
        <v>103</v>
      </c>
      <c r="AH878">
        <v>45</v>
      </c>
      <c r="AI878">
        <v>56</v>
      </c>
      <c r="AJ878">
        <v>0</v>
      </c>
      <c r="AK878">
        <v>64</v>
      </c>
      <c r="AL878" t="s">
        <v>666</v>
      </c>
      <c r="AM878" t="s">
        <v>667</v>
      </c>
      <c r="AN878" t="s">
        <v>668</v>
      </c>
      <c r="AO878" t="s">
        <v>15294</v>
      </c>
      <c r="AP878" t="s">
        <v>15295</v>
      </c>
      <c r="AQ878" t="s">
        <v>74</v>
      </c>
      <c r="AR878" t="s">
        <v>15296</v>
      </c>
      <c r="AS878" t="s">
        <v>15297</v>
      </c>
      <c r="AT878" t="s">
        <v>14347</v>
      </c>
      <c r="AU878">
        <v>2010</v>
      </c>
      <c r="AV878">
        <v>50</v>
      </c>
      <c r="AW878">
        <v>6</v>
      </c>
      <c r="AX878" t="s">
        <v>74</v>
      </c>
      <c r="AY878" t="s">
        <v>74</v>
      </c>
      <c r="AZ878" t="s">
        <v>74</v>
      </c>
      <c r="BA878" t="s">
        <v>74</v>
      </c>
      <c r="BB878">
        <v>967</v>
      </c>
      <c r="BC878">
        <v>980</v>
      </c>
      <c r="BD878" t="s">
        <v>74</v>
      </c>
      <c r="BE878" t="s">
        <v>15312</v>
      </c>
      <c r="BF878" t="str">
        <f>HYPERLINK("http://dx.doi.org/10.1093/icb/icq035","http://dx.doi.org/10.1093/icb/icq035")</f>
        <v>http://dx.doi.org/10.1093/icb/icq035</v>
      </c>
      <c r="BG878" t="s">
        <v>74</v>
      </c>
      <c r="BH878" t="s">
        <v>74</v>
      </c>
      <c r="BI878">
        <v>14</v>
      </c>
      <c r="BJ878" t="s">
        <v>674</v>
      </c>
      <c r="BK878" t="s">
        <v>2022</v>
      </c>
      <c r="BL878" t="s">
        <v>674</v>
      </c>
      <c r="BM878" t="s">
        <v>15299</v>
      </c>
      <c r="BN878">
        <v>21558253</v>
      </c>
      <c r="BO878" t="s">
        <v>252</v>
      </c>
      <c r="BP878" t="s">
        <v>74</v>
      </c>
      <c r="BQ878" t="s">
        <v>74</v>
      </c>
      <c r="BR878" t="s">
        <v>103</v>
      </c>
      <c r="BS878" t="s">
        <v>15313</v>
      </c>
      <c r="BT878" t="str">
        <f>HYPERLINK("https%3A%2F%2Fwww.webofscience.com%2Fwos%2Fwoscc%2Ffull-record%2FWOS:000284430400006","View Full Record in Web of Science")</f>
        <v>View Full Record in Web of Science</v>
      </c>
    </row>
    <row r="879" spans="1:72" x14ac:dyDescent="0.15">
      <c r="A879" t="s">
        <v>72</v>
      </c>
      <c r="B879" t="s">
        <v>15314</v>
      </c>
      <c r="C879" t="s">
        <v>74</v>
      </c>
      <c r="D879" t="s">
        <v>74</v>
      </c>
      <c r="E879" t="s">
        <v>74</v>
      </c>
      <c r="F879" t="s">
        <v>15315</v>
      </c>
      <c r="G879" t="s">
        <v>74</v>
      </c>
      <c r="H879" t="s">
        <v>74</v>
      </c>
      <c r="I879" t="s">
        <v>15316</v>
      </c>
      <c r="J879" t="s">
        <v>15286</v>
      </c>
      <c r="K879" t="s">
        <v>74</v>
      </c>
      <c r="L879" t="s">
        <v>74</v>
      </c>
      <c r="M879" t="s">
        <v>78</v>
      </c>
      <c r="N879" t="s">
        <v>2000</v>
      </c>
      <c r="O879" t="s">
        <v>15304</v>
      </c>
      <c r="P879" t="s">
        <v>15305</v>
      </c>
      <c r="Q879" t="s">
        <v>15306</v>
      </c>
      <c r="R879" t="s">
        <v>74</v>
      </c>
      <c r="S879" t="s">
        <v>74</v>
      </c>
      <c r="T879" t="s">
        <v>74</v>
      </c>
      <c r="U879" t="s">
        <v>15317</v>
      </c>
      <c r="V879" t="s">
        <v>15318</v>
      </c>
      <c r="W879" t="s">
        <v>15319</v>
      </c>
      <c r="X879" t="s">
        <v>15320</v>
      </c>
      <c r="Y879" t="s">
        <v>74</v>
      </c>
      <c r="Z879" t="s">
        <v>15321</v>
      </c>
      <c r="AA879" t="s">
        <v>15322</v>
      </c>
      <c r="AB879" t="s">
        <v>15323</v>
      </c>
      <c r="AC879" t="s">
        <v>74</v>
      </c>
      <c r="AD879" t="s">
        <v>74</v>
      </c>
      <c r="AE879" t="s">
        <v>74</v>
      </c>
      <c r="AF879" t="s">
        <v>74</v>
      </c>
      <c r="AG879">
        <v>79</v>
      </c>
      <c r="AH879">
        <v>57</v>
      </c>
      <c r="AI879">
        <v>65</v>
      </c>
      <c r="AJ879">
        <v>0</v>
      </c>
      <c r="AK879">
        <v>15</v>
      </c>
      <c r="AL879" t="s">
        <v>666</v>
      </c>
      <c r="AM879" t="s">
        <v>667</v>
      </c>
      <c r="AN879" t="s">
        <v>668</v>
      </c>
      <c r="AO879" t="s">
        <v>15294</v>
      </c>
      <c r="AP879" t="s">
        <v>15295</v>
      </c>
      <c r="AQ879" t="s">
        <v>74</v>
      </c>
      <c r="AR879" t="s">
        <v>15296</v>
      </c>
      <c r="AS879" t="s">
        <v>15297</v>
      </c>
      <c r="AT879" t="s">
        <v>14347</v>
      </c>
      <c r="AU879">
        <v>2010</v>
      </c>
      <c r="AV879">
        <v>50</v>
      </c>
      <c r="AW879">
        <v>6</v>
      </c>
      <c r="AX879" t="s">
        <v>74</v>
      </c>
      <c r="AY879" t="s">
        <v>74</v>
      </c>
      <c r="AZ879" t="s">
        <v>74</v>
      </c>
      <c r="BA879" t="s">
        <v>74</v>
      </c>
      <c r="BB879">
        <v>981</v>
      </c>
      <c r="BC879">
        <v>992</v>
      </c>
      <c r="BD879" t="s">
        <v>74</v>
      </c>
      <c r="BE879" t="s">
        <v>15324</v>
      </c>
      <c r="BF879" t="str">
        <f>HYPERLINK("http://dx.doi.org/10.1093/icb/icq119","http://dx.doi.org/10.1093/icb/icq119")</f>
        <v>http://dx.doi.org/10.1093/icb/icq119</v>
      </c>
      <c r="BG879" t="s">
        <v>74</v>
      </c>
      <c r="BH879" t="s">
        <v>74</v>
      </c>
      <c r="BI879">
        <v>12</v>
      </c>
      <c r="BJ879" t="s">
        <v>674</v>
      </c>
      <c r="BK879" t="s">
        <v>2022</v>
      </c>
      <c r="BL879" t="s">
        <v>674</v>
      </c>
      <c r="BM879" t="s">
        <v>15299</v>
      </c>
      <c r="BN879">
        <v>21558254</v>
      </c>
      <c r="BO879" t="s">
        <v>252</v>
      </c>
      <c r="BP879" t="s">
        <v>74</v>
      </c>
      <c r="BQ879" t="s">
        <v>74</v>
      </c>
      <c r="BR879" t="s">
        <v>103</v>
      </c>
      <c r="BS879" t="s">
        <v>15325</v>
      </c>
      <c r="BT879" t="str">
        <f>HYPERLINK("https%3A%2F%2Fwww.webofscience.com%2Fwos%2Fwoscc%2Ffull-record%2FWOS:000284430400007","View Full Record in Web of Science")</f>
        <v>View Full Record in Web of Science</v>
      </c>
    </row>
    <row r="880" spans="1:72" x14ac:dyDescent="0.15">
      <c r="A880" t="s">
        <v>72</v>
      </c>
      <c r="B880" t="s">
        <v>15326</v>
      </c>
      <c r="C880" t="s">
        <v>74</v>
      </c>
      <c r="D880" t="s">
        <v>74</v>
      </c>
      <c r="E880" t="s">
        <v>74</v>
      </c>
      <c r="F880" t="s">
        <v>15327</v>
      </c>
      <c r="G880" t="s">
        <v>74</v>
      </c>
      <c r="H880" t="s">
        <v>74</v>
      </c>
      <c r="I880" t="s">
        <v>15328</v>
      </c>
      <c r="J880" t="s">
        <v>15286</v>
      </c>
      <c r="K880" t="s">
        <v>74</v>
      </c>
      <c r="L880" t="s">
        <v>74</v>
      </c>
      <c r="M880" t="s">
        <v>78</v>
      </c>
      <c r="N880" t="s">
        <v>2000</v>
      </c>
      <c r="O880" t="s">
        <v>15304</v>
      </c>
      <c r="P880" t="s">
        <v>15305</v>
      </c>
      <c r="Q880" t="s">
        <v>15306</v>
      </c>
      <c r="R880" t="s">
        <v>74</v>
      </c>
      <c r="S880" t="s">
        <v>74</v>
      </c>
      <c r="T880" t="s">
        <v>74</v>
      </c>
      <c r="U880" t="s">
        <v>15329</v>
      </c>
      <c r="V880" t="s">
        <v>15330</v>
      </c>
      <c r="W880" t="s">
        <v>15331</v>
      </c>
      <c r="X880" t="s">
        <v>15332</v>
      </c>
      <c r="Y880" t="s">
        <v>15333</v>
      </c>
      <c r="Z880" t="s">
        <v>15334</v>
      </c>
      <c r="AA880" t="s">
        <v>74</v>
      </c>
      <c r="AB880" t="s">
        <v>74</v>
      </c>
      <c r="AC880" t="s">
        <v>15335</v>
      </c>
      <c r="AD880" t="s">
        <v>2666</v>
      </c>
      <c r="AE880" t="s">
        <v>74</v>
      </c>
      <c r="AF880" t="s">
        <v>74</v>
      </c>
      <c r="AG880">
        <v>129</v>
      </c>
      <c r="AH880">
        <v>37</v>
      </c>
      <c r="AI880">
        <v>44</v>
      </c>
      <c r="AJ880">
        <v>1</v>
      </c>
      <c r="AK880">
        <v>35</v>
      </c>
      <c r="AL880" t="s">
        <v>666</v>
      </c>
      <c r="AM880" t="s">
        <v>667</v>
      </c>
      <c r="AN880" t="s">
        <v>668</v>
      </c>
      <c r="AO880" t="s">
        <v>15294</v>
      </c>
      <c r="AP880" t="s">
        <v>15295</v>
      </c>
      <c r="AQ880" t="s">
        <v>74</v>
      </c>
      <c r="AR880" t="s">
        <v>15296</v>
      </c>
      <c r="AS880" t="s">
        <v>15297</v>
      </c>
      <c r="AT880" t="s">
        <v>14347</v>
      </c>
      <c r="AU880">
        <v>2010</v>
      </c>
      <c r="AV880">
        <v>50</v>
      </c>
      <c r="AW880">
        <v>6</v>
      </c>
      <c r="AX880" t="s">
        <v>74</v>
      </c>
      <c r="AY880" t="s">
        <v>74</v>
      </c>
      <c r="AZ880" t="s">
        <v>74</v>
      </c>
      <c r="BA880" t="s">
        <v>74</v>
      </c>
      <c r="BB880">
        <v>993</v>
      </c>
      <c r="BC880">
        <v>1008</v>
      </c>
      <c r="BD880" t="s">
        <v>74</v>
      </c>
      <c r="BE880" t="s">
        <v>15336</v>
      </c>
      <c r="BF880" t="str">
        <f>HYPERLINK("http://dx.doi.org/10.1093/icb/icq038","http://dx.doi.org/10.1093/icb/icq038")</f>
        <v>http://dx.doi.org/10.1093/icb/icq038</v>
      </c>
      <c r="BG880" t="s">
        <v>74</v>
      </c>
      <c r="BH880" t="s">
        <v>74</v>
      </c>
      <c r="BI880">
        <v>16</v>
      </c>
      <c r="BJ880" t="s">
        <v>674</v>
      </c>
      <c r="BK880" t="s">
        <v>2022</v>
      </c>
      <c r="BL880" t="s">
        <v>674</v>
      </c>
      <c r="BM880" t="s">
        <v>15299</v>
      </c>
      <c r="BN880">
        <v>21558255</v>
      </c>
      <c r="BO880" t="s">
        <v>252</v>
      </c>
      <c r="BP880" t="s">
        <v>74</v>
      </c>
      <c r="BQ880" t="s">
        <v>74</v>
      </c>
      <c r="BR880" t="s">
        <v>103</v>
      </c>
      <c r="BS880" t="s">
        <v>15337</v>
      </c>
      <c r="BT880" t="str">
        <f>HYPERLINK("https%3A%2F%2Fwww.webofscience.com%2Fwos%2Fwoscc%2Ffull-record%2FWOS:000284430400008","View Full Record in Web of Science")</f>
        <v>View Full Record in Web of Science</v>
      </c>
    </row>
    <row r="881" spans="1:72" x14ac:dyDescent="0.15">
      <c r="A881" t="s">
        <v>72</v>
      </c>
      <c r="B881" t="s">
        <v>15338</v>
      </c>
      <c r="C881" t="s">
        <v>74</v>
      </c>
      <c r="D881" t="s">
        <v>74</v>
      </c>
      <c r="E881" t="s">
        <v>74</v>
      </c>
      <c r="F881" t="s">
        <v>15339</v>
      </c>
      <c r="G881" t="s">
        <v>74</v>
      </c>
      <c r="H881" t="s">
        <v>74</v>
      </c>
      <c r="I881" t="s">
        <v>15340</v>
      </c>
      <c r="J881" t="s">
        <v>15286</v>
      </c>
      <c r="K881" t="s">
        <v>74</v>
      </c>
      <c r="L881" t="s">
        <v>74</v>
      </c>
      <c r="M881" t="s">
        <v>78</v>
      </c>
      <c r="N881" t="s">
        <v>2000</v>
      </c>
      <c r="O881" t="s">
        <v>15304</v>
      </c>
      <c r="P881" t="s">
        <v>15305</v>
      </c>
      <c r="Q881" t="s">
        <v>15306</v>
      </c>
      <c r="R881" t="s">
        <v>74</v>
      </c>
      <c r="S881" t="s">
        <v>74</v>
      </c>
      <c r="T881" t="s">
        <v>74</v>
      </c>
      <c r="U881" t="s">
        <v>15341</v>
      </c>
      <c r="V881" t="s">
        <v>15342</v>
      </c>
      <c r="W881" t="s">
        <v>15343</v>
      </c>
      <c r="X881" t="s">
        <v>15344</v>
      </c>
      <c r="Y881" t="s">
        <v>15345</v>
      </c>
      <c r="Z881" t="s">
        <v>15346</v>
      </c>
      <c r="AA881" t="s">
        <v>74</v>
      </c>
      <c r="AB881" t="s">
        <v>74</v>
      </c>
      <c r="AC881" t="s">
        <v>15347</v>
      </c>
      <c r="AD881" t="s">
        <v>15348</v>
      </c>
      <c r="AE881" t="s">
        <v>74</v>
      </c>
      <c r="AF881" t="s">
        <v>74</v>
      </c>
      <c r="AG881">
        <v>69</v>
      </c>
      <c r="AH881">
        <v>18</v>
      </c>
      <c r="AI881">
        <v>19</v>
      </c>
      <c r="AJ881">
        <v>1</v>
      </c>
      <c r="AK881">
        <v>21</v>
      </c>
      <c r="AL881" t="s">
        <v>666</v>
      </c>
      <c r="AM881" t="s">
        <v>667</v>
      </c>
      <c r="AN881" t="s">
        <v>668</v>
      </c>
      <c r="AO881" t="s">
        <v>15294</v>
      </c>
      <c r="AP881" t="s">
        <v>15295</v>
      </c>
      <c r="AQ881" t="s">
        <v>74</v>
      </c>
      <c r="AR881" t="s">
        <v>15296</v>
      </c>
      <c r="AS881" t="s">
        <v>15297</v>
      </c>
      <c r="AT881" t="s">
        <v>14347</v>
      </c>
      <c r="AU881">
        <v>2010</v>
      </c>
      <c r="AV881">
        <v>50</v>
      </c>
      <c r="AW881">
        <v>6</v>
      </c>
      <c r="AX881" t="s">
        <v>74</v>
      </c>
      <c r="AY881" t="s">
        <v>74</v>
      </c>
      <c r="AZ881" t="s">
        <v>74</v>
      </c>
      <c r="BA881" t="s">
        <v>74</v>
      </c>
      <c r="BB881">
        <v>1009</v>
      </c>
      <c r="BC881">
        <v>1017</v>
      </c>
      <c r="BD881" t="s">
        <v>74</v>
      </c>
      <c r="BE881" t="s">
        <v>15349</v>
      </c>
      <c r="BF881" t="str">
        <f>HYPERLINK("http://dx.doi.org/10.1093/icb/icq071","http://dx.doi.org/10.1093/icb/icq071")</f>
        <v>http://dx.doi.org/10.1093/icb/icq071</v>
      </c>
      <c r="BG881" t="s">
        <v>74</v>
      </c>
      <c r="BH881" t="s">
        <v>74</v>
      </c>
      <c r="BI881">
        <v>9</v>
      </c>
      <c r="BJ881" t="s">
        <v>674</v>
      </c>
      <c r="BK881" t="s">
        <v>2022</v>
      </c>
      <c r="BL881" t="s">
        <v>674</v>
      </c>
      <c r="BM881" t="s">
        <v>15299</v>
      </c>
      <c r="BN881">
        <v>21082069</v>
      </c>
      <c r="BO881" t="s">
        <v>1744</v>
      </c>
      <c r="BP881" t="s">
        <v>74</v>
      </c>
      <c r="BQ881" t="s">
        <v>74</v>
      </c>
      <c r="BR881" t="s">
        <v>103</v>
      </c>
      <c r="BS881" t="s">
        <v>15350</v>
      </c>
      <c r="BT881" t="str">
        <f>HYPERLINK("https%3A%2F%2Fwww.webofscience.com%2Fwos%2Fwoscc%2Ffull-record%2FWOS:000284430400009","View Full Record in Web of Science")</f>
        <v>View Full Record in Web of Science</v>
      </c>
    </row>
    <row r="882" spans="1:72" x14ac:dyDescent="0.15">
      <c r="A882" t="s">
        <v>72</v>
      </c>
      <c r="B882" t="s">
        <v>15351</v>
      </c>
      <c r="C882" t="s">
        <v>74</v>
      </c>
      <c r="D882" t="s">
        <v>74</v>
      </c>
      <c r="E882" t="s">
        <v>74</v>
      </c>
      <c r="F882" t="s">
        <v>15352</v>
      </c>
      <c r="G882" t="s">
        <v>74</v>
      </c>
      <c r="H882" t="s">
        <v>74</v>
      </c>
      <c r="I882" t="s">
        <v>15353</v>
      </c>
      <c r="J882" t="s">
        <v>15286</v>
      </c>
      <c r="K882" t="s">
        <v>74</v>
      </c>
      <c r="L882" t="s">
        <v>74</v>
      </c>
      <c r="M882" t="s">
        <v>78</v>
      </c>
      <c r="N882" t="s">
        <v>2000</v>
      </c>
      <c r="O882" t="s">
        <v>15304</v>
      </c>
      <c r="P882" t="s">
        <v>15305</v>
      </c>
      <c r="Q882" t="s">
        <v>15306</v>
      </c>
      <c r="R882" t="s">
        <v>74</v>
      </c>
      <c r="S882" t="s">
        <v>74</v>
      </c>
      <c r="T882" t="s">
        <v>74</v>
      </c>
      <c r="U882" t="s">
        <v>15354</v>
      </c>
      <c r="V882" t="s">
        <v>15355</v>
      </c>
      <c r="W882" t="s">
        <v>15356</v>
      </c>
      <c r="X882" t="s">
        <v>15357</v>
      </c>
      <c r="Y882" t="s">
        <v>15358</v>
      </c>
      <c r="Z882" t="s">
        <v>15359</v>
      </c>
      <c r="AA882" t="s">
        <v>15360</v>
      </c>
      <c r="AB882" t="s">
        <v>15361</v>
      </c>
      <c r="AC882" t="s">
        <v>15362</v>
      </c>
      <c r="AD882" t="s">
        <v>15363</v>
      </c>
      <c r="AE882" t="s">
        <v>74</v>
      </c>
      <c r="AF882" t="s">
        <v>74</v>
      </c>
      <c r="AG882">
        <v>89</v>
      </c>
      <c r="AH882">
        <v>101</v>
      </c>
      <c r="AI882">
        <v>113</v>
      </c>
      <c r="AJ882">
        <v>4</v>
      </c>
      <c r="AK882">
        <v>42</v>
      </c>
      <c r="AL882" t="s">
        <v>666</v>
      </c>
      <c r="AM882" t="s">
        <v>667</v>
      </c>
      <c r="AN882" t="s">
        <v>668</v>
      </c>
      <c r="AO882" t="s">
        <v>15294</v>
      </c>
      <c r="AP882" t="s">
        <v>15295</v>
      </c>
      <c r="AQ882" t="s">
        <v>74</v>
      </c>
      <c r="AR882" t="s">
        <v>15296</v>
      </c>
      <c r="AS882" t="s">
        <v>15297</v>
      </c>
      <c r="AT882" t="s">
        <v>14347</v>
      </c>
      <c r="AU882">
        <v>2010</v>
      </c>
      <c r="AV882">
        <v>50</v>
      </c>
      <c r="AW882">
        <v>6</v>
      </c>
      <c r="AX882" t="s">
        <v>74</v>
      </c>
      <c r="AY882" t="s">
        <v>74</v>
      </c>
      <c r="AZ882" t="s">
        <v>74</v>
      </c>
      <c r="BA882" t="s">
        <v>74</v>
      </c>
      <c r="BB882">
        <v>1018</v>
      </c>
      <c r="BC882">
        <v>1030</v>
      </c>
      <c r="BD882" t="s">
        <v>74</v>
      </c>
      <c r="BE882" t="s">
        <v>15364</v>
      </c>
      <c r="BF882" t="str">
        <f>HYPERLINK("http://dx.doi.org/10.1093/icb/icq054","http://dx.doi.org/10.1093/icb/icq054")</f>
        <v>http://dx.doi.org/10.1093/icb/icq054</v>
      </c>
      <c r="BG882" t="s">
        <v>74</v>
      </c>
      <c r="BH882" t="s">
        <v>74</v>
      </c>
      <c r="BI882">
        <v>13</v>
      </c>
      <c r="BJ882" t="s">
        <v>674</v>
      </c>
      <c r="BK882" t="s">
        <v>2022</v>
      </c>
      <c r="BL882" t="s">
        <v>674</v>
      </c>
      <c r="BM882" t="s">
        <v>15299</v>
      </c>
      <c r="BN882">
        <v>21558256</v>
      </c>
      <c r="BO882" t="s">
        <v>252</v>
      </c>
      <c r="BP882" t="s">
        <v>74</v>
      </c>
      <c r="BQ882" t="s">
        <v>74</v>
      </c>
      <c r="BR882" t="s">
        <v>103</v>
      </c>
      <c r="BS882" t="s">
        <v>15365</v>
      </c>
      <c r="BT882" t="str">
        <f>HYPERLINK("https%3A%2F%2Fwww.webofscience.com%2Fwos%2Fwoscc%2Ffull-record%2FWOS:000284430400010","View Full Record in Web of Science")</f>
        <v>View Full Record in Web of Science</v>
      </c>
    </row>
    <row r="883" spans="1:72" x14ac:dyDescent="0.15">
      <c r="A883" t="s">
        <v>72</v>
      </c>
      <c r="B883" t="s">
        <v>15366</v>
      </c>
      <c r="C883" t="s">
        <v>74</v>
      </c>
      <c r="D883" t="s">
        <v>74</v>
      </c>
      <c r="E883" t="s">
        <v>74</v>
      </c>
      <c r="F883" t="s">
        <v>15367</v>
      </c>
      <c r="G883" t="s">
        <v>74</v>
      </c>
      <c r="H883" t="s">
        <v>74</v>
      </c>
      <c r="I883" t="s">
        <v>15368</v>
      </c>
      <c r="J883" t="s">
        <v>15286</v>
      </c>
      <c r="K883" t="s">
        <v>74</v>
      </c>
      <c r="L883" t="s">
        <v>74</v>
      </c>
      <c r="M883" t="s">
        <v>78</v>
      </c>
      <c r="N883" t="s">
        <v>2000</v>
      </c>
      <c r="O883" t="s">
        <v>15304</v>
      </c>
      <c r="P883" t="s">
        <v>15305</v>
      </c>
      <c r="Q883" t="s">
        <v>15306</v>
      </c>
      <c r="R883" t="s">
        <v>74</v>
      </c>
      <c r="S883" t="s">
        <v>74</v>
      </c>
      <c r="T883" t="s">
        <v>74</v>
      </c>
      <c r="U883" t="s">
        <v>15369</v>
      </c>
      <c r="V883" t="s">
        <v>15370</v>
      </c>
      <c r="W883" t="s">
        <v>15371</v>
      </c>
      <c r="X883" t="s">
        <v>15372</v>
      </c>
      <c r="Y883" t="s">
        <v>15373</v>
      </c>
      <c r="Z883" t="s">
        <v>15374</v>
      </c>
      <c r="AA883" t="s">
        <v>15375</v>
      </c>
      <c r="AB883" t="s">
        <v>15376</v>
      </c>
      <c r="AC883" t="s">
        <v>15377</v>
      </c>
      <c r="AD883" t="s">
        <v>15378</v>
      </c>
      <c r="AE883" t="s">
        <v>74</v>
      </c>
      <c r="AF883" t="s">
        <v>74</v>
      </c>
      <c r="AG883">
        <v>37</v>
      </c>
      <c r="AH883">
        <v>21</v>
      </c>
      <c r="AI883">
        <v>25</v>
      </c>
      <c r="AJ883">
        <v>0</v>
      </c>
      <c r="AK883">
        <v>31</v>
      </c>
      <c r="AL883" t="s">
        <v>666</v>
      </c>
      <c r="AM883" t="s">
        <v>667</v>
      </c>
      <c r="AN883" t="s">
        <v>668</v>
      </c>
      <c r="AO883" t="s">
        <v>15294</v>
      </c>
      <c r="AP883" t="s">
        <v>15295</v>
      </c>
      <c r="AQ883" t="s">
        <v>74</v>
      </c>
      <c r="AR883" t="s">
        <v>15296</v>
      </c>
      <c r="AS883" t="s">
        <v>15297</v>
      </c>
      <c r="AT883" t="s">
        <v>14347</v>
      </c>
      <c r="AU883">
        <v>2010</v>
      </c>
      <c r="AV883">
        <v>50</v>
      </c>
      <c r="AW883">
        <v>6</v>
      </c>
      <c r="AX883" t="s">
        <v>74</v>
      </c>
      <c r="AY883" t="s">
        <v>74</v>
      </c>
      <c r="AZ883" t="s">
        <v>74</v>
      </c>
      <c r="BA883" t="s">
        <v>74</v>
      </c>
      <c r="BB883">
        <v>1041</v>
      </c>
      <c r="BC883">
        <v>1050</v>
      </c>
      <c r="BD883" t="s">
        <v>74</v>
      </c>
      <c r="BE883" t="s">
        <v>15379</v>
      </c>
      <c r="BF883" t="str">
        <f>HYPERLINK("http://dx.doi.org/10.1093/icb/icq098","http://dx.doi.org/10.1093/icb/icq098")</f>
        <v>http://dx.doi.org/10.1093/icb/icq098</v>
      </c>
      <c r="BG883" t="s">
        <v>74</v>
      </c>
      <c r="BH883" t="s">
        <v>74</v>
      </c>
      <c r="BI883">
        <v>10</v>
      </c>
      <c r="BJ883" t="s">
        <v>674</v>
      </c>
      <c r="BK883" t="s">
        <v>2022</v>
      </c>
      <c r="BL883" t="s">
        <v>674</v>
      </c>
      <c r="BM883" t="s">
        <v>15299</v>
      </c>
      <c r="BN883">
        <v>21558258</v>
      </c>
      <c r="BO883" t="s">
        <v>252</v>
      </c>
      <c r="BP883" t="s">
        <v>74</v>
      </c>
      <c r="BQ883" t="s">
        <v>74</v>
      </c>
      <c r="BR883" t="s">
        <v>103</v>
      </c>
      <c r="BS883" t="s">
        <v>15380</v>
      </c>
      <c r="BT883" t="str">
        <f>HYPERLINK("https%3A%2F%2Fwww.webofscience.com%2Fwos%2Fwoscc%2Ffull-record%2FWOS:000284430400012","View Full Record in Web of Science")</f>
        <v>View Full Record in Web of Science</v>
      </c>
    </row>
    <row r="884" spans="1:72" x14ac:dyDescent="0.15">
      <c r="A884" t="s">
        <v>72</v>
      </c>
      <c r="B884" t="s">
        <v>15381</v>
      </c>
      <c r="C884" t="s">
        <v>74</v>
      </c>
      <c r="D884" t="s">
        <v>74</v>
      </c>
      <c r="E884" t="s">
        <v>74</v>
      </c>
      <c r="F884" t="s">
        <v>15382</v>
      </c>
      <c r="G884" t="s">
        <v>74</v>
      </c>
      <c r="H884" t="s">
        <v>74</v>
      </c>
      <c r="I884" t="s">
        <v>15383</v>
      </c>
      <c r="J884" t="s">
        <v>15384</v>
      </c>
      <c r="K884" t="s">
        <v>74</v>
      </c>
      <c r="L884" t="s">
        <v>74</v>
      </c>
      <c r="M884" t="s">
        <v>78</v>
      </c>
      <c r="N884" t="s">
        <v>79</v>
      </c>
      <c r="O884" t="s">
        <v>74</v>
      </c>
      <c r="P884" t="s">
        <v>74</v>
      </c>
      <c r="Q884" t="s">
        <v>74</v>
      </c>
      <c r="R884" t="s">
        <v>74</v>
      </c>
      <c r="S884" t="s">
        <v>74</v>
      </c>
      <c r="T884" t="s">
        <v>15385</v>
      </c>
      <c r="U884" t="s">
        <v>15386</v>
      </c>
      <c r="V884" t="s">
        <v>15387</v>
      </c>
      <c r="W884" t="s">
        <v>15388</v>
      </c>
      <c r="X884" t="s">
        <v>15389</v>
      </c>
      <c r="Y884" t="s">
        <v>15390</v>
      </c>
      <c r="Z884" t="s">
        <v>74</v>
      </c>
      <c r="AA884" t="s">
        <v>74</v>
      </c>
      <c r="AB884" t="s">
        <v>74</v>
      </c>
      <c r="AC884" t="s">
        <v>15391</v>
      </c>
      <c r="AD884" t="s">
        <v>15392</v>
      </c>
      <c r="AE884" t="s">
        <v>15393</v>
      </c>
      <c r="AF884" t="s">
        <v>74</v>
      </c>
      <c r="AG884">
        <v>41</v>
      </c>
      <c r="AH884">
        <v>5</v>
      </c>
      <c r="AI884">
        <v>6</v>
      </c>
      <c r="AJ884">
        <v>0</v>
      </c>
      <c r="AK884">
        <v>16</v>
      </c>
      <c r="AL884" t="s">
        <v>270</v>
      </c>
      <c r="AM884" t="s">
        <v>91</v>
      </c>
      <c r="AN884" t="s">
        <v>320</v>
      </c>
      <c r="AO884" t="s">
        <v>15394</v>
      </c>
      <c r="AP884" t="s">
        <v>15395</v>
      </c>
      <c r="AQ884" t="s">
        <v>74</v>
      </c>
      <c r="AR884" t="s">
        <v>15396</v>
      </c>
      <c r="AS884" t="s">
        <v>15397</v>
      </c>
      <c r="AT884" t="s">
        <v>14347</v>
      </c>
      <c r="AU884">
        <v>2010</v>
      </c>
      <c r="AV884">
        <v>99</v>
      </c>
      <c r="AW884">
        <v>8</v>
      </c>
      <c r="AX884" t="s">
        <v>74</v>
      </c>
      <c r="AY884" t="s">
        <v>74</v>
      </c>
      <c r="AZ884" t="s">
        <v>74</v>
      </c>
      <c r="BA884" t="s">
        <v>74</v>
      </c>
      <c r="BB884">
        <v>1849</v>
      </c>
      <c r="BC884">
        <v>1857</v>
      </c>
      <c r="BD884" t="s">
        <v>74</v>
      </c>
      <c r="BE884" t="s">
        <v>15398</v>
      </c>
      <c r="BF884" t="str">
        <f>HYPERLINK("http://dx.doi.org/10.1007/s00531-009-0478-5","http://dx.doi.org/10.1007/s00531-009-0478-5")</f>
        <v>http://dx.doi.org/10.1007/s00531-009-0478-5</v>
      </c>
      <c r="BG884" t="s">
        <v>74</v>
      </c>
      <c r="BH884" t="s">
        <v>74</v>
      </c>
      <c r="BI884">
        <v>9</v>
      </c>
      <c r="BJ884" t="s">
        <v>396</v>
      </c>
      <c r="BK884" t="s">
        <v>100</v>
      </c>
      <c r="BL884" t="s">
        <v>397</v>
      </c>
      <c r="BM884" t="s">
        <v>15399</v>
      </c>
      <c r="BN884" t="s">
        <v>74</v>
      </c>
      <c r="BO884" t="s">
        <v>74</v>
      </c>
      <c r="BP884" t="s">
        <v>74</v>
      </c>
      <c r="BQ884" t="s">
        <v>74</v>
      </c>
      <c r="BR884" t="s">
        <v>103</v>
      </c>
      <c r="BS884" t="s">
        <v>15400</v>
      </c>
      <c r="BT884" t="str">
        <f>HYPERLINK("https%3A%2F%2Fwww.webofscience.com%2Fwos%2Fwoscc%2Ffull-record%2FWOS:000285070100011","View Full Record in Web of Science")</f>
        <v>View Full Record in Web of Science</v>
      </c>
    </row>
    <row r="885" spans="1:72" x14ac:dyDescent="0.15">
      <c r="A885" t="s">
        <v>72</v>
      </c>
      <c r="B885" t="s">
        <v>15401</v>
      </c>
      <c r="C885" t="s">
        <v>74</v>
      </c>
      <c r="D885" t="s">
        <v>74</v>
      </c>
      <c r="E885" t="s">
        <v>74</v>
      </c>
      <c r="F885" t="s">
        <v>15402</v>
      </c>
      <c r="G885" t="s">
        <v>74</v>
      </c>
      <c r="H885" t="s">
        <v>74</v>
      </c>
      <c r="I885" t="s">
        <v>15403</v>
      </c>
      <c r="J885" t="s">
        <v>15404</v>
      </c>
      <c r="K885" t="s">
        <v>74</v>
      </c>
      <c r="L885" t="s">
        <v>74</v>
      </c>
      <c r="M885" t="s">
        <v>78</v>
      </c>
      <c r="N885" t="s">
        <v>79</v>
      </c>
      <c r="O885" t="s">
        <v>74</v>
      </c>
      <c r="P885" t="s">
        <v>74</v>
      </c>
      <c r="Q885" t="s">
        <v>74</v>
      </c>
      <c r="R885" t="s">
        <v>74</v>
      </c>
      <c r="S885" t="s">
        <v>74</v>
      </c>
      <c r="T885" t="s">
        <v>74</v>
      </c>
      <c r="U885" t="s">
        <v>74</v>
      </c>
      <c r="V885" t="s">
        <v>15405</v>
      </c>
      <c r="W885" t="s">
        <v>74</v>
      </c>
      <c r="X885" t="s">
        <v>74</v>
      </c>
      <c r="Y885" t="s">
        <v>74</v>
      </c>
      <c r="Z885" t="s">
        <v>74</v>
      </c>
      <c r="AA885" t="s">
        <v>74</v>
      </c>
      <c r="AB885" t="s">
        <v>74</v>
      </c>
      <c r="AC885" t="s">
        <v>74</v>
      </c>
      <c r="AD885" t="s">
        <v>74</v>
      </c>
      <c r="AE885" t="s">
        <v>74</v>
      </c>
      <c r="AF885" t="s">
        <v>74</v>
      </c>
      <c r="AG885">
        <v>53</v>
      </c>
      <c r="AH885">
        <v>3</v>
      </c>
      <c r="AI885">
        <v>4</v>
      </c>
      <c r="AJ885">
        <v>0</v>
      </c>
      <c r="AK885">
        <v>0</v>
      </c>
      <c r="AL885" t="s">
        <v>7667</v>
      </c>
      <c r="AM885" t="s">
        <v>913</v>
      </c>
      <c r="AN885" t="s">
        <v>7668</v>
      </c>
      <c r="AO885" t="s">
        <v>15406</v>
      </c>
      <c r="AP885" t="s">
        <v>15407</v>
      </c>
      <c r="AQ885" t="s">
        <v>74</v>
      </c>
      <c r="AR885" t="s">
        <v>15408</v>
      </c>
      <c r="AS885" t="s">
        <v>15409</v>
      </c>
      <c r="AT885" t="s">
        <v>14347</v>
      </c>
      <c r="AU885">
        <v>2010</v>
      </c>
      <c r="AV885">
        <v>22</v>
      </c>
      <c r="AW885">
        <v>2</v>
      </c>
      <c r="AX885" t="s">
        <v>74</v>
      </c>
      <c r="AY885" t="s">
        <v>74</v>
      </c>
      <c r="AZ885" t="s">
        <v>74</v>
      </c>
      <c r="BA885" t="s">
        <v>74</v>
      </c>
      <c r="BB885">
        <v>227</v>
      </c>
      <c r="BC885" t="s">
        <v>1316</v>
      </c>
      <c r="BD885" t="s">
        <v>74</v>
      </c>
      <c r="BE885" t="s">
        <v>15410</v>
      </c>
      <c r="BF885" t="str">
        <f>HYPERLINK("http://dx.doi.org/10.1177/084387141002200210","http://dx.doi.org/10.1177/084387141002200210")</f>
        <v>http://dx.doi.org/10.1177/084387141002200210</v>
      </c>
      <c r="BG885" t="s">
        <v>74</v>
      </c>
      <c r="BH885" t="s">
        <v>74</v>
      </c>
      <c r="BI885">
        <v>23</v>
      </c>
      <c r="BJ885" t="s">
        <v>13170</v>
      </c>
      <c r="BK885" t="s">
        <v>6441</v>
      </c>
      <c r="BL885" t="s">
        <v>13170</v>
      </c>
      <c r="BM885" t="s">
        <v>15411</v>
      </c>
      <c r="BN885" t="s">
        <v>74</v>
      </c>
      <c r="BO885" t="s">
        <v>425</v>
      </c>
      <c r="BP885" t="s">
        <v>74</v>
      </c>
      <c r="BQ885" t="s">
        <v>74</v>
      </c>
      <c r="BR885" t="s">
        <v>103</v>
      </c>
      <c r="BS885" t="s">
        <v>15412</v>
      </c>
      <c r="BT885" t="str">
        <f>HYPERLINK("https%3A%2F%2Fwww.webofscience.com%2Fwos%2Fwoscc%2Ffull-record%2FWOS:000210677300010","View Full Record in Web of Science")</f>
        <v>View Full Record in Web of Science</v>
      </c>
    </row>
    <row r="886" spans="1:72" x14ac:dyDescent="0.15">
      <c r="A886" t="s">
        <v>72</v>
      </c>
      <c r="B886" t="s">
        <v>15413</v>
      </c>
      <c r="C886" t="s">
        <v>74</v>
      </c>
      <c r="D886" t="s">
        <v>74</v>
      </c>
      <c r="E886" t="s">
        <v>74</v>
      </c>
      <c r="F886" t="s">
        <v>15414</v>
      </c>
      <c r="G886" t="s">
        <v>74</v>
      </c>
      <c r="H886" t="s">
        <v>74</v>
      </c>
      <c r="I886" t="s">
        <v>15415</v>
      </c>
      <c r="J886" t="s">
        <v>15416</v>
      </c>
      <c r="K886" t="s">
        <v>74</v>
      </c>
      <c r="L886" t="s">
        <v>74</v>
      </c>
      <c r="M886" t="s">
        <v>78</v>
      </c>
      <c r="N886" t="s">
        <v>79</v>
      </c>
      <c r="O886" t="s">
        <v>74</v>
      </c>
      <c r="P886" t="s">
        <v>74</v>
      </c>
      <c r="Q886" t="s">
        <v>74</v>
      </c>
      <c r="R886" t="s">
        <v>74</v>
      </c>
      <c r="S886" t="s">
        <v>74</v>
      </c>
      <c r="T886" t="s">
        <v>15417</v>
      </c>
      <c r="U886" t="s">
        <v>15418</v>
      </c>
      <c r="V886" t="s">
        <v>15419</v>
      </c>
      <c r="W886" t="s">
        <v>15420</v>
      </c>
      <c r="X886" t="s">
        <v>74</v>
      </c>
      <c r="Y886" t="s">
        <v>15421</v>
      </c>
      <c r="Z886" t="s">
        <v>15422</v>
      </c>
      <c r="AA886" t="s">
        <v>74</v>
      </c>
      <c r="AB886" t="s">
        <v>15423</v>
      </c>
      <c r="AC886" t="s">
        <v>15424</v>
      </c>
      <c r="AD886" t="s">
        <v>15425</v>
      </c>
      <c r="AE886" t="s">
        <v>15426</v>
      </c>
      <c r="AF886" t="s">
        <v>74</v>
      </c>
      <c r="AG886">
        <v>63</v>
      </c>
      <c r="AH886">
        <v>7</v>
      </c>
      <c r="AI886">
        <v>7</v>
      </c>
      <c r="AJ886">
        <v>0</v>
      </c>
      <c r="AK886">
        <v>38</v>
      </c>
      <c r="AL886" t="s">
        <v>270</v>
      </c>
      <c r="AM886" t="s">
        <v>271</v>
      </c>
      <c r="AN886" t="s">
        <v>272</v>
      </c>
      <c r="AO886" t="s">
        <v>15427</v>
      </c>
      <c r="AP886" t="s">
        <v>15428</v>
      </c>
      <c r="AQ886" t="s">
        <v>74</v>
      </c>
      <c r="AR886" t="s">
        <v>15429</v>
      </c>
      <c r="AS886" t="s">
        <v>15430</v>
      </c>
      <c r="AT886" t="s">
        <v>14347</v>
      </c>
      <c r="AU886">
        <v>2010</v>
      </c>
      <c r="AV886">
        <v>23</v>
      </c>
      <c r="AW886">
        <v>6</v>
      </c>
      <c r="AX886" t="s">
        <v>74</v>
      </c>
      <c r="AY886" t="s">
        <v>74</v>
      </c>
      <c r="AZ886" t="s">
        <v>74</v>
      </c>
      <c r="BA886" t="s">
        <v>74</v>
      </c>
      <c r="BB886">
        <v>527</v>
      </c>
      <c r="BC886">
        <v>550</v>
      </c>
      <c r="BD886" t="s">
        <v>74</v>
      </c>
      <c r="BE886" t="s">
        <v>15431</v>
      </c>
      <c r="BF886" t="str">
        <f>HYPERLINK("http://dx.doi.org/10.1007/s10806-010-9237-7","http://dx.doi.org/10.1007/s10806-010-9237-7")</f>
        <v>http://dx.doi.org/10.1007/s10806-010-9237-7</v>
      </c>
      <c r="BG886" t="s">
        <v>74</v>
      </c>
      <c r="BH886" t="s">
        <v>74</v>
      </c>
      <c r="BI886">
        <v>24</v>
      </c>
      <c r="BJ886" t="s">
        <v>15432</v>
      </c>
      <c r="BK886" t="s">
        <v>11502</v>
      </c>
      <c r="BL886" t="s">
        <v>15433</v>
      </c>
      <c r="BM886" t="s">
        <v>15434</v>
      </c>
      <c r="BN886" t="s">
        <v>74</v>
      </c>
      <c r="BO886" t="s">
        <v>74</v>
      </c>
      <c r="BP886" t="s">
        <v>74</v>
      </c>
      <c r="BQ886" t="s">
        <v>74</v>
      </c>
      <c r="BR886" t="s">
        <v>103</v>
      </c>
      <c r="BS886" t="s">
        <v>15435</v>
      </c>
      <c r="BT886" t="str">
        <f>HYPERLINK("https%3A%2F%2Fwww.webofscience.com%2Fwos%2Fwoscc%2Ffull-record%2FWOS:000283305900003","View Full Record in Web of Science")</f>
        <v>View Full Record in Web of Science</v>
      </c>
    </row>
    <row r="887" spans="1:72" x14ac:dyDescent="0.15">
      <c r="A887" t="s">
        <v>72</v>
      </c>
      <c r="B887" t="s">
        <v>15436</v>
      </c>
      <c r="C887" t="s">
        <v>74</v>
      </c>
      <c r="D887" t="s">
        <v>74</v>
      </c>
      <c r="E887" t="s">
        <v>74</v>
      </c>
      <c r="F887" t="s">
        <v>15437</v>
      </c>
      <c r="G887" t="s">
        <v>74</v>
      </c>
      <c r="H887" t="s">
        <v>74</v>
      </c>
      <c r="I887" t="s">
        <v>15438</v>
      </c>
      <c r="J887" t="s">
        <v>15439</v>
      </c>
      <c r="K887" t="s">
        <v>74</v>
      </c>
      <c r="L887" t="s">
        <v>74</v>
      </c>
      <c r="M887" t="s">
        <v>78</v>
      </c>
      <c r="N887" t="s">
        <v>79</v>
      </c>
      <c r="O887" t="s">
        <v>74</v>
      </c>
      <c r="P887" t="s">
        <v>74</v>
      </c>
      <c r="Q887" t="s">
        <v>74</v>
      </c>
      <c r="R887" t="s">
        <v>74</v>
      </c>
      <c r="S887" t="s">
        <v>74</v>
      </c>
      <c r="T887" t="s">
        <v>74</v>
      </c>
      <c r="U887" t="s">
        <v>15440</v>
      </c>
      <c r="V887" t="s">
        <v>15441</v>
      </c>
      <c r="W887" t="s">
        <v>15442</v>
      </c>
      <c r="X887" t="s">
        <v>15443</v>
      </c>
      <c r="Y887" t="s">
        <v>15444</v>
      </c>
      <c r="Z887" t="s">
        <v>15445</v>
      </c>
      <c r="AA887" t="s">
        <v>15446</v>
      </c>
      <c r="AB887" t="s">
        <v>15447</v>
      </c>
      <c r="AC887" t="s">
        <v>15448</v>
      </c>
      <c r="AD887" t="s">
        <v>15448</v>
      </c>
      <c r="AE887" t="s">
        <v>15449</v>
      </c>
      <c r="AF887" t="s">
        <v>74</v>
      </c>
      <c r="AG887">
        <v>54</v>
      </c>
      <c r="AH887">
        <v>27</v>
      </c>
      <c r="AI887">
        <v>33</v>
      </c>
      <c r="AJ887">
        <v>1</v>
      </c>
      <c r="AK887">
        <v>28</v>
      </c>
      <c r="AL887" t="s">
        <v>214</v>
      </c>
      <c r="AM887" t="s">
        <v>215</v>
      </c>
      <c r="AN887" t="s">
        <v>216</v>
      </c>
      <c r="AO887" t="s">
        <v>15450</v>
      </c>
      <c r="AP887" t="s">
        <v>15451</v>
      </c>
      <c r="AQ887" t="s">
        <v>74</v>
      </c>
      <c r="AR887" t="s">
        <v>15452</v>
      </c>
      <c r="AS887" t="s">
        <v>15453</v>
      </c>
      <c r="AT887" t="s">
        <v>14347</v>
      </c>
      <c r="AU887">
        <v>2010</v>
      </c>
      <c r="AV887">
        <v>26</v>
      </c>
      <c r="AW887">
        <v>6</v>
      </c>
      <c r="AX887" t="s">
        <v>74</v>
      </c>
      <c r="AY887" t="s">
        <v>74</v>
      </c>
      <c r="AZ887" t="s">
        <v>74</v>
      </c>
      <c r="BA887" t="s">
        <v>74</v>
      </c>
      <c r="BB887">
        <v>853</v>
      </c>
      <c r="BC887">
        <v>860</v>
      </c>
      <c r="BD887" t="s">
        <v>74</v>
      </c>
      <c r="BE887" t="s">
        <v>15454</v>
      </c>
      <c r="BF887" t="str">
        <f>HYPERLINK("http://dx.doi.org/10.1111/j.1439-0426.2010.01509.x","http://dx.doi.org/10.1111/j.1439-0426.2010.01509.x")</f>
        <v>http://dx.doi.org/10.1111/j.1439-0426.2010.01509.x</v>
      </c>
      <c r="BG887" t="s">
        <v>74</v>
      </c>
      <c r="BH887" t="s">
        <v>74</v>
      </c>
      <c r="BI887">
        <v>8</v>
      </c>
      <c r="BJ887" t="s">
        <v>6365</v>
      </c>
      <c r="BK887" t="s">
        <v>100</v>
      </c>
      <c r="BL887" t="s">
        <v>6365</v>
      </c>
      <c r="BM887" t="s">
        <v>15455</v>
      </c>
      <c r="BN887" t="s">
        <v>74</v>
      </c>
      <c r="BO887" t="s">
        <v>2317</v>
      </c>
      <c r="BP887" t="s">
        <v>74</v>
      </c>
      <c r="BQ887" t="s">
        <v>74</v>
      </c>
      <c r="BR887" t="s">
        <v>103</v>
      </c>
      <c r="BS887" t="s">
        <v>15456</v>
      </c>
      <c r="BT887" t="str">
        <f>HYPERLINK("https%3A%2F%2Fwww.webofscience.com%2Fwos%2Fwoscc%2Ffull-record%2FWOS:000284171500004","View Full Record in Web of Science")</f>
        <v>View Full Record in Web of Science</v>
      </c>
    </row>
    <row r="888" spans="1:72" x14ac:dyDescent="0.15">
      <c r="A888" t="s">
        <v>72</v>
      </c>
      <c r="B888" t="s">
        <v>15457</v>
      </c>
      <c r="C888" t="s">
        <v>74</v>
      </c>
      <c r="D888" t="s">
        <v>74</v>
      </c>
      <c r="E888" t="s">
        <v>74</v>
      </c>
      <c r="F888" t="s">
        <v>15458</v>
      </c>
      <c r="G888" t="s">
        <v>74</v>
      </c>
      <c r="H888" t="s">
        <v>74</v>
      </c>
      <c r="I888" t="s">
        <v>15459</v>
      </c>
      <c r="J888" t="s">
        <v>15460</v>
      </c>
      <c r="K888" t="s">
        <v>74</v>
      </c>
      <c r="L888" t="s">
        <v>74</v>
      </c>
      <c r="M888" t="s">
        <v>78</v>
      </c>
      <c r="N888" t="s">
        <v>79</v>
      </c>
      <c r="O888" t="s">
        <v>74</v>
      </c>
      <c r="P888" t="s">
        <v>74</v>
      </c>
      <c r="Q888" t="s">
        <v>74</v>
      </c>
      <c r="R888" t="s">
        <v>74</v>
      </c>
      <c r="S888" t="s">
        <v>74</v>
      </c>
      <c r="T888" t="s">
        <v>15461</v>
      </c>
      <c r="U888" t="s">
        <v>74</v>
      </c>
      <c r="V888" t="s">
        <v>15462</v>
      </c>
      <c r="W888" t="s">
        <v>15463</v>
      </c>
      <c r="X888" t="s">
        <v>15464</v>
      </c>
      <c r="Y888" t="s">
        <v>15465</v>
      </c>
      <c r="Z888" t="s">
        <v>15466</v>
      </c>
      <c r="AA888" t="s">
        <v>15467</v>
      </c>
      <c r="AB888" t="s">
        <v>15468</v>
      </c>
      <c r="AC888" t="s">
        <v>15469</v>
      </c>
      <c r="AD888" t="s">
        <v>15470</v>
      </c>
      <c r="AE888" t="s">
        <v>15471</v>
      </c>
      <c r="AF888" t="s">
        <v>74</v>
      </c>
      <c r="AG888">
        <v>27</v>
      </c>
      <c r="AH888">
        <v>6</v>
      </c>
      <c r="AI888">
        <v>9</v>
      </c>
      <c r="AJ888">
        <v>1</v>
      </c>
      <c r="AK888">
        <v>24</v>
      </c>
      <c r="AL888" t="s">
        <v>270</v>
      </c>
      <c r="AM888" t="s">
        <v>271</v>
      </c>
      <c r="AN888" t="s">
        <v>272</v>
      </c>
      <c r="AO888" t="s">
        <v>15472</v>
      </c>
      <c r="AP888" t="s">
        <v>15473</v>
      </c>
      <c r="AQ888" t="s">
        <v>74</v>
      </c>
      <c r="AR888" t="s">
        <v>15474</v>
      </c>
      <c r="AS888" t="s">
        <v>15475</v>
      </c>
      <c r="AT888" t="s">
        <v>14347</v>
      </c>
      <c r="AU888">
        <v>2010</v>
      </c>
      <c r="AV888">
        <v>22</v>
      </c>
      <c r="AW888">
        <v>6</v>
      </c>
      <c r="AX888" t="s">
        <v>74</v>
      </c>
      <c r="AY888" t="s">
        <v>74</v>
      </c>
      <c r="AZ888" t="s">
        <v>74</v>
      </c>
      <c r="BA888" t="s">
        <v>74</v>
      </c>
      <c r="BB888">
        <v>779</v>
      </c>
      <c r="BC888">
        <v>783</v>
      </c>
      <c r="BD888" t="s">
        <v>74</v>
      </c>
      <c r="BE888" t="s">
        <v>15476</v>
      </c>
      <c r="BF888" t="str">
        <f>HYPERLINK("http://dx.doi.org/10.1007/s10811-010-9519-5","http://dx.doi.org/10.1007/s10811-010-9519-5")</f>
        <v>http://dx.doi.org/10.1007/s10811-010-9519-5</v>
      </c>
      <c r="BG888" t="s">
        <v>74</v>
      </c>
      <c r="BH888" t="s">
        <v>74</v>
      </c>
      <c r="BI888">
        <v>5</v>
      </c>
      <c r="BJ888" t="s">
        <v>6986</v>
      </c>
      <c r="BK888" t="s">
        <v>100</v>
      </c>
      <c r="BL888" t="s">
        <v>6986</v>
      </c>
      <c r="BM888" t="s">
        <v>15477</v>
      </c>
      <c r="BN888" t="s">
        <v>74</v>
      </c>
      <c r="BO888" t="s">
        <v>74</v>
      </c>
      <c r="BP888" t="s">
        <v>74</v>
      </c>
      <c r="BQ888" t="s">
        <v>74</v>
      </c>
      <c r="BR888" t="s">
        <v>103</v>
      </c>
      <c r="BS888" t="s">
        <v>15478</v>
      </c>
      <c r="BT888" t="str">
        <f>HYPERLINK("https%3A%2F%2Fwww.webofscience.com%2Fwos%2Fwoscc%2Ffull-record%2FWOS:000284157900013","View Full Record in Web of Science")</f>
        <v>View Full Record in Web of Science</v>
      </c>
    </row>
    <row r="889" spans="1:72" x14ac:dyDescent="0.15">
      <c r="A889" t="s">
        <v>72</v>
      </c>
      <c r="B889" t="s">
        <v>15479</v>
      </c>
      <c r="C889" t="s">
        <v>74</v>
      </c>
      <c r="D889" t="s">
        <v>74</v>
      </c>
      <c r="E889" t="s">
        <v>74</v>
      </c>
      <c r="F889" t="s">
        <v>15480</v>
      </c>
      <c r="G889" t="s">
        <v>74</v>
      </c>
      <c r="H889" t="s">
        <v>74</v>
      </c>
      <c r="I889" t="s">
        <v>15481</v>
      </c>
      <c r="J889" t="s">
        <v>15482</v>
      </c>
      <c r="K889" t="s">
        <v>74</v>
      </c>
      <c r="L889" t="s">
        <v>74</v>
      </c>
      <c r="M889" t="s">
        <v>78</v>
      </c>
      <c r="N889" t="s">
        <v>79</v>
      </c>
      <c r="O889" t="s">
        <v>74</v>
      </c>
      <c r="P889" t="s">
        <v>74</v>
      </c>
      <c r="Q889" t="s">
        <v>74</v>
      </c>
      <c r="R889" t="s">
        <v>74</v>
      </c>
      <c r="S889" t="s">
        <v>74</v>
      </c>
      <c r="T889" t="s">
        <v>15483</v>
      </c>
      <c r="U889" t="s">
        <v>15484</v>
      </c>
      <c r="V889" t="s">
        <v>15485</v>
      </c>
      <c r="W889" t="s">
        <v>15486</v>
      </c>
      <c r="X889" t="s">
        <v>15487</v>
      </c>
      <c r="Y889" t="s">
        <v>15488</v>
      </c>
      <c r="Z889" t="s">
        <v>15489</v>
      </c>
      <c r="AA889" t="s">
        <v>15490</v>
      </c>
      <c r="AB889" t="s">
        <v>15491</v>
      </c>
      <c r="AC889" t="s">
        <v>74</v>
      </c>
      <c r="AD889" t="s">
        <v>74</v>
      </c>
      <c r="AE889" t="s">
        <v>74</v>
      </c>
      <c r="AF889" t="s">
        <v>74</v>
      </c>
      <c r="AG889">
        <v>50</v>
      </c>
      <c r="AH889">
        <v>17</v>
      </c>
      <c r="AI889">
        <v>19</v>
      </c>
      <c r="AJ889">
        <v>0</v>
      </c>
      <c r="AK889">
        <v>14</v>
      </c>
      <c r="AL889" t="s">
        <v>639</v>
      </c>
      <c r="AM889" t="s">
        <v>640</v>
      </c>
      <c r="AN889" t="s">
        <v>641</v>
      </c>
      <c r="AO889" t="s">
        <v>15492</v>
      </c>
      <c r="AP889" t="s">
        <v>15493</v>
      </c>
      <c r="AQ889" t="s">
        <v>74</v>
      </c>
      <c r="AR889" t="s">
        <v>15494</v>
      </c>
      <c r="AS889" t="s">
        <v>15495</v>
      </c>
      <c r="AT889" t="s">
        <v>14347</v>
      </c>
      <c r="AU889">
        <v>2010</v>
      </c>
      <c r="AV889">
        <v>40</v>
      </c>
      <c r="AW889">
        <v>4</v>
      </c>
      <c r="AX889" t="s">
        <v>74</v>
      </c>
      <c r="AY889" t="s">
        <v>74</v>
      </c>
      <c r="AZ889" t="s">
        <v>74</v>
      </c>
      <c r="BA889" t="s">
        <v>74</v>
      </c>
      <c r="BB889">
        <v>293</v>
      </c>
      <c r="BC889">
        <v>300</v>
      </c>
      <c r="BD889" t="s">
        <v>74</v>
      </c>
      <c r="BE889" t="s">
        <v>15496</v>
      </c>
      <c r="BF889" t="str">
        <f>HYPERLINK("http://dx.doi.org/10.1016/j.jchemneu.2010.08.004","http://dx.doi.org/10.1016/j.jchemneu.2010.08.004")</f>
        <v>http://dx.doi.org/10.1016/j.jchemneu.2010.08.004</v>
      </c>
      <c r="BG889" t="s">
        <v>74</v>
      </c>
      <c r="BH889" t="s">
        <v>74</v>
      </c>
      <c r="BI889">
        <v>8</v>
      </c>
      <c r="BJ889" t="s">
        <v>15497</v>
      </c>
      <c r="BK889" t="s">
        <v>100</v>
      </c>
      <c r="BL889" t="s">
        <v>15498</v>
      </c>
      <c r="BM889" t="s">
        <v>15499</v>
      </c>
      <c r="BN889">
        <v>20800675</v>
      </c>
      <c r="BO889" t="s">
        <v>74</v>
      </c>
      <c r="BP889" t="s">
        <v>74</v>
      </c>
      <c r="BQ889" t="s">
        <v>74</v>
      </c>
      <c r="BR889" t="s">
        <v>103</v>
      </c>
      <c r="BS889" t="s">
        <v>15500</v>
      </c>
      <c r="BT889" t="str">
        <f>HYPERLINK("https%3A%2F%2Fwww.webofscience.com%2Fwos%2Fwoscc%2Ffull-record%2FWOS:000285322100005","View Full Record in Web of Science")</f>
        <v>View Full Record in Web of Science</v>
      </c>
    </row>
    <row r="890" spans="1:72" x14ac:dyDescent="0.15">
      <c r="A890" t="s">
        <v>72</v>
      </c>
      <c r="B890" t="s">
        <v>15501</v>
      </c>
      <c r="C890" t="s">
        <v>74</v>
      </c>
      <c r="D890" t="s">
        <v>74</v>
      </c>
      <c r="E890" t="s">
        <v>74</v>
      </c>
      <c r="F890" t="s">
        <v>15502</v>
      </c>
      <c r="G890" t="s">
        <v>74</v>
      </c>
      <c r="H890" t="s">
        <v>74</v>
      </c>
      <c r="I890" t="s">
        <v>15503</v>
      </c>
      <c r="J890" t="s">
        <v>1006</v>
      </c>
      <c r="K890" t="s">
        <v>74</v>
      </c>
      <c r="L890" t="s">
        <v>74</v>
      </c>
      <c r="M890" t="s">
        <v>78</v>
      </c>
      <c r="N890" t="s">
        <v>79</v>
      </c>
      <c r="O890" t="s">
        <v>74</v>
      </c>
      <c r="P890" t="s">
        <v>74</v>
      </c>
      <c r="Q890" t="s">
        <v>74</v>
      </c>
      <c r="R890" t="s">
        <v>74</v>
      </c>
      <c r="S890" t="s">
        <v>74</v>
      </c>
      <c r="T890" t="s">
        <v>74</v>
      </c>
      <c r="U890" t="s">
        <v>15504</v>
      </c>
      <c r="V890" t="s">
        <v>15505</v>
      </c>
      <c r="W890" t="s">
        <v>15506</v>
      </c>
      <c r="X890" t="s">
        <v>15507</v>
      </c>
      <c r="Y890" t="s">
        <v>15508</v>
      </c>
      <c r="Z890" t="s">
        <v>74</v>
      </c>
      <c r="AA890" t="s">
        <v>15509</v>
      </c>
      <c r="AB890" t="s">
        <v>15510</v>
      </c>
      <c r="AC890" t="s">
        <v>15511</v>
      </c>
      <c r="AD890" t="s">
        <v>15512</v>
      </c>
      <c r="AE890" t="s">
        <v>15513</v>
      </c>
      <c r="AF890" t="s">
        <v>74</v>
      </c>
      <c r="AG890">
        <v>59</v>
      </c>
      <c r="AH890">
        <v>472</v>
      </c>
      <c r="AI890">
        <v>515</v>
      </c>
      <c r="AJ890">
        <v>5</v>
      </c>
      <c r="AK890">
        <v>168</v>
      </c>
      <c r="AL890" t="s">
        <v>1018</v>
      </c>
      <c r="AM890" t="s">
        <v>1019</v>
      </c>
      <c r="AN890" t="s">
        <v>1020</v>
      </c>
      <c r="AO890" t="s">
        <v>1021</v>
      </c>
      <c r="AP890" t="s">
        <v>1022</v>
      </c>
      <c r="AQ890" t="s">
        <v>74</v>
      </c>
      <c r="AR890" t="s">
        <v>1023</v>
      </c>
      <c r="AS890" t="s">
        <v>1024</v>
      </c>
      <c r="AT890" t="s">
        <v>14500</v>
      </c>
      <c r="AU890">
        <v>2010</v>
      </c>
      <c r="AV890">
        <v>23</v>
      </c>
      <c r="AW890">
        <v>23</v>
      </c>
      <c r="AX890" t="s">
        <v>74</v>
      </c>
      <c r="AY890" t="s">
        <v>74</v>
      </c>
      <c r="AZ890" t="s">
        <v>74</v>
      </c>
      <c r="BA890" t="s">
        <v>74</v>
      </c>
      <c r="BB890">
        <v>6336</v>
      </c>
      <c r="BC890">
        <v>6351</v>
      </c>
      <c r="BD890" t="s">
        <v>74</v>
      </c>
      <c r="BE890" t="s">
        <v>15514</v>
      </c>
      <c r="BF890" t="str">
        <f>HYPERLINK("http://dx.doi.org/10.1175/2010JCLI3682.1","http://dx.doi.org/10.1175/2010JCLI3682.1")</f>
        <v>http://dx.doi.org/10.1175/2010JCLI3682.1</v>
      </c>
      <c r="BG890" t="s">
        <v>74</v>
      </c>
      <c r="BH890" t="s">
        <v>74</v>
      </c>
      <c r="BI890">
        <v>16</v>
      </c>
      <c r="BJ890" t="s">
        <v>603</v>
      </c>
      <c r="BK890" t="s">
        <v>100</v>
      </c>
      <c r="BL890" t="s">
        <v>603</v>
      </c>
      <c r="BM890" t="s">
        <v>15515</v>
      </c>
      <c r="BN890" t="s">
        <v>74</v>
      </c>
      <c r="BO890" t="s">
        <v>252</v>
      </c>
      <c r="BP890" t="s">
        <v>74</v>
      </c>
      <c r="BQ890" t="s">
        <v>74</v>
      </c>
      <c r="BR890" t="s">
        <v>103</v>
      </c>
      <c r="BS890" t="s">
        <v>15516</v>
      </c>
      <c r="BT890" t="str">
        <f>HYPERLINK("https%3A%2F%2Fwww.webofscience.com%2Fwos%2Fwoscc%2Ffull-record%2FWOS:000285432800014","View Full Record in Web of Science")</f>
        <v>View Full Record in Web of Science</v>
      </c>
    </row>
    <row r="891" spans="1:72" x14ac:dyDescent="0.15">
      <c r="A891" t="s">
        <v>72</v>
      </c>
      <c r="B891" t="s">
        <v>15517</v>
      </c>
      <c r="C891" t="s">
        <v>74</v>
      </c>
      <c r="D891" t="s">
        <v>74</v>
      </c>
      <c r="E891" t="s">
        <v>74</v>
      </c>
      <c r="F891" t="s">
        <v>15518</v>
      </c>
      <c r="G891" t="s">
        <v>74</v>
      </c>
      <c r="H891" t="s">
        <v>74</v>
      </c>
      <c r="I891" t="s">
        <v>15519</v>
      </c>
      <c r="J891" t="s">
        <v>9929</v>
      </c>
      <c r="K891" t="s">
        <v>74</v>
      </c>
      <c r="L891" t="s">
        <v>74</v>
      </c>
      <c r="M891" t="s">
        <v>78</v>
      </c>
      <c r="N891" t="s">
        <v>79</v>
      </c>
      <c r="O891" t="s">
        <v>74</v>
      </c>
      <c r="P891" t="s">
        <v>74</v>
      </c>
      <c r="Q891" t="s">
        <v>74</v>
      </c>
      <c r="R891" t="s">
        <v>74</v>
      </c>
      <c r="S891" t="s">
        <v>74</v>
      </c>
      <c r="T891" t="s">
        <v>15520</v>
      </c>
      <c r="U891" t="s">
        <v>15521</v>
      </c>
      <c r="V891" t="s">
        <v>15522</v>
      </c>
      <c r="W891" t="s">
        <v>15523</v>
      </c>
      <c r="X891" t="s">
        <v>15524</v>
      </c>
      <c r="Y891" t="s">
        <v>15525</v>
      </c>
      <c r="Z891" t="s">
        <v>15526</v>
      </c>
      <c r="AA891" t="s">
        <v>15527</v>
      </c>
      <c r="AB891" t="s">
        <v>15528</v>
      </c>
      <c r="AC891" t="s">
        <v>15529</v>
      </c>
      <c r="AD891" t="s">
        <v>15529</v>
      </c>
      <c r="AE891" t="s">
        <v>15530</v>
      </c>
      <c r="AF891" t="s">
        <v>74</v>
      </c>
      <c r="AG891">
        <v>29</v>
      </c>
      <c r="AH891">
        <v>9</v>
      </c>
      <c r="AI891">
        <v>9</v>
      </c>
      <c r="AJ891">
        <v>0</v>
      </c>
      <c r="AK891">
        <v>6</v>
      </c>
      <c r="AL891" t="s">
        <v>270</v>
      </c>
      <c r="AM891" t="s">
        <v>91</v>
      </c>
      <c r="AN891" t="s">
        <v>320</v>
      </c>
      <c r="AO891" t="s">
        <v>9942</v>
      </c>
      <c r="AP891" t="s">
        <v>74</v>
      </c>
      <c r="AQ891" t="s">
        <v>74</v>
      </c>
      <c r="AR891" t="s">
        <v>9944</v>
      </c>
      <c r="AS891" t="s">
        <v>9945</v>
      </c>
      <c r="AT891" t="s">
        <v>14347</v>
      </c>
      <c r="AU891">
        <v>2010</v>
      </c>
      <c r="AV891">
        <v>84</v>
      </c>
      <c r="AW891">
        <v>12</v>
      </c>
      <c r="AX891" t="s">
        <v>74</v>
      </c>
      <c r="AY891" t="s">
        <v>74</v>
      </c>
      <c r="AZ891" t="s">
        <v>74</v>
      </c>
      <c r="BA891" t="s">
        <v>74</v>
      </c>
      <c r="BB891">
        <v>715</v>
      </c>
      <c r="BC891">
        <v>729</v>
      </c>
      <c r="BD891" t="s">
        <v>74</v>
      </c>
      <c r="BE891" t="s">
        <v>15531</v>
      </c>
      <c r="BF891" t="str">
        <f>HYPERLINK("http://dx.doi.org/10.1007/s00190-010-0405-3","http://dx.doi.org/10.1007/s00190-010-0405-3")</f>
        <v>http://dx.doi.org/10.1007/s00190-010-0405-3</v>
      </c>
      <c r="BG891" t="s">
        <v>74</v>
      </c>
      <c r="BH891" t="s">
        <v>74</v>
      </c>
      <c r="BI891">
        <v>15</v>
      </c>
      <c r="BJ891" t="s">
        <v>9947</v>
      </c>
      <c r="BK891" t="s">
        <v>100</v>
      </c>
      <c r="BL891" t="s">
        <v>9947</v>
      </c>
      <c r="BM891" t="s">
        <v>15532</v>
      </c>
      <c r="BN891" t="s">
        <v>74</v>
      </c>
      <c r="BO891" t="s">
        <v>74</v>
      </c>
      <c r="BP891" t="s">
        <v>74</v>
      </c>
      <c r="BQ891" t="s">
        <v>74</v>
      </c>
      <c r="BR891" t="s">
        <v>103</v>
      </c>
      <c r="BS891" t="s">
        <v>15533</v>
      </c>
      <c r="BT891" t="str">
        <f>HYPERLINK("https%3A%2F%2Fwww.webofscience.com%2Fwos%2Fwoscc%2Ffull-record%2FWOS:000284331600002","View Full Record in Web of Science")</f>
        <v>View Full Record in Web of Science</v>
      </c>
    </row>
    <row r="892" spans="1:72" x14ac:dyDescent="0.15">
      <c r="A892" t="s">
        <v>72</v>
      </c>
      <c r="B892" t="s">
        <v>15534</v>
      </c>
      <c r="C892" t="s">
        <v>74</v>
      </c>
      <c r="D892" t="s">
        <v>74</v>
      </c>
      <c r="E892" t="s">
        <v>74</v>
      </c>
      <c r="F892" t="s">
        <v>15535</v>
      </c>
      <c r="G892" t="s">
        <v>74</v>
      </c>
      <c r="H892" t="s">
        <v>74</v>
      </c>
      <c r="I892" t="s">
        <v>15536</v>
      </c>
      <c r="J892" t="s">
        <v>1677</v>
      </c>
      <c r="K892" t="s">
        <v>74</v>
      </c>
      <c r="L892" t="s">
        <v>74</v>
      </c>
      <c r="M892" t="s">
        <v>78</v>
      </c>
      <c r="N892" t="s">
        <v>79</v>
      </c>
      <c r="O892" t="s">
        <v>74</v>
      </c>
      <c r="P892" t="s">
        <v>74</v>
      </c>
      <c r="Q892" t="s">
        <v>74</v>
      </c>
      <c r="R892" t="s">
        <v>74</v>
      </c>
      <c r="S892" t="s">
        <v>74</v>
      </c>
      <c r="T892" t="s">
        <v>74</v>
      </c>
      <c r="U892" t="s">
        <v>15537</v>
      </c>
      <c r="V892" t="s">
        <v>15538</v>
      </c>
      <c r="W892" t="s">
        <v>15539</v>
      </c>
      <c r="X892" t="s">
        <v>15540</v>
      </c>
      <c r="Y892" t="s">
        <v>15541</v>
      </c>
      <c r="Z892" t="s">
        <v>15542</v>
      </c>
      <c r="AA892" t="s">
        <v>15543</v>
      </c>
      <c r="AB892" t="s">
        <v>15544</v>
      </c>
      <c r="AC892" t="s">
        <v>15545</v>
      </c>
      <c r="AD892" t="s">
        <v>15546</v>
      </c>
      <c r="AE892" t="s">
        <v>15547</v>
      </c>
      <c r="AF892" t="s">
        <v>74</v>
      </c>
      <c r="AG892">
        <v>45</v>
      </c>
      <c r="AH892">
        <v>62</v>
      </c>
      <c r="AI892">
        <v>66</v>
      </c>
      <c r="AJ892">
        <v>0</v>
      </c>
      <c r="AK892">
        <v>38</v>
      </c>
      <c r="AL892" t="s">
        <v>240</v>
      </c>
      <c r="AM892" t="s">
        <v>241</v>
      </c>
      <c r="AN892" t="s">
        <v>242</v>
      </c>
      <c r="AO892" t="s">
        <v>1688</v>
      </c>
      <c r="AP892" t="s">
        <v>1689</v>
      </c>
      <c r="AQ892" t="s">
        <v>74</v>
      </c>
      <c r="AR892" t="s">
        <v>1690</v>
      </c>
      <c r="AS892" t="s">
        <v>1691</v>
      </c>
      <c r="AT892" t="s">
        <v>14500</v>
      </c>
      <c r="AU892">
        <v>2010</v>
      </c>
      <c r="AV892">
        <v>115</v>
      </c>
      <c r="AW892" t="s">
        <v>74</v>
      </c>
      <c r="AX892" t="s">
        <v>74</v>
      </c>
      <c r="AY892" t="s">
        <v>74</v>
      </c>
      <c r="AZ892" t="s">
        <v>74</v>
      </c>
      <c r="BA892" t="s">
        <v>74</v>
      </c>
      <c r="BB892" t="s">
        <v>74</v>
      </c>
      <c r="BC892" t="s">
        <v>74</v>
      </c>
      <c r="BD892" t="s">
        <v>15548</v>
      </c>
      <c r="BE892" t="s">
        <v>15549</v>
      </c>
      <c r="BF892" t="str">
        <f>HYPERLINK("http://dx.doi.org/10.1029/2010JD014644","http://dx.doi.org/10.1029/2010JD014644")</f>
        <v>http://dx.doi.org/10.1029/2010JD014644</v>
      </c>
      <c r="BG892" t="s">
        <v>74</v>
      </c>
      <c r="BH892" t="s">
        <v>74</v>
      </c>
      <c r="BI892">
        <v>9</v>
      </c>
      <c r="BJ892" t="s">
        <v>603</v>
      </c>
      <c r="BK892" t="s">
        <v>100</v>
      </c>
      <c r="BL892" t="s">
        <v>603</v>
      </c>
      <c r="BM892" t="s">
        <v>15550</v>
      </c>
      <c r="BN892" t="s">
        <v>74</v>
      </c>
      <c r="BO892" t="s">
        <v>9686</v>
      </c>
      <c r="BP892" t="s">
        <v>74</v>
      </c>
      <c r="BQ892" t="s">
        <v>74</v>
      </c>
      <c r="BR892" t="s">
        <v>103</v>
      </c>
      <c r="BS892" t="s">
        <v>15551</v>
      </c>
      <c r="BT892" t="str">
        <f>HYPERLINK("https%3A%2F%2Fwww.webofscience.com%2Fwos%2Fwoscc%2Ffull-record%2FWOS:000285016800001","View Full Record in Web of Science")</f>
        <v>View Full Record in Web of Science</v>
      </c>
    </row>
    <row r="893" spans="1:72" x14ac:dyDescent="0.15">
      <c r="A893" t="s">
        <v>72</v>
      </c>
      <c r="B893" t="s">
        <v>15552</v>
      </c>
      <c r="C893" t="s">
        <v>74</v>
      </c>
      <c r="D893" t="s">
        <v>74</v>
      </c>
      <c r="E893" t="s">
        <v>74</v>
      </c>
      <c r="F893" t="s">
        <v>15553</v>
      </c>
      <c r="G893" t="s">
        <v>74</v>
      </c>
      <c r="H893" t="s">
        <v>74</v>
      </c>
      <c r="I893" t="s">
        <v>15554</v>
      </c>
      <c r="J893" t="s">
        <v>1138</v>
      </c>
      <c r="K893" t="s">
        <v>74</v>
      </c>
      <c r="L893" t="s">
        <v>74</v>
      </c>
      <c r="M893" t="s">
        <v>78</v>
      </c>
      <c r="N893" t="s">
        <v>79</v>
      </c>
      <c r="O893" t="s">
        <v>74</v>
      </c>
      <c r="P893" t="s">
        <v>74</v>
      </c>
      <c r="Q893" t="s">
        <v>74</v>
      </c>
      <c r="R893" t="s">
        <v>74</v>
      </c>
      <c r="S893" t="s">
        <v>74</v>
      </c>
      <c r="T893" t="s">
        <v>74</v>
      </c>
      <c r="U893" t="s">
        <v>15555</v>
      </c>
      <c r="V893" t="s">
        <v>15556</v>
      </c>
      <c r="W893" t="s">
        <v>15557</v>
      </c>
      <c r="X893" t="s">
        <v>15558</v>
      </c>
      <c r="Y893" t="s">
        <v>15559</v>
      </c>
      <c r="Z893" t="s">
        <v>15560</v>
      </c>
      <c r="AA893" t="s">
        <v>15561</v>
      </c>
      <c r="AB893" t="s">
        <v>15562</v>
      </c>
      <c r="AC893" t="s">
        <v>15563</v>
      </c>
      <c r="AD893" t="s">
        <v>15564</v>
      </c>
      <c r="AE893" t="s">
        <v>15565</v>
      </c>
      <c r="AF893" t="s">
        <v>74</v>
      </c>
      <c r="AG893">
        <v>60</v>
      </c>
      <c r="AH893">
        <v>251</v>
      </c>
      <c r="AI893">
        <v>292</v>
      </c>
      <c r="AJ893">
        <v>5</v>
      </c>
      <c r="AK893">
        <v>110</v>
      </c>
      <c r="AL893" t="s">
        <v>1018</v>
      </c>
      <c r="AM893" t="s">
        <v>1019</v>
      </c>
      <c r="AN893" t="s">
        <v>1150</v>
      </c>
      <c r="AO893" t="s">
        <v>1151</v>
      </c>
      <c r="AP893" t="s">
        <v>1152</v>
      </c>
      <c r="AQ893" t="s">
        <v>74</v>
      </c>
      <c r="AR893" t="s">
        <v>1153</v>
      </c>
      <c r="AS893" t="s">
        <v>1154</v>
      </c>
      <c r="AT893" t="s">
        <v>14347</v>
      </c>
      <c r="AU893">
        <v>2010</v>
      </c>
      <c r="AV893">
        <v>40</v>
      </c>
      <c r="AW893">
        <v>12</v>
      </c>
      <c r="AX893" t="s">
        <v>74</v>
      </c>
      <c r="AY893" t="s">
        <v>74</v>
      </c>
      <c r="AZ893" t="s">
        <v>74</v>
      </c>
      <c r="BA893" t="s">
        <v>74</v>
      </c>
      <c r="BB893">
        <v>2743</v>
      </c>
      <c r="BC893">
        <v>2756</v>
      </c>
      <c r="BD893" t="s">
        <v>74</v>
      </c>
      <c r="BE893" t="s">
        <v>15566</v>
      </c>
      <c r="BF893" t="str">
        <f>HYPERLINK("http://dx.doi.org/10.1175/2010JPO4339.1","http://dx.doi.org/10.1175/2010JPO4339.1")</f>
        <v>http://dx.doi.org/10.1175/2010JPO4339.1</v>
      </c>
      <c r="BG893" t="s">
        <v>74</v>
      </c>
      <c r="BH893" t="s">
        <v>74</v>
      </c>
      <c r="BI893">
        <v>14</v>
      </c>
      <c r="BJ893" t="s">
        <v>250</v>
      </c>
      <c r="BK893" t="s">
        <v>100</v>
      </c>
      <c r="BL893" t="s">
        <v>250</v>
      </c>
      <c r="BM893" t="s">
        <v>15567</v>
      </c>
      <c r="BN893" t="s">
        <v>74</v>
      </c>
      <c r="BO893" t="s">
        <v>375</v>
      </c>
      <c r="BP893" t="s">
        <v>74</v>
      </c>
      <c r="BQ893" t="s">
        <v>74</v>
      </c>
      <c r="BR893" t="s">
        <v>103</v>
      </c>
      <c r="BS893" t="s">
        <v>15568</v>
      </c>
      <c r="BT893" t="str">
        <f>HYPERLINK("https%3A%2F%2Fwww.webofscience.com%2Fwos%2Fwoscc%2Ffull-record%2FWOS:000286362800011","View Full Record in Web of Science")</f>
        <v>View Full Record in Web of Science</v>
      </c>
    </row>
    <row r="894" spans="1:72" x14ac:dyDescent="0.15">
      <c r="A894" t="s">
        <v>72</v>
      </c>
      <c r="B894" t="s">
        <v>15569</v>
      </c>
      <c r="C894" t="s">
        <v>74</v>
      </c>
      <c r="D894" t="s">
        <v>74</v>
      </c>
      <c r="E894" t="s">
        <v>74</v>
      </c>
      <c r="F894" t="s">
        <v>15570</v>
      </c>
      <c r="G894" t="s">
        <v>74</v>
      </c>
      <c r="H894" t="s">
        <v>74</v>
      </c>
      <c r="I894" t="s">
        <v>15571</v>
      </c>
      <c r="J894" t="s">
        <v>10422</v>
      </c>
      <c r="K894" t="s">
        <v>74</v>
      </c>
      <c r="L894" t="s">
        <v>74</v>
      </c>
      <c r="M894" t="s">
        <v>78</v>
      </c>
      <c r="N894" t="s">
        <v>79</v>
      </c>
      <c r="O894" t="s">
        <v>74</v>
      </c>
      <c r="P894" t="s">
        <v>74</v>
      </c>
      <c r="Q894" t="s">
        <v>74</v>
      </c>
      <c r="R894" t="s">
        <v>74</v>
      </c>
      <c r="S894" t="s">
        <v>74</v>
      </c>
      <c r="T894" t="s">
        <v>15572</v>
      </c>
      <c r="U894" t="s">
        <v>15573</v>
      </c>
      <c r="V894" t="s">
        <v>15574</v>
      </c>
      <c r="W894" t="s">
        <v>15575</v>
      </c>
      <c r="X894" t="s">
        <v>15576</v>
      </c>
      <c r="Y894" t="s">
        <v>15577</v>
      </c>
      <c r="Z894" t="s">
        <v>15578</v>
      </c>
      <c r="AA894" t="s">
        <v>15579</v>
      </c>
      <c r="AB894" t="s">
        <v>15580</v>
      </c>
      <c r="AC894" t="s">
        <v>15581</v>
      </c>
      <c r="AD894" t="s">
        <v>15582</v>
      </c>
      <c r="AE894" t="s">
        <v>15583</v>
      </c>
      <c r="AF894" t="s">
        <v>74</v>
      </c>
      <c r="AG894">
        <v>92</v>
      </c>
      <c r="AH894">
        <v>54</v>
      </c>
      <c r="AI894">
        <v>59</v>
      </c>
      <c r="AJ894">
        <v>1</v>
      </c>
      <c r="AK894">
        <v>19</v>
      </c>
      <c r="AL894" t="s">
        <v>9146</v>
      </c>
      <c r="AM894" t="s">
        <v>719</v>
      </c>
      <c r="AN894" t="s">
        <v>9147</v>
      </c>
      <c r="AO894" t="s">
        <v>10432</v>
      </c>
      <c r="AP894" t="s">
        <v>10433</v>
      </c>
      <c r="AQ894" t="s">
        <v>74</v>
      </c>
      <c r="AR894" t="s">
        <v>10434</v>
      </c>
      <c r="AS894" t="s">
        <v>10435</v>
      </c>
      <c r="AT894" t="s">
        <v>14347</v>
      </c>
      <c r="AU894">
        <v>2010</v>
      </c>
      <c r="AV894">
        <v>32</v>
      </c>
      <c r="AW894">
        <v>12</v>
      </c>
      <c r="AX894" t="s">
        <v>74</v>
      </c>
      <c r="AY894" t="s">
        <v>74</v>
      </c>
      <c r="AZ894" t="s">
        <v>74</v>
      </c>
      <c r="BA894" t="s">
        <v>74</v>
      </c>
      <c r="BB894">
        <v>1609</v>
      </c>
      <c r="BC894">
        <v>1617</v>
      </c>
      <c r="BD894" t="s">
        <v>74</v>
      </c>
      <c r="BE894" t="s">
        <v>15584</v>
      </c>
      <c r="BF894" t="str">
        <f>HYPERLINK("http://dx.doi.org/10.1093/plankt/fbq104","http://dx.doi.org/10.1093/plankt/fbq104")</f>
        <v>http://dx.doi.org/10.1093/plankt/fbq104</v>
      </c>
      <c r="BG894" t="s">
        <v>74</v>
      </c>
      <c r="BH894" t="s">
        <v>74</v>
      </c>
      <c r="BI894">
        <v>9</v>
      </c>
      <c r="BJ894" t="s">
        <v>3751</v>
      </c>
      <c r="BK894" t="s">
        <v>100</v>
      </c>
      <c r="BL894" t="s">
        <v>3751</v>
      </c>
      <c r="BM894" t="s">
        <v>15585</v>
      </c>
      <c r="BN894" t="s">
        <v>74</v>
      </c>
      <c r="BO894" t="s">
        <v>375</v>
      </c>
      <c r="BP894" t="s">
        <v>74</v>
      </c>
      <c r="BQ894" t="s">
        <v>74</v>
      </c>
      <c r="BR894" t="s">
        <v>103</v>
      </c>
      <c r="BS894" t="s">
        <v>15586</v>
      </c>
      <c r="BT894" t="str">
        <f>HYPERLINK("https%3A%2F%2Fwww.webofscience.com%2Fwos%2Fwoscc%2Ffull-record%2FWOS:000283925000001","View Full Record in Web of Science")</f>
        <v>View Full Record in Web of Science</v>
      </c>
    </row>
    <row r="895" spans="1:72" x14ac:dyDescent="0.15">
      <c r="A895" t="s">
        <v>72</v>
      </c>
      <c r="B895" t="s">
        <v>15587</v>
      </c>
      <c r="C895" t="s">
        <v>74</v>
      </c>
      <c r="D895" t="s">
        <v>74</v>
      </c>
      <c r="E895" t="s">
        <v>74</v>
      </c>
      <c r="F895" t="s">
        <v>15588</v>
      </c>
      <c r="G895" t="s">
        <v>74</v>
      </c>
      <c r="H895" t="s">
        <v>74</v>
      </c>
      <c r="I895" t="s">
        <v>15589</v>
      </c>
      <c r="J895" t="s">
        <v>4879</v>
      </c>
      <c r="K895" t="s">
        <v>74</v>
      </c>
      <c r="L895" t="s">
        <v>74</v>
      </c>
      <c r="M895" t="s">
        <v>78</v>
      </c>
      <c r="N895" t="s">
        <v>79</v>
      </c>
      <c r="O895" t="s">
        <v>74</v>
      </c>
      <c r="P895" t="s">
        <v>74</v>
      </c>
      <c r="Q895" t="s">
        <v>74</v>
      </c>
      <c r="R895" t="s">
        <v>74</v>
      </c>
      <c r="S895" t="s">
        <v>74</v>
      </c>
      <c r="T895" t="s">
        <v>15590</v>
      </c>
      <c r="U895" t="s">
        <v>15591</v>
      </c>
      <c r="V895" t="s">
        <v>15592</v>
      </c>
      <c r="W895" t="s">
        <v>15593</v>
      </c>
      <c r="X895" t="s">
        <v>15594</v>
      </c>
      <c r="Y895" t="s">
        <v>15595</v>
      </c>
      <c r="Z895" t="s">
        <v>15596</v>
      </c>
      <c r="AA895" t="s">
        <v>15597</v>
      </c>
      <c r="AB895" t="s">
        <v>15598</v>
      </c>
      <c r="AC895" t="s">
        <v>15599</v>
      </c>
      <c r="AD895" t="s">
        <v>12238</v>
      </c>
      <c r="AE895" t="s">
        <v>15600</v>
      </c>
      <c r="AF895" t="s">
        <v>74</v>
      </c>
      <c r="AG895">
        <v>47</v>
      </c>
      <c r="AH895">
        <v>75</v>
      </c>
      <c r="AI895">
        <v>79</v>
      </c>
      <c r="AJ895">
        <v>1</v>
      </c>
      <c r="AK895">
        <v>43</v>
      </c>
      <c r="AL895" t="s">
        <v>214</v>
      </c>
      <c r="AM895" t="s">
        <v>215</v>
      </c>
      <c r="AN895" t="s">
        <v>216</v>
      </c>
      <c r="AO895" t="s">
        <v>4892</v>
      </c>
      <c r="AP895" t="s">
        <v>4893</v>
      </c>
      <c r="AQ895" t="s">
        <v>74</v>
      </c>
      <c r="AR895" t="s">
        <v>4894</v>
      </c>
      <c r="AS895" t="s">
        <v>4895</v>
      </c>
      <c r="AT895" t="s">
        <v>14347</v>
      </c>
      <c r="AU895">
        <v>2010</v>
      </c>
      <c r="AV895">
        <v>25</v>
      </c>
      <c r="AW895">
        <v>8</v>
      </c>
      <c r="AX895" t="s">
        <v>74</v>
      </c>
      <c r="AY895" t="s">
        <v>74</v>
      </c>
      <c r="AZ895" t="s">
        <v>74</v>
      </c>
      <c r="BA895" t="s">
        <v>74</v>
      </c>
      <c r="BB895">
        <v>1327</v>
      </c>
      <c r="BC895">
        <v>1337</v>
      </c>
      <c r="BD895" t="s">
        <v>74</v>
      </c>
      <c r="BE895" t="s">
        <v>15601</v>
      </c>
      <c r="BF895" t="str">
        <f>HYPERLINK("http://dx.doi.org/10.1002/jqs.1418","http://dx.doi.org/10.1002/jqs.1418")</f>
        <v>http://dx.doi.org/10.1002/jqs.1418</v>
      </c>
      <c r="BG895" t="s">
        <v>74</v>
      </c>
      <c r="BH895" t="s">
        <v>74</v>
      </c>
      <c r="BI895">
        <v>11</v>
      </c>
      <c r="BJ895" t="s">
        <v>222</v>
      </c>
      <c r="BK895" t="s">
        <v>100</v>
      </c>
      <c r="BL895" t="s">
        <v>223</v>
      </c>
      <c r="BM895" t="s">
        <v>15602</v>
      </c>
      <c r="BN895" t="s">
        <v>74</v>
      </c>
      <c r="BO895" t="s">
        <v>252</v>
      </c>
      <c r="BP895" t="s">
        <v>74</v>
      </c>
      <c r="BQ895" t="s">
        <v>74</v>
      </c>
      <c r="BR895" t="s">
        <v>103</v>
      </c>
      <c r="BS895" t="s">
        <v>15603</v>
      </c>
      <c r="BT895" t="str">
        <f>HYPERLINK("https%3A%2F%2Fwww.webofscience.com%2Fwos%2Fwoscc%2Ffull-record%2FWOS:000285282500013","View Full Record in Web of Science")</f>
        <v>View Full Record in Web of Science</v>
      </c>
    </row>
    <row r="896" spans="1:72" x14ac:dyDescent="0.15">
      <c r="A896" t="s">
        <v>72</v>
      </c>
      <c r="B896" t="s">
        <v>15604</v>
      </c>
      <c r="C896" t="s">
        <v>74</v>
      </c>
      <c r="D896" t="s">
        <v>74</v>
      </c>
      <c r="E896" t="s">
        <v>74</v>
      </c>
      <c r="F896" t="s">
        <v>15605</v>
      </c>
      <c r="G896" t="s">
        <v>74</v>
      </c>
      <c r="H896" t="s">
        <v>74</v>
      </c>
      <c r="I896" t="s">
        <v>15606</v>
      </c>
      <c r="J896" t="s">
        <v>15607</v>
      </c>
      <c r="K896" t="s">
        <v>74</v>
      </c>
      <c r="L896" t="s">
        <v>74</v>
      </c>
      <c r="M896" t="s">
        <v>78</v>
      </c>
      <c r="N896" t="s">
        <v>79</v>
      </c>
      <c r="O896" t="s">
        <v>74</v>
      </c>
      <c r="P896" t="s">
        <v>74</v>
      </c>
      <c r="Q896" t="s">
        <v>74</v>
      </c>
      <c r="R896" t="s">
        <v>74</v>
      </c>
      <c r="S896" t="s">
        <v>74</v>
      </c>
      <c r="T896" t="s">
        <v>15608</v>
      </c>
      <c r="U896" t="s">
        <v>15609</v>
      </c>
      <c r="V896" t="s">
        <v>15610</v>
      </c>
      <c r="W896" t="s">
        <v>15611</v>
      </c>
      <c r="X896" t="s">
        <v>15612</v>
      </c>
      <c r="Y896" t="s">
        <v>15613</v>
      </c>
      <c r="Z896" t="s">
        <v>15614</v>
      </c>
      <c r="AA896" t="s">
        <v>15615</v>
      </c>
      <c r="AB896" t="s">
        <v>15616</v>
      </c>
      <c r="AC896" t="s">
        <v>74</v>
      </c>
      <c r="AD896" t="s">
        <v>74</v>
      </c>
      <c r="AE896" t="s">
        <v>74</v>
      </c>
      <c r="AF896" t="s">
        <v>74</v>
      </c>
      <c r="AG896">
        <v>53</v>
      </c>
      <c r="AH896">
        <v>67</v>
      </c>
      <c r="AI896">
        <v>72</v>
      </c>
      <c r="AJ896">
        <v>0</v>
      </c>
      <c r="AK896">
        <v>20</v>
      </c>
      <c r="AL896" t="s">
        <v>7435</v>
      </c>
      <c r="AM896" t="s">
        <v>2544</v>
      </c>
      <c r="AN896" t="s">
        <v>7436</v>
      </c>
      <c r="AO896" t="s">
        <v>15617</v>
      </c>
      <c r="AP896" t="s">
        <v>15618</v>
      </c>
      <c r="AQ896" t="s">
        <v>74</v>
      </c>
      <c r="AR896" t="s">
        <v>15619</v>
      </c>
      <c r="AS896" t="s">
        <v>15620</v>
      </c>
      <c r="AT896" t="s">
        <v>14347</v>
      </c>
      <c r="AU896">
        <v>2010</v>
      </c>
      <c r="AV896">
        <v>172</v>
      </c>
      <c r="AW896">
        <v>3</v>
      </c>
      <c r="AX896" t="s">
        <v>74</v>
      </c>
      <c r="AY896" t="s">
        <v>74</v>
      </c>
      <c r="AZ896" t="s">
        <v>74</v>
      </c>
      <c r="BA896" t="s">
        <v>74</v>
      </c>
      <c r="BB896">
        <v>343</v>
      </c>
      <c r="BC896">
        <v>352</v>
      </c>
      <c r="BD896" t="s">
        <v>74</v>
      </c>
      <c r="BE896" t="s">
        <v>15621</v>
      </c>
      <c r="BF896" t="str">
        <f>HYPERLINK("http://dx.doi.org/10.1016/j.jsb.2010.08.008","http://dx.doi.org/10.1016/j.jsb.2010.08.008")</f>
        <v>http://dx.doi.org/10.1016/j.jsb.2010.08.008</v>
      </c>
      <c r="BG896" t="s">
        <v>74</v>
      </c>
      <c r="BH896" t="s">
        <v>74</v>
      </c>
      <c r="BI896">
        <v>10</v>
      </c>
      <c r="BJ896" t="s">
        <v>15622</v>
      </c>
      <c r="BK896" t="s">
        <v>100</v>
      </c>
      <c r="BL896" t="s">
        <v>15622</v>
      </c>
      <c r="BM896" t="s">
        <v>15623</v>
      </c>
      <c r="BN896">
        <v>20732427</v>
      </c>
      <c r="BO896" t="s">
        <v>74</v>
      </c>
      <c r="BP896" t="s">
        <v>74</v>
      </c>
      <c r="BQ896" t="s">
        <v>74</v>
      </c>
      <c r="BR896" t="s">
        <v>103</v>
      </c>
      <c r="BS896" t="s">
        <v>15624</v>
      </c>
      <c r="BT896" t="str">
        <f>HYPERLINK("https%3A%2F%2Fwww.webofscience.com%2Fwos%2Fwoscc%2Ffull-record%2FWOS:000283964000017","View Full Record in Web of Science")</f>
        <v>View Full Record in Web of Science</v>
      </c>
    </row>
    <row r="897" spans="1:72" x14ac:dyDescent="0.15">
      <c r="A897" t="s">
        <v>72</v>
      </c>
      <c r="B897" t="s">
        <v>15625</v>
      </c>
      <c r="C897" t="s">
        <v>74</v>
      </c>
      <c r="D897" t="s">
        <v>74</v>
      </c>
      <c r="E897" t="s">
        <v>74</v>
      </c>
      <c r="F897" t="s">
        <v>15626</v>
      </c>
      <c r="G897" t="s">
        <v>74</v>
      </c>
      <c r="H897" t="s">
        <v>74</v>
      </c>
      <c r="I897" t="s">
        <v>15627</v>
      </c>
      <c r="J897" t="s">
        <v>15628</v>
      </c>
      <c r="K897" t="s">
        <v>74</v>
      </c>
      <c r="L897" t="s">
        <v>74</v>
      </c>
      <c r="M897" t="s">
        <v>78</v>
      </c>
      <c r="N897" t="s">
        <v>79</v>
      </c>
      <c r="O897" t="s">
        <v>74</v>
      </c>
      <c r="P897" t="s">
        <v>74</v>
      </c>
      <c r="Q897" t="s">
        <v>74</v>
      </c>
      <c r="R897" t="s">
        <v>74</v>
      </c>
      <c r="S897" t="s">
        <v>74</v>
      </c>
      <c r="T897" t="s">
        <v>74</v>
      </c>
      <c r="U897" t="s">
        <v>15629</v>
      </c>
      <c r="V897" t="s">
        <v>15630</v>
      </c>
      <c r="W897" t="s">
        <v>15631</v>
      </c>
      <c r="X897" t="s">
        <v>15632</v>
      </c>
      <c r="Y897" t="s">
        <v>15633</v>
      </c>
      <c r="Z897" t="s">
        <v>15634</v>
      </c>
      <c r="AA897" t="s">
        <v>15635</v>
      </c>
      <c r="AB897" t="s">
        <v>15636</v>
      </c>
      <c r="AC897" t="s">
        <v>15637</v>
      </c>
      <c r="AD897" t="s">
        <v>15638</v>
      </c>
      <c r="AE897" t="s">
        <v>15639</v>
      </c>
      <c r="AF897" t="s">
        <v>74</v>
      </c>
      <c r="AG897">
        <v>72</v>
      </c>
      <c r="AH897">
        <v>31</v>
      </c>
      <c r="AI897">
        <v>35</v>
      </c>
      <c r="AJ897">
        <v>0</v>
      </c>
      <c r="AK897">
        <v>13</v>
      </c>
      <c r="AL897" t="s">
        <v>13012</v>
      </c>
      <c r="AM897" t="s">
        <v>2397</v>
      </c>
      <c r="AN897" t="s">
        <v>13013</v>
      </c>
      <c r="AO897" t="s">
        <v>15640</v>
      </c>
      <c r="AP897" t="s">
        <v>15641</v>
      </c>
      <c r="AQ897" t="s">
        <v>74</v>
      </c>
      <c r="AR897" t="s">
        <v>15642</v>
      </c>
      <c r="AS897" t="s">
        <v>15643</v>
      </c>
      <c r="AT897" t="s">
        <v>14347</v>
      </c>
      <c r="AU897">
        <v>2010</v>
      </c>
      <c r="AV897">
        <v>167</v>
      </c>
      <c r="AW897">
        <v>6</v>
      </c>
      <c r="AX897" t="s">
        <v>74</v>
      </c>
      <c r="AY897" t="s">
        <v>74</v>
      </c>
      <c r="AZ897" t="s">
        <v>74</v>
      </c>
      <c r="BA897" t="s">
        <v>74</v>
      </c>
      <c r="BB897">
        <v>1171</v>
      </c>
      <c r="BC897">
        <v>1184</v>
      </c>
      <c r="BD897" t="s">
        <v>74</v>
      </c>
      <c r="BE897" t="s">
        <v>15644</v>
      </c>
      <c r="BF897" t="str">
        <f>HYPERLINK("http://dx.doi.org/10.1144/0016-76492010-048","http://dx.doi.org/10.1144/0016-76492010-048")</f>
        <v>http://dx.doi.org/10.1144/0016-76492010-048</v>
      </c>
      <c r="BG897" t="s">
        <v>74</v>
      </c>
      <c r="BH897" t="s">
        <v>74</v>
      </c>
      <c r="BI897">
        <v>14</v>
      </c>
      <c r="BJ897" t="s">
        <v>396</v>
      </c>
      <c r="BK897" t="s">
        <v>100</v>
      </c>
      <c r="BL897" t="s">
        <v>397</v>
      </c>
      <c r="BM897" t="s">
        <v>15645</v>
      </c>
      <c r="BN897" t="s">
        <v>74</v>
      </c>
      <c r="BO897" t="s">
        <v>172</v>
      </c>
      <c r="BP897" t="s">
        <v>74</v>
      </c>
      <c r="BQ897" t="s">
        <v>74</v>
      </c>
      <c r="BR897" t="s">
        <v>103</v>
      </c>
      <c r="BS897" t="s">
        <v>15646</v>
      </c>
      <c r="BT897" t="str">
        <f>HYPERLINK("https%3A%2F%2Fwww.webofscience.com%2Fwos%2Fwoscc%2Ffull-record%2FWOS:000283124300008","View Full Record in Web of Science")</f>
        <v>View Full Record in Web of Science</v>
      </c>
    </row>
    <row r="898" spans="1:72" x14ac:dyDescent="0.15">
      <c r="A898" t="s">
        <v>72</v>
      </c>
      <c r="B898" t="s">
        <v>15647</v>
      </c>
      <c r="C898" t="s">
        <v>74</v>
      </c>
      <c r="D898" t="s">
        <v>74</v>
      </c>
      <c r="E898" t="s">
        <v>74</v>
      </c>
      <c r="F898" t="s">
        <v>15648</v>
      </c>
      <c r="G898" t="s">
        <v>74</v>
      </c>
      <c r="H898" t="s">
        <v>74</v>
      </c>
      <c r="I898" t="s">
        <v>15649</v>
      </c>
      <c r="J898" t="s">
        <v>15650</v>
      </c>
      <c r="K898" t="s">
        <v>74</v>
      </c>
      <c r="L898" t="s">
        <v>74</v>
      </c>
      <c r="M898" t="s">
        <v>78</v>
      </c>
      <c r="N898" t="s">
        <v>79</v>
      </c>
      <c r="O898" t="s">
        <v>74</v>
      </c>
      <c r="P898" t="s">
        <v>74</v>
      </c>
      <c r="Q898" t="s">
        <v>74</v>
      </c>
      <c r="R898" t="s">
        <v>74</v>
      </c>
      <c r="S898" t="s">
        <v>74</v>
      </c>
      <c r="T898" t="s">
        <v>15651</v>
      </c>
      <c r="U898" t="s">
        <v>74</v>
      </c>
      <c r="V898" t="s">
        <v>15652</v>
      </c>
      <c r="W898" t="s">
        <v>15653</v>
      </c>
      <c r="X898" t="s">
        <v>15654</v>
      </c>
      <c r="Y898" t="s">
        <v>15655</v>
      </c>
      <c r="Z898" t="s">
        <v>15656</v>
      </c>
      <c r="AA898" t="s">
        <v>15657</v>
      </c>
      <c r="AB898" t="s">
        <v>15658</v>
      </c>
      <c r="AC898" t="s">
        <v>15659</v>
      </c>
      <c r="AD898" t="s">
        <v>6053</v>
      </c>
      <c r="AE898" t="s">
        <v>15660</v>
      </c>
      <c r="AF898" t="s">
        <v>74</v>
      </c>
      <c r="AG898">
        <v>12</v>
      </c>
      <c r="AH898">
        <v>4</v>
      </c>
      <c r="AI898">
        <v>4</v>
      </c>
      <c r="AJ898">
        <v>1</v>
      </c>
      <c r="AK898">
        <v>10</v>
      </c>
      <c r="AL898" t="s">
        <v>270</v>
      </c>
      <c r="AM898" t="s">
        <v>91</v>
      </c>
      <c r="AN898" t="s">
        <v>320</v>
      </c>
      <c r="AO898" t="s">
        <v>15661</v>
      </c>
      <c r="AP898" t="s">
        <v>15662</v>
      </c>
      <c r="AQ898" t="s">
        <v>74</v>
      </c>
      <c r="AR898" t="s">
        <v>15663</v>
      </c>
      <c r="AS898" t="s">
        <v>15664</v>
      </c>
      <c r="AT898" t="s">
        <v>14347</v>
      </c>
      <c r="AU898">
        <v>2010</v>
      </c>
      <c r="AV898">
        <v>38</v>
      </c>
      <c r="AW898">
        <v>4</v>
      </c>
      <c r="AX898" t="s">
        <v>74</v>
      </c>
      <c r="AY898" t="s">
        <v>74</v>
      </c>
      <c r="AZ898" t="s">
        <v>74</v>
      </c>
      <c r="BA898" t="s">
        <v>74</v>
      </c>
      <c r="BB898">
        <v>611</v>
      </c>
      <c r="BC898">
        <v>616</v>
      </c>
      <c r="BD898" t="s">
        <v>74</v>
      </c>
      <c r="BE898" t="s">
        <v>15665</v>
      </c>
      <c r="BF898" t="str">
        <f>HYPERLINK("http://dx.doi.org/10.1007/s12524-011-0071-9","http://dx.doi.org/10.1007/s12524-011-0071-9")</f>
        <v>http://dx.doi.org/10.1007/s12524-011-0071-9</v>
      </c>
      <c r="BG898" t="s">
        <v>74</v>
      </c>
      <c r="BH898" t="s">
        <v>74</v>
      </c>
      <c r="BI898">
        <v>6</v>
      </c>
      <c r="BJ898" t="s">
        <v>15666</v>
      </c>
      <c r="BK898" t="s">
        <v>100</v>
      </c>
      <c r="BL898" t="s">
        <v>15667</v>
      </c>
      <c r="BM898" t="s">
        <v>15668</v>
      </c>
      <c r="BN898" t="s">
        <v>74</v>
      </c>
      <c r="BO898" t="s">
        <v>74</v>
      </c>
      <c r="BP898" t="s">
        <v>74</v>
      </c>
      <c r="BQ898" t="s">
        <v>74</v>
      </c>
      <c r="BR898" t="s">
        <v>103</v>
      </c>
      <c r="BS898" t="s">
        <v>15669</v>
      </c>
      <c r="BT898" t="str">
        <f>HYPERLINK("https%3A%2F%2Fwww.webofscience.com%2Fwos%2Fwoscc%2Ffull-record%2FWOS:000288560900004","View Full Record in Web of Science")</f>
        <v>View Full Record in Web of Science</v>
      </c>
    </row>
    <row r="899" spans="1:72" x14ac:dyDescent="0.15">
      <c r="A899" t="s">
        <v>72</v>
      </c>
      <c r="B899" t="s">
        <v>15670</v>
      </c>
      <c r="C899" t="s">
        <v>74</v>
      </c>
      <c r="D899" t="s">
        <v>74</v>
      </c>
      <c r="E899" t="s">
        <v>74</v>
      </c>
      <c r="F899" t="s">
        <v>15671</v>
      </c>
      <c r="G899" t="s">
        <v>74</v>
      </c>
      <c r="H899" t="s">
        <v>74</v>
      </c>
      <c r="I899" t="s">
        <v>15672</v>
      </c>
      <c r="J899" t="s">
        <v>15673</v>
      </c>
      <c r="K899" t="s">
        <v>74</v>
      </c>
      <c r="L899" t="s">
        <v>74</v>
      </c>
      <c r="M899" t="s">
        <v>78</v>
      </c>
      <c r="N899" t="s">
        <v>79</v>
      </c>
      <c r="O899" t="s">
        <v>74</v>
      </c>
      <c r="P899" t="s">
        <v>74</v>
      </c>
      <c r="Q899" t="s">
        <v>74</v>
      </c>
      <c r="R899" t="s">
        <v>74</v>
      </c>
      <c r="S899" t="s">
        <v>74</v>
      </c>
      <c r="T899" t="s">
        <v>15674</v>
      </c>
      <c r="U899" t="s">
        <v>15675</v>
      </c>
      <c r="V899" t="s">
        <v>15676</v>
      </c>
      <c r="W899" t="s">
        <v>15677</v>
      </c>
      <c r="X899" t="s">
        <v>15678</v>
      </c>
      <c r="Y899" t="s">
        <v>15679</v>
      </c>
      <c r="Z899" t="s">
        <v>15680</v>
      </c>
      <c r="AA899" t="s">
        <v>15681</v>
      </c>
      <c r="AB899" t="s">
        <v>15682</v>
      </c>
      <c r="AC899" t="s">
        <v>15683</v>
      </c>
      <c r="AD899" t="s">
        <v>15684</v>
      </c>
      <c r="AE899" t="s">
        <v>15685</v>
      </c>
      <c r="AF899" t="s">
        <v>74</v>
      </c>
      <c r="AG899">
        <v>36</v>
      </c>
      <c r="AH899">
        <v>36</v>
      </c>
      <c r="AI899">
        <v>39</v>
      </c>
      <c r="AJ899">
        <v>4</v>
      </c>
      <c r="AK899">
        <v>31</v>
      </c>
      <c r="AL899" t="s">
        <v>90</v>
      </c>
      <c r="AM899" t="s">
        <v>91</v>
      </c>
      <c r="AN899" t="s">
        <v>92</v>
      </c>
      <c r="AO899" t="s">
        <v>15686</v>
      </c>
      <c r="AP899" t="s">
        <v>15687</v>
      </c>
      <c r="AQ899" t="s">
        <v>74</v>
      </c>
      <c r="AR899" t="s">
        <v>15688</v>
      </c>
      <c r="AS899" t="s">
        <v>15689</v>
      </c>
      <c r="AT899" t="s">
        <v>14347</v>
      </c>
      <c r="AU899">
        <v>2010</v>
      </c>
      <c r="AV899">
        <v>90</v>
      </c>
      <c r="AW899">
        <v>8</v>
      </c>
      <c r="AX899" t="s">
        <v>74</v>
      </c>
      <c r="AY899" t="s">
        <v>74</v>
      </c>
      <c r="AZ899" t="s">
        <v>967</v>
      </c>
      <c r="BA899" t="s">
        <v>74</v>
      </c>
      <c r="BB899">
        <v>1509</v>
      </c>
      <c r="BC899">
        <v>1515</v>
      </c>
      <c r="BD899" t="s">
        <v>74</v>
      </c>
      <c r="BE899" t="s">
        <v>15690</v>
      </c>
      <c r="BF899" t="str">
        <f>HYPERLINK("http://dx.doi.org/10.1017/S0025315409991639","http://dx.doi.org/10.1017/S0025315409991639")</f>
        <v>http://dx.doi.org/10.1017/S0025315409991639</v>
      </c>
      <c r="BG899" t="s">
        <v>74</v>
      </c>
      <c r="BH899" t="s">
        <v>74</v>
      </c>
      <c r="BI899">
        <v>7</v>
      </c>
      <c r="BJ899" t="s">
        <v>893</v>
      </c>
      <c r="BK899" t="s">
        <v>100</v>
      </c>
      <c r="BL899" t="s">
        <v>893</v>
      </c>
      <c r="BM899" t="s">
        <v>15691</v>
      </c>
      <c r="BN899" t="s">
        <v>74</v>
      </c>
      <c r="BO899" t="s">
        <v>74</v>
      </c>
      <c r="BP899" t="s">
        <v>74</v>
      </c>
      <c r="BQ899" t="s">
        <v>74</v>
      </c>
      <c r="BR899" t="s">
        <v>103</v>
      </c>
      <c r="BS899" t="s">
        <v>15692</v>
      </c>
      <c r="BT899" t="str">
        <f>HYPERLINK("https%3A%2F%2Fwww.webofscience.com%2Fwos%2Fwoscc%2Ffull-record%2FWOS:000285478400005","View Full Record in Web of Science")</f>
        <v>View Full Record in Web of Science</v>
      </c>
    </row>
    <row r="900" spans="1:72" x14ac:dyDescent="0.15">
      <c r="A900" t="s">
        <v>72</v>
      </c>
      <c r="B900" t="s">
        <v>15693</v>
      </c>
      <c r="C900" t="s">
        <v>74</v>
      </c>
      <c r="D900" t="s">
        <v>74</v>
      </c>
      <c r="E900" t="s">
        <v>74</v>
      </c>
      <c r="F900" t="s">
        <v>15694</v>
      </c>
      <c r="G900" t="s">
        <v>74</v>
      </c>
      <c r="H900" t="s">
        <v>74</v>
      </c>
      <c r="I900" t="s">
        <v>15695</v>
      </c>
      <c r="J900" t="s">
        <v>15696</v>
      </c>
      <c r="K900" t="s">
        <v>74</v>
      </c>
      <c r="L900" t="s">
        <v>74</v>
      </c>
      <c r="M900" t="s">
        <v>78</v>
      </c>
      <c r="N900" t="s">
        <v>79</v>
      </c>
      <c r="O900" t="s">
        <v>74</v>
      </c>
      <c r="P900" t="s">
        <v>74</v>
      </c>
      <c r="Q900" t="s">
        <v>74</v>
      </c>
      <c r="R900" t="s">
        <v>74</v>
      </c>
      <c r="S900" t="s">
        <v>74</v>
      </c>
      <c r="T900" t="s">
        <v>15697</v>
      </c>
      <c r="U900" t="s">
        <v>15698</v>
      </c>
      <c r="V900" t="s">
        <v>15699</v>
      </c>
      <c r="W900" t="s">
        <v>15700</v>
      </c>
      <c r="X900" t="s">
        <v>15701</v>
      </c>
      <c r="Y900" t="s">
        <v>15702</v>
      </c>
      <c r="Z900" t="s">
        <v>74</v>
      </c>
      <c r="AA900" t="s">
        <v>74</v>
      </c>
      <c r="AB900" t="s">
        <v>15703</v>
      </c>
      <c r="AC900" t="s">
        <v>15704</v>
      </c>
      <c r="AD900" t="s">
        <v>15705</v>
      </c>
      <c r="AE900" t="s">
        <v>15706</v>
      </c>
      <c r="AF900" t="s">
        <v>74</v>
      </c>
      <c r="AG900">
        <v>87</v>
      </c>
      <c r="AH900">
        <v>24</v>
      </c>
      <c r="AI900">
        <v>28</v>
      </c>
      <c r="AJ900">
        <v>2</v>
      </c>
      <c r="AK900">
        <v>12</v>
      </c>
      <c r="AL900" t="s">
        <v>767</v>
      </c>
      <c r="AM900" t="s">
        <v>640</v>
      </c>
      <c r="AN900" t="s">
        <v>768</v>
      </c>
      <c r="AO900" t="s">
        <v>15707</v>
      </c>
      <c r="AP900" t="s">
        <v>15708</v>
      </c>
      <c r="AQ900" t="s">
        <v>74</v>
      </c>
      <c r="AR900" t="s">
        <v>15709</v>
      </c>
      <c r="AS900" t="s">
        <v>15710</v>
      </c>
      <c r="AT900" t="s">
        <v>14500</v>
      </c>
      <c r="AU900">
        <v>2010</v>
      </c>
      <c r="AV900">
        <v>198</v>
      </c>
      <c r="AW900" t="s">
        <v>2089</v>
      </c>
      <c r="AX900" t="s">
        <v>74</v>
      </c>
      <c r="AY900" t="s">
        <v>74</v>
      </c>
      <c r="AZ900" t="s">
        <v>74</v>
      </c>
      <c r="BA900" t="s">
        <v>74</v>
      </c>
      <c r="BB900">
        <v>1</v>
      </c>
      <c r="BC900">
        <v>18</v>
      </c>
      <c r="BD900" t="s">
        <v>74</v>
      </c>
      <c r="BE900" t="s">
        <v>15711</v>
      </c>
      <c r="BF900" t="str">
        <f>HYPERLINK("http://dx.doi.org/10.1016/j.jvolgeores.2010.07.011","http://dx.doi.org/10.1016/j.jvolgeores.2010.07.011")</f>
        <v>http://dx.doi.org/10.1016/j.jvolgeores.2010.07.011</v>
      </c>
      <c r="BG900" t="s">
        <v>74</v>
      </c>
      <c r="BH900" t="s">
        <v>74</v>
      </c>
      <c r="BI900">
        <v>18</v>
      </c>
      <c r="BJ900" t="s">
        <v>396</v>
      </c>
      <c r="BK900" t="s">
        <v>100</v>
      </c>
      <c r="BL900" t="s">
        <v>397</v>
      </c>
      <c r="BM900" t="s">
        <v>15712</v>
      </c>
      <c r="BN900" t="s">
        <v>74</v>
      </c>
      <c r="BO900" t="s">
        <v>74</v>
      </c>
      <c r="BP900" t="s">
        <v>74</v>
      </c>
      <c r="BQ900" t="s">
        <v>74</v>
      </c>
      <c r="BR900" t="s">
        <v>103</v>
      </c>
      <c r="BS900" t="s">
        <v>15713</v>
      </c>
      <c r="BT900" t="str">
        <f>HYPERLINK("https%3A%2F%2Fwww.webofscience.com%2Fwos%2Fwoscc%2Ffull-record%2FWOS:000285678200001","View Full Record in Web of Science")</f>
        <v>View Full Record in Web of Science</v>
      </c>
    </row>
    <row r="901" spans="1:72" x14ac:dyDescent="0.15">
      <c r="A901" t="s">
        <v>72</v>
      </c>
      <c r="B901" t="s">
        <v>15714</v>
      </c>
      <c r="C901" t="s">
        <v>74</v>
      </c>
      <c r="D901" t="s">
        <v>74</v>
      </c>
      <c r="E901" t="s">
        <v>74</v>
      </c>
      <c r="F901" t="s">
        <v>15715</v>
      </c>
      <c r="G901" t="s">
        <v>74</v>
      </c>
      <c r="H901" t="s">
        <v>74</v>
      </c>
      <c r="I901" t="s">
        <v>15716</v>
      </c>
      <c r="J901" t="s">
        <v>15717</v>
      </c>
      <c r="K901" t="s">
        <v>74</v>
      </c>
      <c r="L901" t="s">
        <v>74</v>
      </c>
      <c r="M901" t="s">
        <v>78</v>
      </c>
      <c r="N901" t="s">
        <v>79</v>
      </c>
      <c r="O901" t="s">
        <v>74</v>
      </c>
      <c r="P901" t="s">
        <v>74</v>
      </c>
      <c r="Q901" t="s">
        <v>74</v>
      </c>
      <c r="R901" t="s">
        <v>74</v>
      </c>
      <c r="S901" t="s">
        <v>74</v>
      </c>
      <c r="T901" t="s">
        <v>74</v>
      </c>
      <c r="U901" t="s">
        <v>74</v>
      </c>
      <c r="V901" t="s">
        <v>74</v>
      </c>
      <c r="W901" t="s">
        <v>74</v>
      </c>
      <c r="X901" t="s">
        <v>74</v>
      </c>
      <c r="Y901" t="s">
        <v>74</v>
      </c>
      <c r="Z901" t="s">
        <v>74</v>
      </c>
      <c r="AA901" t="s">
        <v>74</v>
      </c>
      <c r="AB901" t="s">
        <v>74</v>
      </c>
      <c r="AC901" t="s">
        <v>74</v>
      </c>
      <c r="AD901" t="s">
        <v>74</v>
      </c>
      <c r="AE901" t="s">
        <v>74</v>
      </c>
      <c r="AF901" t="s">
        <v>74</v>
      </c>
      <c r="AG901">
        <v>3</v>
      </c>
      <c r="AH901">
        <v>0</v>
      </c>
      <c r="AI901">
        <v>0</v>
      </c>
      <c r="AJ901">
        <v>0</v>
      </c>
      <c r="AK901">
        <v>0</v>
      </c>
      <c r="AL901" t="s">
        <v>15718</v>
      </c>
      <c r="AM901" t="s">
        <v>15719</v>
      </c>
      <c r="AN901" t="s">
        <v>15720</v>
      </c>
      <c r="AO901" t="s">
        <v>15721</v>
      </c>
      <c r="AP901" t="s">
        <v>15722</v>
      </c>
      <c r="AQ901" t="s">
        <v>74</v>
      </c>
      <c r="AR901" t="s">
        <v>15723</v>
      </c>
      <c r="AS901" t="s">
        <v>15724</v>
      </c>
      <c r="AT901" t="s">
        <v>14347</v>
      </c>
      <c r="AU901">
        <v>2010</v>
      </c>
      <c r="AV901" t="s">
        <v>74</v>
      </c>
      <c r="AW901">
        <v>13</v>
      </c>
      <c r="AX901" t="s">
        <v>74</v>
      </c>
      <c r="AY901" t="s">
        <v>74</v>
      </c>
      <c r="AZ901" t="s">
        <v>74</v>
      </c>
      <c r="BA901" t="s">
        <v>74</v>
      </c>
      <c r="BB901">
        <v>76</v>
      </c>
      <c r="BC901">
        <v>87</v>
      </c>
      <c r="BD901" t="s">
        <v>74</v>
      </c>
      <c r="BE901" t="s">
        <v>74</v>
      </c>
      <c r="BF901" t="s">
        <v>74</v>
      </c>
      <c r="BG901" t="s">
        <v>74</v>
      </c>
      <c r="BH901" t="s">
        <v>74</v>
      </c>
      <c r="BI901">
        <v>12</v>
      </c>
      <c r="BJ901" t="s">
        <v>15725</v>
      </c>
      <c r="BK901" t="s">
        <v>1561</v>
      </c>
      <c r="BL901" t="s">
        <v>15726</v>
      </c>
      <c r="BM901" t="s">
        <v>15727</v>
      </c>
      <c r="BN901" t="s">
        <v>74</v>
      </c>
      <c r="BO901" t="s">
        <v>74</v>
      </c>
      <c r="BP901" t="s">
        <v>74</v>
      </c>
      <c r="BQ901" t="s">
        <v>74</v>
      </c>
      <c r="BR901" t="s">
        <v>103</v>
      </c>
      <c r="BS901" t="s">
        <v>15728</v>
      </c>
      <c r="BT901" t="str">
        <f>HYPERLINK("https%3A%2F%2Fwww.webofscience.com%2Fwos%2Fwoscc%2Ffull-record%2FWOS:000208766900009","View Full Record in Web of Science")</f>
        <v>View Full Record in Web of Science</v>
      </c>
    </row>
    <row r="902" spans="1:72" x14ac:dyDescent="0.15">
      <c r="A902" t="s">
        <v>72</v>
      </c>
      <c r="B902" t="s">
        <v>15729</v>
      </c>
      <c r="C902" t="s">
        <v>74</v>
      </c>
      <c r="D902" t="s">
        <v>74</v>
      </c>
      <c r="E902" t="s">
        <v>74</v>
      </c>
      <c r="F902" t="s">
        <v>15730</v>
      </c>
      <c r="G902" t="s">
        <v>74</v>
      </c>
      <c r="H902" t="s">
        <v>74</v>
      </c>
      <c r="I902" t="s">
        <v>15731</v>
      </c>
      <c r="J902" t="s">
        <v>1183</v>
      </c>
      <c r="K902" t="s">
        <v>74</v>
      </c>
      <c r="L902" t="s">
        <v>74</v>
      </c>
      <c r="M902" t="s">
        <v>78</v>
      </c>
      <c r="N902" t="s">
        <v>79</v>
      </c>
      <c r="O902" t="s">
        <v>74</v>
      </c>
      <c r="P902" t="s">
        <v>74</v>
      </c>
      <c r="Q902" t="s">
        <v>74</v>
      </c>
      <c r="R902" t="s">
        <v>74</v>
      </c>
      <c r="S902" t="s">
        <v>74</v>
      </c>
      <c r="T902" t="s">
        <v>74</v>
      </c>
      <c r="U902" t="s">
        <v>15732</v>
      </c>
      <c r="V902" t="s">
        <v>15733</v>
      </c>
      <c r="W902" t="s">
        <v>15734</v>
      </c>
      <c r="X902" t="s">
        <v>15735</v>
      </c>
      <c r="Y902" t="s">
        <v>15736</v>
      </c>
      <c r="Z902" t="s">
        <v>15737</v>
      </c>
      <c r="AA902" t="s">
        <v>15738</v>
      </c>
      <c r="AB902" t="s">
        <v>15739</v>
      </c>
      <c r="AC902" t="s">
        <v>15740</v>
      </c>
      <c r="AD902" t="s">
        <v>15740</v>
      </c>
      <c r="AE902" t="s">
        <v>15741</v>
      </c>
      <c r="AF902" t="s">
        <v>74</v>
      </c>
      <c r="AG902">
        <v>46</v>
      </c>
      <c r="AH902">
        <v>13</v>
      </c>
      <c r="AI902">
        <v>21</v>
      </c>
      <c r="AJ902">
        <v>0</v>
      </c>
      <c r="AK902">
        <v>28</v>
      </c>
      <c r="AL902" t="s">
        <v>1195</v>
      </c>
      <c r="AM902" t="s">
        <v>1196</v>
      </c>
      <c r="AN902" t="s">
        <v>1197</v>
      </c>
      <c r="AO902" t="s">
        <v>1198</v>
      </c>
      <c r="AP902" t="s">
        <v>1199</v>
      </c>
      <c r="AQ902" t="s">
        <v>74</v>
      </c>
      <c r="AR902" t="s">
        <v>1200</v>
      </c>
      <c r="AS902" t="s">
        <v>1201</v>
      </c>
      <c r="AT902" t="s">
        <v>14347</v>
      </c>
      <c r="AU902">
        <v>2010</v>
      </c>
      <c r="AV902">
        <v>157</v>
      </c>
      <c r="AW902">
        <v>12</v>
      </c>
      <c r="AX902" t="s">
        <v>74</v>
      </c>
      <c r="AY902" t="s">
        <v>74</v>
      </c>
      <c r="AZ902" t="s">
        <v>74</v>
      </c>
      <c r="BA902" t="s">
        <v>74</v>
      </c>
      <c r="BB902">
        <v>2655</v>
      </c>
      <c r="BC902">
        <v>2666</v>
      </c>
      <c r="BD902" t="s">
        <v>74</v>
      </c>
      <c r="BE902" t="s">
        <v>15742</v>
      </c>
      <c r="BF902" t="str">
        <f>HYPERLINK("http://dx.doi.org/10.1007/s00227-010-1526-1","http://dx.doi.org/10.1007/s00227-010-1526-1")</f>
        <v>http://dx.doi.org/10.1007/s00227-010-1526-1</v>
      </c>
      <c r="BG902" t="s">
        <v>74</v>
      </c>
      <c r="BH902" t="s">
        <v>74</v>
      </c>
      <c r="BI902">
        <v>12</v>
      </c>
      <c r="BJ902" t="s">
        <v>893</v>
      </c>
      <c r="BK902" t="s">
        <v>100</v>
      </c>
      <c r="BL902" t="s">
        <v>893</v>
      </c>
      <c r="BM902" t="s">
        <v>15743</v>
      </c>
      <c r="BN902" t="s">
        <v>74</v>
      </c>
      <c r="BO902" t="s">
        <v>74</v>
      </c>
      <c r="BP902" t="s">
        <v>74</v>
      </c>
      <c r="BQ902" t="s">
        <v>74</v>
      </c>
      <c r="BR902" t="s">
        <v>103</v>
      </c>
      <c r="BS902" t="s">
        <v>15744</v>
      </c>
      <c r="BT902" t="str">
        <f>HYPERLINK("https%3A%2F%2Fwww.webofscience.com%2Fwos%2Fwoscc%2Ffull-record%2FWOS:000284161900007","View Full Record in Web of Science")</f>
        <v>View Full Record in Web of Science</v>
      </c>
    </row>
    <row r="903" spans="1:72" x14ac:dyDescent="0.15">
      <c r="A903" t="s">
        <v>72</v>
      </c>
      <c r="B903" t="s">
        <v>15745</v>
      </c>
      <c r="C903" t="s">
        <v>74</v>
      </c>
      <c r="D903" t="s">
        <v>74</v>
      </c>
      <c r="E903" t="s">
        <v>74</v>
      </c>
      <c r="F903" t="s">
        <v>15746</v>
      </c>
      <c r="G903" t="s">
        <v>74</v>
      </c>
      <c r="H903" t="s">
        <v>74</v>
      </c>
      <c r="I903" t="s">
        <v>15747</v>
      </c>
      <c r="J903" t="s">
        <v>1183</v>
      </c>
      <c r="K903" t="s">
        <v>74</v>
      </c>
      <c r="L903" t="s">
        <v>74</v>
      </c>
      <c r="M903" t="s">
        <v>78</v>
      </c>
      <c r="N903" t="s">
        <v>79</v>
      </c>
      <c r="O903" t="s">
        <v>74</v>
      </c>
      <c r="P903" t="s">
        <v>74</v>
      </c>
      <c r="Q903" t="s">
        <v>74</v>
      </c>
      <c r="R903" t="s">
        <v>74</v>
      </c>
      <c r="S903" t="s">
        <v>74</v>
      </c>
      <c r="T903" t="s">
        <v>74</v>
      </c>
      <c r="U903" t="s">
        <v>15748</v>
      </c>
      <c r="V903" t="s">
        <v>15749</v>
      </c>
      <c r="W903" t="s">
        <v>15750</v>
      </c>
      <c r="X903" t="s">
        <v>15751</v>
      </c>
      <c r="Y903" t="s">
        <v>15752</v>
      </c>
      <c r="Z903" t="s">
        <v>15753</v>
      </c>
      <c r="AA903" t="s">
        <v>15754</v>
      </c>
      <c r="AB903" t="s">
        <v>15755</v>
      </c>
      <c r="AC903" t="s">
        <v>15756</v>
      </c>
      <c r="AD903" t="s">
        <v>15757</v>
      </c>
      <c r="AE903" t="s">
        <v>15758</v>
      </c>
      <c r="AF903" t="s">
        <v>74</v>
      </c>
      <c r="AG903">
        <v>64</v>
      </c>
      <c r="AH903">
        <v>52</v>
      </c>
      <c r="AI903">
        <v>55</v>
      </c>
      <c r="AJ903">
        <v>1</v>
      </c>
      <c r="AK903">
        <v>66</v>
      </c>
      <c r="AL903" t="s">
        <v>1195</v>
      </c>
      <c r="AM903" t="s">
        <v>1196</v>
      </c>
      <c r="AN903" t="s">
        <v>1197</v>
      </c>
      <c r="AO903" t="s">
        <v>1198</v>
      </c>
      <c r="AP903" t="s">
        <v>1199</v>
      </c>
      <c r="AQ903" t="s">
        <v>74</v>
      </c>
      <c r="AR903" t="s">
        <v>1200</v>
      </c>
      <c r="AS903" t="s">
        <v>1201</v>
      </c>
      <c r="AT903" t="s">
        <v>14347</v>
      </c>
      <c r="AU903">
        <v>2010</v>
      </c>
      <c r="AV903">
        <v>157</v>
      </c>
      <c r="AW903">
        <v>12</v>
      </c>
      <c r="AX903" t="s">
        <v>74</v>
      </c>
      <c r="AY903" t="s">
        <v>74</v>
      </c>
      <c r="AZ903" t="s">
        <v>74</v>
      </c>
      <c r="BA903" t="s">
        <v>74</v>
      </c>
      <c r="BB903">
        <v>2689</v>
      </c>
      <c r="BC903">
        <v>2702</v>
      </c>
      <c r="BD903" t="s">
        <v>74</v>
      </c>
      <c r="BE903" t="s">
        <v>15759</v>
      </c>
      <c r="BF903" t="str">
        <f>HYPERLINK("http://dx.doi.org/10.1007/s00227-010-1529-y","http://dx.doi.org/10.1007/s00227-010-1529-y")</f>
        <v>http://dx.doi.org/10.1007/s00227-010-1529-y</v>
      </c>
      <c r="BG903" t="s">
        <v>74</v>
      </c>
      <c r="BH903" t="s">
        <v>74</v>
      </c>
      <c r="BI903">
        <v>14</v>
      </c>
      <c r="BJ903" t="s">
        <v>893</v>
      </c>
      <c r="BK903" t="s">
        <v>100</v>
      </c>
      <c r="BL903" t="s">
        <v>893</v>
      </c>
      <c r="BM903" t="s">
        <v>15743</v>
      </c>
      <c r="BN903" t="s">
        <v>74</v>
      </c>
      <c r="BO903" t="s">
        <v>74</v>
      </c>
      <c r="BP903" t="s">
        <v>74</v>
      </c>
      <c r="BQ903" t="s">
        <v>74</v>
      </c>
      <c r="BR903" t="s">
        <v>103</v>
      </c>
      <c r="BS903" t="s">
        <v>15760</v>
      </c>
      <c r="BT903" t="str">
        <f>HYPERLINK("https%3A%2F%2Fwww.webofscience.com%2Fwos%2Fwoscc%2Ffull-record%2FWOS:000284161900010","View Full Record in Web of Science")</f>
        <v>View Full Record in Web of Science</v>
      </c>
    </row>
    <row r="904" spans="1:72" x14ac:dyDescent="0.15">
      <c r="A904" t="s">
        <v>72</v>
      </c>
      <c r="B904" t="s">
        <v>15761</v>
      </c>
      <c r="C904" t="s">
        <v>74</v>
      </c>
      <c r="D904" t="s">
        <v>74</v>
      </c>
      <c r="E904" t="s">
        <v>74</v>
      </c>
      <c r="F904" t="s">
        <v>15762</v>
      </c>
      <c r="G904" t="s">
        <v>74</v>
      </c>
      <c r="H904" t="s">
        <v>74</v>
      </c>
      <c r="I904" t="s">
        <v>15763</v>
      </c>
      <c r="J904" t="s">
        <v>15764</v>
      </c>
      <c r="K904" t="s">
        <v>74</v>
      </c>
      <c r="L904" t="s">
        <v>74</v>
      </c>
      <c r="M904" t="s">
        <v>78</v>
      </c>
      <c r="N904" t="s">
        <v>79</v>
      </c>
      <c r="O904" t="s">
        <v>74</v>
      </c>
      <c r="P904" t="s">
        <v>74</v>
      </c>
      <c r="Q904" t="s">
        <v>74</v>
      </c>
      <c r="R904" t="s">
        <v>74</v>
      </c>
      <c r="S904" t="s">
        <v>74</v>
      </c>
      <c r="T904" t="s">
        <v>15765</v>
      </c>
      <c r="U904" t="s">
        <v>15766</v>
      </c>
      <c r="V904" t="s">
        <v>15767</v>
      </c>
      <c r="W904" t="s">
        <v>15768</v>
      </c>
      <c r="X904" t="s">
        <v>3605</v>
      </c>
      <c r="Y904" t="s">
        <v>15769</v>
      </c>
      <c r="Z904" t="s">
        <v>15770</v>
      </c>
      <c r="AA904" t="s">
        <v>15771</v>
      </c>
      <c r="AB904" t="s">
        <v>15772</v>
      </c>
      <c r="AC904" t="s">
        <v>15773</v>
      </c>
      <c r="AD904" t="s">
        <v>15774</v>
      </c>
      <c r="AE904" t="s">
        <v>15775</v>
      </c>
      <c r="AF904" t="s">
        <v>74</v>
      </c>
      <c r="AG904">
        <v>70</v>
      </c>
      <c r="AH904">
        <v>41</v>
      </c>
      <c r="AI904">
        <v>48</v>
      </c>
      <c r="AJ904">
        <v>0</v>
      </c>
      <c r="AK904">
        <v>34</v>
      </c>
      <c r="AL904" t="s">
        <v>7435</v>
      </c>
      <c r="AM904" t="s">
        <v>2544</v>
      </c>
      <c r="AN904" t="s">
        <v>7436</v>
      </c>
      <c r="AO904" t="s">
        <v>15776</v>
      </c>
      <c r="AP904" t="s">
        <v>15777</v>
      </c>
      <c r="AQ904" t="s">
        <v>74</v>
      </c>
      <c r="AR904" t="s">
        <v>15778</v>
      </c>
      <c r="AS904" t="s">
        <v>15779</v>
      </c>
      <c r="AT904" t="s">
        <v>14347</v>
      </c>
      <c r="AU904">
        <v>2010</v>
      </c>
      <c r="AV904">
        <v>57</v>
      </c>
      <c r="AW904">
        <v>3</v>
      </c>
      <c r="AX904" t="s">
        <v>74</v>
      </c>
      <c r="AY904" t="s">
        <v>74</v>
      </c>
      <c r="AZ904" t="s">
        <v>74</v>
      </c>
      <c r="BA904" t="s">
        <v>74</v>
      </c>
      <c r="BB904">
        <v>1301</v>
      </c>
      <c r="BC904">
        <v>1311</v>
      </c>
      <c r="BD904" t="s">
        <v>74</v>
      </c>
      <c r="BE904" t="s">
        <v>15780</v>
      </c>
      <c r="BF904" t="str">
        <f>HYPERLINK("http://dx.doi.org/10.1016/j.ympev.2010.10.011","http://dx.doi.org/10.1016/j.ympev.2010.10.011")</f>
        <v>http://dx.doi.org/10.1016/j.ympev.2010.10.011</v>
      </c>
      <c r="BG904" t="s">
        <v>74</v>
      </c>
      <c r="BH904" t="s">
        <v>74</v>
      </c>
      <c r="BI904">
        <v>11</v>
      </c>
      <c r="BJ904" t="s">
        <v>15781</v>
      </c>
      <c r="BK904" t="s">
        <v>100</v>
      </c>
      <c r="BL904" t="s">
        <v>15781</v>
      </c>
      <c r="BM904" t="s">
        <v>15782</v>
      </c>
      <c r="BN904">
        <v>20971197</v>
      </c>
      <c r="BO904" t="s">
        <v>74</v>
      </c>
      <c r="BP904" t="s">
        <v>74</v>
      </c>
      <c r="BQ904" t="s">
        <v>74</v>
      </c>
      <c r="BR904" t="s">
        <v>103</v>
      </c>
      <c r="BS904" t="s">
        <v>15783</v>
      </c>
      <c r="BT904" t="str">
        <f>HYPERLINK("https%3A%2F%2Fwww.webofscience.com%2Fwos%2Fwoscc%2Ffull-record%2FWOS:000285231500030","View Full Record in Web of Science")</f>
        <v>View Full Record in Web of Science</v>
      </c>
    </row>
    <row r="905" spans="1:72" x14ac:dyDescent="0.15">
      <c r="A905" t="s">
        <v>72</v>
      </c>
      <c r="B905" t="s">
        <v>15784</v>
      </c>
      <c r="C905" t="s">
        <v>74</v>
      </c>
      <c r="D905" t="s">
        <v>74</v>
      </c>
      <c r="E905" t="s">
        <v>74</v>
      </c>
      <c r="F905" t="s">
        <v>15785</v>
      </c>
      <c r="G905" t="s">
        <v>74</v>
      </c>
      <c r="H905" t="s">
        <v>74</v>
      </c>
      <c r="I905" t="s">
        <v>15786</v>
      </c>
      <c r="J905" t="s">
        <v>380</v>
      </c>
      <c r="K905" t="s">
        <v>74</v>
      </c>
      <c r="L905" t="s">
        <v>74</v>
      </c>
      <c r="M905" t="s">
        <v>78</v>
      </c>
      <c r="N905" t="s">
        <v>10280</v>
      </c>
      <c r="O905" t="s">
        <v>74</v>
      </c>
      <c r="P905" t="s">
        <v>74</v>
      </c>
      <c r="Q905" t="s">
        <v>74</v>
      </c>
      <c r="R905" t="s">
        <v>74</v>
      </c>
      <c r="S905" t="s">
        <v>74</v>
      </c>
      <c r="T905" t="s">
        <v>74</v>
      </c>
      <c r="U905" t="s">
        <v>74</v>
      </c>
      <c r="V905" t="s">
        <v>74</v>
      </c>
      <c r="W905" t="s">
        <v>15787</v>
      </c>
      <c r="X905" t="s">
        <v>15788</v>
      </c>
      <c r="Y905" t="s">
        <v>15789</v>
      </c>
      <c r="Z905" t="s">
        <v>15790</v>
      </c>
      <c r="AA905" t="s">
        <v>15791</v>
      </c>
      <c r="AB905" t="s">
        <v>15792</v>
      </c>
      <c r="AC905" t="s">
        <v>15793</v>
      </c>
      <c r="AD905" t="s">
        <v>1687</v>
      </c>
      <c r="AE905" t="s">
        <v>74</v>
      </c>
      <c r="AF905" t="s">
        <v>74</v>
      </c>
      <c r="AG905">
        <v>10</v>
      </c>
      <c r="AH905">
        <v>430</v>
      </c>
      <c r="AI905">
        <v>485</v>
      </c>
      <c r="AJ905">
        <v>10</v>
      </c>
      <c r="AK905">
        <v>254</v>
      </c>
      <c r="AL905" t="s">
        <v>912</v>
      </c>
      <c r="AM905" t="s">
        <v>91</v>
      </c>
      <c r="AN905" t="s">
        <v>11138</v>
      </c>
      <c r="AO905" t="s">
        <v>391</v>
      </c>
      <c r="AP905" t="s">
        <v>392</v>
      </c>
      <c r="AQ905" t="s">
        <v>74</v>
      </c>
      <c r="AR905" t="s">
        <v>393</v>
      </c>
      <c r="AS905" t="s">
        <v>394</v>
      </c>
      <c r="AT905" t="s">
        <v>14347</v>
      </c>
      <c r="AU905">
        <v>2010</v>
      </c>
      <c r="AV905">
        <v>3</v>
      </c>
      <c r="AW905">
        <v>12</v>
      </c>
      <c r="AX905" t="s">
        <v>74</v>
      </c>
      <c r="AY905" t="s">
        <v>74</v>
      </c>
      <c r="AZ905" t="s">
        <v>74</v>
      </c>
      <c r="BA905" t="s">
        <v>74</v>
      </c>
      <c r="BB905">
        <v>811</v>
      </c>
      <c r="BC905">
        <v>812</v>
      </c>
      <c r="BD905" t="s">
        <v>74</v>
      </c>
      <c r="BE905" t="s">
        <v>15794</v>
      </c>
      <c r="BF905" t="str">
        <f>HYPERLINK("http://dx.doi.org/10.1038/ngeo1022","http://dx.doi.org/10.1038/ngeo1022")</f>
        <v>http://dx.doi.org/10.1038/ngeo1022</v>
      </c>
      <c r="BG905" t="s">
        <v>74</v>
      </c>
      <c r="BH905" t="s">
        <v>74</v>
      </c>
      <c r="BI905">
        <v>2</v>
      </c>
      <c r="BJ905" t="s">
        <v>396</v>
      </c>
      <c r="BK905" t="s">
        <v>100</v>
      </c>
      <c r="BL905" t="s">
        <v>397</v>
      </c>
      <c r="BM905" t="s">
        <v>15795</v>
      </c>
      <c r="BN905" t="s">
        <v>74</v>
      </c>
      <c r="BO905" t="s">
        <v>74</v>
      </c>
      <c r="BP905" t="s">
        <v>74</v>
      </c>
      <c r="BQ905" t="s">
        <v>74</v>
      </c>
      <c r="BR905" t="s">
        <v>103</v>
      </c>
      <c r="BS905" t="s">
        <v>15796</v>
      </c>
      <c r="BT905" t="str">
        <f>HYPERLINK("https%3A%2F%2Fwww.webofscience.com%2Fwos%2Fwoscc%2Ffull-record%2FWOS:000284755800002","View Full Record in Web of Science")</f>
        <v>View Full Record in Web of Science</v>
      </c>
    </row>
    <row r="906" spans="1:72" x14ac:dyDescent="0.15">
      <c r="A906" t="s">
        <v>72</v>
      </c>
      <c r="B906" t="s">
        <v>15797</v>
      </c>
      <c r="C906" t="s">
        <v>74</v>
      </c>
      <c r="D906" t="s">
        <v>74</v>
      </c>
      <c r="E906" t="s">
        <v>74</v>
      </c>
      <c r="F906" t="s">
        <v>15798</v>
      </c>
      <c r="G906" t="s">
        <v>74</v>
      </c>
      <c r="H906" t="s">
        <v>74</v>
      </c>
      <c r="I906" t="s">
        <v>15799</v>
      </c>
      <c r="J906" t="s">
        <v>380</v>
      </c>
      <c r="K906" t="s">
        <v>74</v>
      </c>
      <c r="L906" t="s">
        <v>74</v>
      </c>
      <c r="M906" t="s">
        <v>78</v>
      </c>
      <c r="N906" t="s">
        <v>79</v>
      </c>
      <c r="O906" t="s">
        <v>74</v>
      </c>
      <c r="P906" t="s">
        <v>74</v>
      </c>
      <c r="Q906" t="s">
        <v>74</v>
      </c>
      <c r="R906" t="s">
        <v>74</v>
      </c>
      <c r="S906" t="s">
        <v>74</v>
      </c>
      <c r="T906" t="s">
        <v>74</v>
      </c>
      <c r="U906" t="s">
        <v>15800</v>
      </c>
      <c r="V906" t="s">
        <v>15801</v>
      </c>
      <c r="W906" t="s">
        <v>15802</v>
      </c>
      <c r="X906" t="s">
        <v>15803</v>
      </c>
      <c r="Y906" t="s">
        <v>15804</v>
      </c>
      <c r="Z906" t="s">
        <v>15805</v>
      </c>
      <c r="AA906" t="s">
        <v>15806</v>
      </c>
      <c r="AB906" t="s">
        <v>15807</v>
      </c>
      <c r="AC906" t="s">
        <v>74</v>
      </c>
      <c r="AD906" t="s">
        <v>74</v>
      </c>
      <c r="AE906" t="s">
        <v>74</v>
      </c>
      <c r="AF906" t="s">
        <v>74</v>
      </c>
      <c r="AG906">
        <v>21</v>
      </c>
      <c r="AH906">
        <v>113</v>
      </c>
      <c r="AI906">
        <v>124</v>
      </c>
      <c r="AJ906">
        <v>0</v>
      </c>
      <c r="AK906">
        <v>29</v>
      </c>
      <c r="AL906" t="s">
        <v>388</v>
      </c>
      <c r="AM906" t="s">
        <v>389</v>
      </c>
      <c r="AN906" t="s">
        <v>390</v>
      </c>
      <c r="AO906" t="s">
        <v>391</v>
      </c>
      <c r="AP906" t="s">
        <v>392</v>
      </c>
      <c r="AQ906" t="s">
        <v>74</v>
      </c>
      <c r="AR906" t="s">
        <v>393</v>
      </c>
      <c r="AS906" t="s">
        <v>394</v>
      </c>
      <c r="AT906" t="s">
        <v>14347</v>
      </c>
      <c r="AU906">
        <v>2010</v>
      </c>
      <c r="AV906">
        <v>3</v>
      </c>
      <c r="AW906">
        <v>12</v>
      </c>
      <c r="AX906" t="s">
        <v>74</v>
      </c>
      <c r="AY906" t="s">
        <v>74</v>
      </c>
      <c r="AZ906" t="s">
        <v>74</v>
      </c>
      <c r="BA906" t="s">
        <v>74</v>
      </c>
      <c r="BB906">
        <v>850</v>
      </c>
      <c r="BC906">
        <v>853</v>
      </c>
      <c r="BD906" t="s">
        <v>74</v>
      </c>
      <c r="BE906" t="s">
        <v>15808</v>
      </c>
      <c r="BF906" t="str">
        <f>HYPERLINK("http://dx.doi.org/10.1038/NGEO1012","http://dx.doi.org/10.1038/NGEO1012")</f>
        <v>http://dx.doi.org/10.1038/NGEO1012</v>
      </c>
      <c r="BG906" t="s">
        <v>74</v>
      </c>
      <c r="BH906" t="s">
        <v>74</v>
      </c>
      <c r="BI906">
        <v>4</v>
      </c>
      <c r="BJ906" t="s">
        <v>396</v>
      </c>
      <c r="BK906" t="s">
        <v>100</v>
      </c>
      <c r="BL906" t="s">
        <v>397</v>
      </c>
      <c r="BM906" t="s">
        <v>15795</v>
      </c>
      <c r="BN906" t="s">
        <v>74</v>
      </c>
      <c r="BO906" t="s">
        <v>74</v>
      </c>
      <c r="BP906" t="s">
        <v>74</v>
      </c>
      <c r="BQ906" t="s">
        <v>74</v>
      </c>
      <c r="BR906" t="s">
        <v>103</v>
      </c>
      <c r="BS906" t="s">
        <v>15809</v>
      </c>
      <c r="BT906" t="str">
        <f>HYPERLINK("https%3A%2F%2Fwww.webofscience.com%2Fwos%2Fwoscc%2Ffull-record%2FWOS:000284755800014","View Full Record in Web of Science")</f>
        <v>View Full Record in Web of Science</v>
      </c>
    </row>
    <row r="907" spans="1:72" x14ac:dyDescent="0.15">
      <c r="A907" t="s">
        <v>72</v>
      </c>
      <c r="B907" t="s">
        <v>15810</v>
      </c>
      <c r="C907" t="s">
        <v>74</v>
      </c>
      <c r="D907" t="s">
        <v>74</v>
      </c>
      <c r="E907" t="s">
        <v>74</v>
      </c>
      <c r="F907" t="s">
        <v>15811</v>
      </c>
      <c r="G907" t="s">
        <v>74</v>
      </c>
      <c r="H907" t="s">
        <v>74</v>
      </c>
      <c r="I907" t="s">
        <v>15812</v>
      </c>
      <c r="J907" t="s">
        <v>1999</v>
      </c>
      <c r="K907" t="s">
        <v>74</v>
      </c>
      <c r="L907" t="s">
        <v>74</v>
      </c>
      <c r="M907" t="s">
        <v>78</v>
      </c>
      <c r="N907" t="s">
        <v>79</v>
      </c>
      <c r="O907" t="s">
        <v>74</v>
      </c>
      <c r="P907" t="s">
        <v>74</v>
      </c>
      <c r="Q907" t="s">
        <v>74</v>
      </c>
      <c r="R907" t="s">
        <v>74</v>
      </c>
      <c r="S907" t="s">
        <v>74</v>
      </c>
      <c r="T907" t="s">
        <v>15813</v>
      </c>
      <c r="U907" t="s">
        <v>15814</v>
      </c>
      <c r="V907" t="s">
        <v>15815</v>
      </c>
      <c r="W907" t="s">
        <v>15816</v>
      </c>
      <c r="X907" t="s">
        <v>15817</v>
      </c>
      <c r="Y907" t="s">
        <v>15818</v>
      </c>
      <c r="Z907" t="s">
        <v>74</v>
      </c>
      <c r="AA907" t="s">
        <v>2036</v>
      </c>
      <c r="AB907" t="s">
        <v>15819</v>
      </c>
      <c r="AC907" t="s">
        <v>15820</v>
      </c>
      <c r="AD907" t="s">
        <v>15821</v>
      </c>
      <c r="AE907" t="s">
        <v>15822</v>
      </c>
      <c r="AF907" t="s">
        <v>74</v>
      </c>
      <c r="AG907">
        <v>25</v>
      </c>
      <c r="AH907">
        <v>40</v>
      </c>
      <c r="AI907">
        <v>46</v>
      </c>
      <c r="AJ907">
        <v>0</v>
      </c>
      <c r="AK907">
        <v>0</v>
      </c>
      <c r="AL907" t="s">
        <v>639</v>
      </c>
      <c r="AM907" t="s">
        <v>640</v>
      </c>
      <c r="AN907" t="s">
        <v>641</v>
      </c>
      <c r="AO907" t="s">
        <v>2012</v>
      </c>
      <c r="AP907" t="s">
        <v>74</v>
      </c>
      <c r="AQ907" t="s">
        <v>74</v>
      </c>
      <c r="AR907" t="s">
        <v>2014</v>
      </c>
      <c r="AS907" t="s">
        <v>2015</v>
      </c>
      <c r="AT907" t="s">
        <v>14500</v>
      </c>
      <c r="AU907">
        <v>2010</v>
      </c>
      <c r="AV907">
        <v>624</v>
      </c>
      <c r="AW907">
        <v>1</v>
      </c>
      <c r="AX907" t="s">
        <v>74</v>
      </c>
      <c r="AY907" t="s">
        <v>74</v>
      </c>
      <c r="AZ907" t="s">
        <v>74</v>
      </c>
      <c r="BA907" t="s">
        <v>74</v>
      </c>
      <c r="BB907">
        <v>85</v>
      </c>
      <c r="BC907">
        <v>91</v>
      </c>
      <c r="BD907" t="s">
        <v>74</v>
      </c>
      <c r="BE907" t="s">
        <v>15823</v>
      </c>
      <c r="BF907" t="str">
        <f>HYPERLINK("http://dx.doi.org/10.1016/j.nima.2010.09.032","http://dx.doi.org/10.1016/j.nima.2010.09.032")</f>
        <v>http://dx.doi.org/10.1016/j.nima.2010.09.032</v>
      </c>
      <c r="BG907" t="s">
        <v>74</v>
      </c>
      <c r="BH907" t="s">
        <v>74</v>
      </c>
      <c r="BI907">
        <v>7</v>
      </c>
      <c r="BJ907" t="s">
        <v>2021</v>
      </c>
      <c r="BK907" t="s">
        <v>100</v>
      </c>
      <c r="BL907" t="s">
        <v>2023</v>
      </c>
      <c r="BM907" t="s">
        <v>15824</v>
      </c>
      <c r="BN907" t="s">
        <v>74</v>
      </c>
      <c r="BO907" t="s">
        <v>138</v>
      </c>
      <c r="BP907" t="s">
        <v>74</v>
      </c>
      <c r="BQ907" t="s">
        <v>74</v>
      </c>
      <c r="BR907" t="s">
        <v>103</v>
      </c>
      <c r="BS907" t="s">
        <v>15825</v>
      </c>
      <c r="BT907" t="str">
        <f>HYPERLINK("https%3A%2F%2Fwww.webofscience.com%2Fwos%2Fwoscc%2Ffull-record%2FWOS:000284303600011","View Full Record in Web of Science")</f>
        <v>View Full Record in Web of Science</v>
      </c>
    </row>
    <row r="908" spans="1:72" x14ac:dyDescent="0.15">
      <c r="A908" t="s">
        <v>72</v>
      </c>
      <c r="B908" t="s">
        <v>15826</v>
      </c>
      <c r="C908" t="s">
        <v>74</v>
      </c>
      <c r="D908" t="s">
        <v>74</v>
      </c>
      <c r="E908" t="s">
        <v>74</v>
      </c>
      <c r="F908" t="s">
        <v>15827</v>
      </c>
      <c r="G908" t="s">
        <v>74</v>
      </c>
      <c r="H908" t="s">
        <v>74</v>
      </c>
      <c r="I908" t="s">
        <v>15828</v>
      </c>
      <c r="J908" t="s">
        <v>15829</v>
      </c>
      <c r="K908" t="s">
        <v>74</v>
      </c>
      <c r="L908" t="s">
        <v>74</v>
      </c>
      <c r="M908" t="s">
        <v>78</v>
      </c>
      <c r="N908" t="s">
        <v>403</v>
      </c>
      <c r="O908" t="s">
        <v>74</v>
      </c>
      <c r="P908" t="s">
        <v>74</v>
      </c>
      <c r="Q908" t="s">
        <v>74</v>
      </c>
      <c r="R908" t="s">
        <v>74</v>
      </c>
      <c r="S908" t="s">
        <v>74</v>
      </c>
      <c r="T908" t="s">
        <v>74</v>
      </c>
      <c r="U908" t="s">
        <v>74</v>
      </c>
      <c r="V908" t="s">
        <v>74</v>
      </c>
      <c r="W908" t="s">
        <v>74</v>
      </c>
      <c r="X908" t="s">
        <v>74</v>
      </c>
      <c r="Y908" t="s">
        <v>74</v>
      </c>
      <c r="Z908" t="s">
        <v>74</v>
      </c>
      <c r="AA908" t="s">
        <v>74</v>
      </c>
      <c r="AB908" t="s">
        <v>74</v>
      </c>
      <c r="AC908" t="s">
        <v>74</v>
      </c>
      <c r="AD908" t="s">
        <v>74</v>
      </c>
      <c r="AE908" t="s">
        <v>74</v>
      </c>
      <c r="AF908" t="s">
        <v>74</v>
      </c>
      <c r="AG908">
        <v>0</v>
      </c>
      <c r="AH908">
        <v>0</v>
      </c>
      <c r="AI908">
        <v>0</v>
      </c>
      <c r="AJ908">
        <v>0</v>
      </c>
      <c r="AK908">
        <v>1</v>
      </c>
      <c r="AL908" t="s">
        <v>15830</v>
      </c>
      <c r="AM908" t="s">
        <v>15831</v>
      </c>
      <c r="AN908" t="s">
        <v>15832</v>
      </c>
      <c r="AO908" t="s">
        <v>15833</v>
      </c>
      <c r="AP908" t="s">
        <v>74</v>
      </c>
      <c r="AQ908" t="s">
        <v>74</v>
      </c>
      <c r="AR908" t="s">
        <v>15829</v>
      </c>
      <c r="AS908" t="s">
        <v>250</v>
      </c>
      <c r="AT908" t="s">
        <v>14347</v>
      </c>
      <c r="AU908">
        <v>2010</v>
      </c>
      <c r="AV908">
        <v>23</v>
      </c>
      <c r="AW908">
        <v>4</v>
      </c>
      <c r="AX908" t="s">
        <v>74</v>
      </c>
      <c r="AY908" t="s">
        <v>74</v>
      </c>
      <c r="AZ908" t="s">
        <v>967</v>
      </c>
      <c r="BA908" t="s">
        <v>74</v>
      </c>
      <c r="BB908">
        <v>10</v>
      </c>
      <c r="BC908">
        <v>10</v>
      </c>
      <c r="BD908" t="s">
        <v>74</v>
      </c>
      <c r="BE908" t="s">
        <v>74</v>
      </c>
      <c r="BF908" t="s">
        <v>74</v>
      </c>
      <c r="BG908" t="s">
        <v>74</v>
      </c>
      <c r="BH908" t="s">
        <v>74</v>
      </c>
      <c r="BI908">
        <v>1</v>
      </c>
      <c r="BJ908" t="s">
        <v>250</v>
      </c>
      <c r="BK908" t="s">
        <v>100</v>
      </c>
      <c r="BL908" t="s">
        <v>250</v>
      </c>
      <c r="BM908" t="s">
        <v>15834</v>
      </c>
      <c r="BN908" t="s">
        <v>74</v>
      </c>
      <c r="BO908" t="s">
        <v>74</v>
      </c>
      <c r="BP908" t="s">
        <v>74</v>
      </c>
      <c r="BQ908" t="s">
        <v>74</v>
      </c>
      <c r="BR908" t="s">
        <v>103</v>
      </c>
      <c r="BS908" t="s">
        <v>15835</v>
      </c>
      <c r="BT908" t="str">
        <f>HYPERLINK("https%3A%2F%2Fwww.webofscience.com%2Fwos%2Fwoscc%2Ffull-record%2FWOS:000285493400003","View Full Record in Web of Science")</f>
        <v>View Full Record in Web of Science</v>
      </c>
    </row>
    <row r="909" spans="1:72" x14ac:dyDescent="0.15">
      <c r="A909" t="s">
        <v>72</v>
      </c>
      <c r="B909" t="s">
        <v>15836</v>
      </c>
      <c r="C909" t="s">
        <v>74</v>
      </c>
      <c r="D909" t="s">
        <v>74</v>
      </c>
      <c r="E909" t="s">
        <v>74</v>
      </c>
      <c r="F909" t="s">
        <v>15837</v>
      </c>
      <c r="G909" t="s">
        <v>74</v>
      </c>
      <c r="H909" t="s">
        <v>74</v>
      </c>
      <c r="I909" t="s">
        <v>15838</v>
      </c>
      <c r="J909" t="s">
        <v>1284</v>
      </c>
      <c r="K909" t="s">
        <v>74</v>
      </c>
      <c r="L909" t="s">
        <v>74</v>
      </c>
      <c r="M909" t="s">
        <v>78</v>
      </c>
      <c r="N909" t="s">
        <v>79</v>
      </c>
      <c r="O909" t="s">
        <v>74</v>
      </c>
      <c r="P909" t="s">
        <v>74</v>
      </c>
      <c r="Q909" t="s">
        <v>74</v>
      </c>
      <c r="R909" t="s">
        <v>74</v>
      </c>
      <c r="S909" t="s">
        <v>74</v>
      </c>
      <c r="T909" t="s">
        <v>74</v>
      </c>
      <c r="U909" t="s">
        <v>74</v>
      </c>
      <c r="V909" t="s">
        <v>15839</v>
      </c>
      <c r="W909" t="s">
        <v>15840</v>
      </c>
      <c r="X909" t="s">
        <v>1288</v>
      </c>
      <c r="Y909" t="s">
        <v>15841</v>
      </c>
      <c r="Z909" t="s">
        <v>15842</v>
      </c>
      <c r="AA909" t="s">
        <v>15843</v>
      </c>
      <c r="AB909" t="s">
        <v>15844</v>
      </c>
      <c r="AC909" t="s">
        <v>15845</v>
      </c>
      <c r="AD909" t="s">
        <v>15846</v>
      </c>
      <c r="AE909" t="s">
        <v>15847</v>
      </c>
      <c r="AF909" t="s">
        <v>74</v>
      </c>
      <c r="AG909">
        <v>9</v>
      </c>
      <c r="AH909">
        <v>12</v>
      </c>
      <c r="AI909">
        <v>12</v>
      </c>
      <c r="AJ909">
        <v>0</v>
      </c>
      <c r="AK909">
        <v>2</v>
      </c>
      <c r="AL909" t="s">
        <v>1234</v>
      </c>
      <c r="AM909" t="s">
        <v>91</v>
      </c>
      <c r="AN909" t="s">
        <v>1235</v>
      </c>
      <c r="AO909" t="s">
        <v>1295</v>
      </c>
      <c r="AP909" t="s">
        <v>15848</v>
      </c>
      <c r="AQ909" t="s">
        <v>74</v>
      </c>
      <c r="AR909" t="s">
        <v>1296</v>
      </c>
      <c r="AS909" t="s">
        <v>1297</v>
      </c>
      <c r="AT909" t="s">
        <v>14347</v>
      </c>
      <c r="AU909">
        <v>2010</v>
      </c>
      <c r="AV909">
        <v>50</v>
      </c>
      <c r="AW909">
        <v>6</v>
      </c>
      <c r="AX909" t="s">
        <v>74</v>
      </c>
      <c r="AY909" t="s">
        <v>74</v>
      </c>
      <c r="AZ909" t="s">
        <v>74</v>
      </c>
      <c r="BA909" t="s">
        <v>74</v>
      </c>
      <c r="BB909">
        <v>821</v>
      </c>
      <c r="BC909">
        <v>828</v>
      </c>
      <c r="BD909" t="s">
        <v>74</v>
      </c>
      <c r="BE909" t="s">
        <v>15849</v>
      </c>
      <c r="BF909" t="str">
        <f>HYPERLINK("http://dx.doi.org/10.1134/S0001437010060019","http://dx.doi.org/10.1134/S0001437010060019")</f>
        <v>http://dx.doi.org/10.1134/S0001437010060019</v>
      </c>
      <c r="BG909" t="s">
        <v>74</v>
      </c>
      <c r="BH909" t="s">
        <v>74</v>
      </c>
      <c r="BI909">
        <v>8</v>
      </c>
      <c r="BJ909" t="s">
        <v>250</v>
      </c>
      <c r="BK909" t="s">
        <v>100</v>
      </c>
      <c r="BL909" t="s">
        <v>250</v>
      </c>
      <c r="BM909" t="s">
        <v>14413</v>
      </c>
      <c r="BN909" t="s">
        <v>74</v>
      </c>
      <c r="BO909" t="s">
        <v>74</v>
      </c>
      <c r="BP909" t="s">
        <v>74</v>
      </c>
      <c r="BQ909" t="s">
        <v>74</v>
      </c>
      <c r="BR909" t="s">
        <v>103</v>
      </c>
      <c r="BS909" t="s">
        <v>15850</v>
      </c>
      <c r="BT909" t="str">
        <f>HYPERLINK("https%3A%2F%2Fwww.webofscience.com%2Fwos%2Fwoscc%2Ffull-record%2FWOS:000288430600001","View Full Record in Web of Science")</f>
        <v>View Full Record in Web of Science</v>
      </c>
    </row>
    <row r="910" spans="1:72" x14ac:dyDescent="0.15">
      <c r="A910" t="s">
        <v>72</v>
      </c>
      <c r="B910" t="s">
        <v>15851</v>
      </c>
      <c r="C910" t="s">
        <v>74</v>
      </c>
      <c r="D910" t="s">
        <v>74</v>
      </c>
      <c r="E910" t="s">
        <v>74</v>
      </c>
      <c r="F910" t="s">
        <v>15852</v>
      </c>
      <c r="G910" t="s">
        <v>74</v>
      </c>
      <c r="H910" t="s">
        <v>74</v>
      </c>
      <c r="I910" t="s">
        <v>15853</v>
      </c>
      <c r="J910" t="s">
        <v>15854</v>
      </c>
      <c r="K910" t="s">
        <v>74</v>
      </c>
      <c r="L910" t="s">
        <v>74</v>
      </c>
      <c r="M910" t="s">
        <v>78</v>
      </c>
      <c r="N910" t="s">
        <v>79</v>
      </c>
      <c r="O910" t="s">
        <v>74</v>
      </c>
      <c r="P910" t="s">
        <v>74</v>
      </c>
      <c r="Q910" t="s">
        <v>74</v>
      </c>
      <c r="R910" t="s">
        <v>74</v>
      </c>
      <c r="S910" t="s">
        <v>74</v>
      </c>
      <c r="T910" t="s">
        <v>15855</v>
      </c>
      <c r="U910" t="s">
        <v>15856</v>
      </c>
      <c r="V910" t="s">
        <v>15857</v>
      </c>
      <c r="W910" t="s">
        <v>15858</v>
      </c>
      <c r="X910" t="s">
        <v>15859</v>
      </c>
      <c r="Y910" t="s">
        <v>15860</v>
      </c>
      <c r="Z910" t="s">
        <v>15861</v>
      </c>
      <c r="AA910" t="s">
        <v>15862</v>
      </c>
      <c r="AB910" t="s">
        <v>15863</v>
      </c>
      <c r="AC910" t="s">
        <v>15864</v>
      </c>
      <c r="AD910" t="s">
        <v>15865</v>
      </c>
      <c r="AE910" t="s">
        <v>15866</v>
      </c>
      <c r="AF910" t="s">
        <v>74</v>
      </c>
      <c r="AG910">
        <v>41</v>
      </c>
      <c r="AH910">
        <v>27</v>
      </c>
      <c r="AI910">
        <v>28</v>
      </c>
      <c r="AJ910">
        <v>1</v>
      </c>
      <c r="AK910">
        <v>36</v>
      </c>
      <c r="AL910" t="s">
        <v>270</v>
      </c>
      <c r="AM910" t="s">
        <v>91</v>
      </c>
      <c r="AN910" t="s">
        <v>320</v>
      </c>
      <c r="AO910" t="s">
        <v>15867</v>
      </c>
      <c r="AP910" t="s">
        <v>15868</v>
      </c>
      <c r="AQ910" t="s">
        <v>74</v>
      </c>
      <c r="AR910" t="s">
        <v>15854</v>
      </c>
      <c r="AS910" t="s">
        <v>15869</v>
      </c>
      <c r="AT910" t="s">
        <v>14347</v>
      </c>
      <c r="AU910">
        <v>2010</v>
      </c>
      <c r="AV910">
        <v>164</v>
      </c>
      <c r="AW910">
        <v>4</v>
      </c>
      <c r="AX910" t="s">
        <v>74</v>
      </c>
      <c r="AY910" t="s">
        <v>74</v>
      </c>
      <c r="AZ910" t="s">
        <v>74</v>
      </c>
      <c r="BA910" t="s">
        <v>74</v>
      </c>
      <c r="BB910">
        <v>911</v>
      </c>
      <c r="BC910">
        <v>919</v>
      </c>
      <c r="BD910" t="s">
        <v>74</v>
      </c>
      <c r="BE910" t="s">
        <v>15870</v>
      </c>
      <c r="BF910" t="str">
        <f>HYPERLINK("http://dx.doi.org/10.1007/s00442-010-1790-2","http://dx.doi.org/10.1007/s00442-010-1790-2")</f>
        <v>http://dx.doi.org/10.1007/s00442-010-1790-2</v>
      </c>
      <c r="BG910" t="s">
        <v>74</v>
      </c>
      <c r="BH910" t="s">
        <v>74</v>
      </c>
      <c r="BI910">
        <v>9</v>
      </c>
      <c r="BJ910" t="s">
        <v>821</v>
      </c>
      <c r="BK910" t="s">
        <v>100</v>
      </c>
      <c r="BL910" t="s">
        <v>822</v>
      </c>
      <c r="BM910" t="s">
        <v>15871</v>
      </c>
      <c r="BN910">
        <v>20886238</v>
      </c>
      <c r="BO910" t="s">
        <v>74</v>
      </c>
      <c r="BP910" t="s">
        <v>74</v>
      </c>
      <c r="BQ910" t="s">
        <v>74</v>
      </c>
      <c r="BR910" t="s">
        <v>103</v>
      </c>
      <c r="BS910" t="s">
        <v>15872</v>
      </c>
      <c r="BT910" t="str">
        <f>HYPERLINK("https%3A%2F%2Fwww.webofscience.com%2Fwos%2Fwoscc%2Ffull-record%2FWOS:000284271900007","View Full Record in Web of Science")</f>
        <v>View Full Record in Web of Science</v>
      </c>
    </row>
    <row r="911" spans="1:72" x14ac:dyDescent="0.15">
      <c r="A911" t="s">
        <v>72</v>
      </c>
      <c r="B911" t="s">
        <v>15873</v>
      </c>
      <c r="C911" t="s">
        <v>74</v>
      </c>
      <c r="D911" t="s">
        <v>74</v>
      </c>
      <c r="E911" t="s">
        <v>74</v>
      </c>
      <c r="F911" t="s">
        <v>15874</v>
      </c>
      <c r="G911" t="s">
        <v>74</v>
      </c>
      <c r="H911" t="s">
        <v>74</v>
      </c>
      <c r="I911" t="s">
        <v>15875</v>
      </c>
      <c r="J911" t="s">
        <v>15876</v>
      </c>
      <c r="K911" t="s">
        <v>74</v>
      </c>
      <c r="L911" t="s">
        <v>74</v>
      </c>
      <c r="M911" t="s">
        <v>78</v>
      </c>
      <c r="N911" t="s">
        <v>52</v>
      </c>
      <c r="O911" t="s">
        <v>74</v>
      </c>
      <c r="P911" t="s">
        <v>74</v>
      </c>
      <c r="Q911" t="s">
        <v>74</v>
      </c>
      <c r="R911" t="s">
        <v>74</v>
      </c>
      <c r="S911" t="s">
        <v>74</v>
      </c>
      <c r="T911" t="s">
        <v>74</v>
      </c>
      <c r="U911" t="s">
        <v>74</v>
      </c>
      <c r="V911" t="s">
        <v>74</v>
      </c>
      <c r="W911" t="s">
        <v>15877</v>
      </c>
      <c r="X911" t="s">
        <v>15878</v>
      </c>
      <c r="Y911" t="s">
        <v>74</v>
      </c>
      <c r="Z911" t="s">
        <v>74</v>
      </c>
      <c r="AA911" t="s">
        <v>15879</v>
      </c>
      <c r="AB911" t="s">
        <v>74</v>
      </c>
      <c r="AC911" t="s">
        <v>74</v>
      </c>
      <c r="AD911" t="s">
        <v>74</v>
      </c>
      <c r="AE911" t="s">
        <v>74</v>
      </c>
      <c r="AF911" t="s">
        <v>74</v>
      </c>
      <c r="AG911">
        <v>0</v>
      </c>
      <c r="AH911">
        <v>0</v>
      </c>
      <c r="AI911">
        <v>0</v>
      </c>
      <c r="AJ911">
        <v>0</v>
      </c>
      <c r="AK911">
        <v>2</v>
      </c>
      <c r="AL911" t="s">
        <v>270</v>
      </c>
      <c r="AM911" t="s">
        <v>271</v>
      </c>
      <c r="AN911" t="s">
        <v>272</v>
      </c>
      <c r="AO911" t="s">
        <v>15880</v>
      </c>
      <c r="AP911" t="s">
        <v>74</v>
      </c>
      <c r="AQ911" t="s">
        <v>74</v>
      </c>
      <c r="AR911" t="s">
        <v>15881</v>
      </c>
      <c r="AS911" t="s">
        <v>15882</v>
      </c>
      <c r="AT911" t="s">
        <v>14347</v>
      </c>
      <c r="AU911">
        <v>2010</v>
      </c>
      <c r="AV911">
        <v>40</v>
      </c>
      <c r="AW911">
        <v>6</v>
      </c>
      <c r="AX911" t="s">
        <v>74</v>
      </c>
      <c r="AY911" t="s">
        <v>74</v>
      </c>
      <c r="AZ911" t="s">
        <v>967</v>
      </c>
      <c r="BA911" t="s">
        <v>74</v>
      </c>
      <c r="BB911">
        <v>543</v>
      </c>
      <c r="BC911">
        <v>543</v>
      </c>
      <c r="BD911" t="s">
        <v>74</v>
      </c>
      <c r="BE911" t="s">
        <v>74</v>
      </c>
      <c r="BF911" t="s">
        <v>74</v>
      </c>
      <c r="BG911" t="s">
        <v>74</v>
      </c>
      <c r="BH911" t="s">
        <v>74</v>
      </c>
      <c r="BI911">
        <v>1</v>
      </c>
      <c r="BJ911" t="s">
        <v>6468</v>
      </c>
      <c r="BK911" t="s">
        <v>100</v>
      </c>
      <c r="BL911" t="s">
        <v>6469</v>
      </c>
      <c r="BM911" t="s">
        <v>15883</v>
      </c>
      <c r="BN911" t="s">
        <v>74</v>
      </c>
      <c r="BO911" t="s">
        <v>74</v>
      </c>
      <c r="BP911" t="s">
        <v>74</v>
      </c>
      <c r="BQ911" t="s">
        <v>74</v>
      </c>
      <c r="BR911" t="s">
        <v>103</v>
      </c>
      <c r="BS911" t="s">
        <v>15884</v>
      </c>
      <c r="BT911" t="str">
        <f>HYPERLINK("https%3A%2F%2Fwww.webofscience.com%2Fwos%2Fwoscc%2Ffull-record%2FWOS:000285069400037","View Full Record in Web of Science")</f>
        <v>View Full Record in Web of Science</v>
      </c>
    </row>
    <row r="912" spans="1:72" x14ac:dyDescent="0.15">
      <c r="A912" t="s">
        <v>72</v>
      </c>
      <c r="B912" t="s">
        <v>15885</v>
      </c>
      <c r="C912" t="s">
        <v>74</v>
      </c>
      <c r="D912" t="s">
        <v>74</v>
      </c>
      <c r="E912" t="s">
        <v>74</v>
      </c>
      <c r="F912" t="s">
        <v>15886</v>
      </c>
      <c r="G912" t="s">
        <v>74</v>
      </c>
      <c r="H912" t="s">
        <v>74</v>
      </c>
      <c r="I912" t="s">
        <v>15887</v>
      </c>
      <c r="J912" t="s">
        <v>15876</v>
      </c>
      <c r="K912" t="s">
        <v>74</v>
      </c>
      <c r="L912" t="s">
        <v>74</v>
      </c>
      <c r="M912" t="s">
        <v>78</v>
      </c>
      <c r="N912" t="s">
        <v>52</v>
      </c>
      <c r="O912" t="s">
        <v>74</v>
      </c>
      <c r="P912" t="s">
        <v>74</v>
      </c>
      <c r="Q912" t="s">
        <v>74</v>
      </c>
      <c r="R912" t="s">
        <v>74</v>
      </c>
      <c r="S912" t="s">
        <v>74</v>
      </c>
      <c r="T912" t="s">
        <v>74</v>
      </c>
      <c r="U912" t="s">
        <v>74</v>
      </c>
      <c r="V912" t="s">
        <v>74</v>
      </c>
      <c r="W912" t="s">
        <v>15888</v>
      </c>
      <c r="X912" t="s">
        <v>15889</v>
      </c>
      <c r="Y912" t="s">
        <v>74</v>
      </c>
      <c r="Z912" t="s">
        <v>74</v>
      </c>
      <c r="AA912" t="s">
        <v>15890</v>
      </c>
      <c r="AB912" t="s">
        <v>15891</v>
      </c>
      <c r="AC912" t="s">
        <v>74</v>
      </c>
      <c r="AD912" t="s">
        <v>74</v>
      </c>
      <c r="AE912" t="s">
        <v>74</v>
      </c>
      <c r="AF912" t="s">
        <v>74</v>
      </c>
      <c r="AG912">
        <v>0</v>
      </c>
      <c r="AH912">
        <v>0</v>
      </c>
      <c r="AI912">
        <v>0</v>
      </c>
      <c r="AJ912">
        <v>0</v>
      </c>
      <c r="AK912">
        <v>4</v>
      </c>
      <c r="AL912" t="s">
        <v>270</v>
      </c>
      <c r="AM912" t="s">
        <v>271</v>
      </c>
      <c r="AN912" t="s">
        <v>272</v>
      </c>
      <c r="AO912" t="s">
        <v>15880</v>
      </c>
      <c r="AP912" t="s">
        <v>74</v>
      </c>
      <c r="AQ912" t="s">
        <v>74</v>
      </c>
      <c r="AR912" t="s">
        <v>15881</v>
      </c>
      <c r="AS912" t="s">
        <v>15882</v>
      </c>
      <c r="AT912" t="s">
        <v>14347</v>
      </c>
      <c r="AU912">
        <v>2010</v>
      </c>
      <c r="AV912">
        <v>40</v>
      </c>
      <c r="AW912">
        <v>6</v>
      </c>
      <c r="AX912" t="s">
        <v>74</v>
      </c>
      <c r="AY912" t="s">
        <v>74</v>
      </c>
      <c r="AZ912" t="s">
        <v>967</v>
      </c>
      <c r="BA912" t="s">
        <v>74</v>
      </c>
      <c r="BB912">
        <v>544</v>
      </c>
      <c r="BC912">
        <v>544</v>
      </c>
      <c r="BD912" t="s">
        <v>74</v>
      </c>
      <c r="BE912" t="s">
        <v>74</v>
      </c>
      <c r="BF912" t="s">
        <v>74</v>
      </c>
      <c r="BG912" t="s">
        <v>74</v>
      </c>
      <c r="BH912" t="s">
        <v>74</v>
      </c>
      <c r="BI912">
        <v>1</v>
      </c>
      <c r="BJ912" t="s">
        <v>6468</v>
      </c>
      <c r="BK912" t="s">
        <v>100</v>
      </c>
      <c r="BL912" t="s">
        <v>6469</v>
      </c>
      <c r="BM912" t="s">
        <v>15883</v>
      </c>
      <c r="BN912" t="s">
        <v>74</v>
      </c>
      <c r="BO912" t="s">
        <v>74</v>
      </c>
      <c r="BP912" t="s">
        <v>74</v>
      </c>
      <c r="BQ912" t="s">
        <v>74</v>
      </c>
      <c r="BR912" t="s">
        <v>103</v>
      </c>
      <c r="BS912" t="s">
        <v>15892</v>
      </c>
      <c r="BT912" t="str">
        <f>HYPERLINK("https%3A%2F%2Fwww.webofscience.com%2Fwos%2Fwoscc%2Ffull-record%2FWOS:000285069400038","View Full Record in Web of Science")</f>
        <v>View Full Record in Web of Science</v>
      </c>
    </row>
    <row r="913" spans="1:72" x14ac:dyDescent="0.15">
      <c r="A913" t="s">
        <v>72</v>
      </c>
      <c r="B913" t="s">
        <v>15893</v>
      </c>
      <c r="C913" t="s">
        <v>74</v>
      </c>
      <c r="D913" t="s">
        <v>74</v>
      </c>
      <c r="E913" t="s">
        <v>74</v>
      </c>
      <c r="F913" t="s">
        <v>15894</v>
      </c>
      <c r="G913" t="s">
        <v>74</v>
      </c>
      <c r="H913" t="s">
        <v>74</v>
      </c>
      <c r="I913" t="s">
        <v>15895</v>
      </c>
      <c r="J913" t="s">
        <v>1359</v>
      </c>
      <c r="K913" t="s">
        <v>74</v>
      </c>
      <c r="L913" t="s">
        <v>74</v>
      </c>
      <c r="M913" t="s">
        <v>78</v>
      </c>
      <c r="N913" t="s">
        <v>79</v>
      </c>
      <c r="O913" t="s">
        <v>74</v>
      </c>
      <c r="P913" t="s">
        <v>74</v>
      </c>
      <c r="Q913" t="s">
        <v>74</v>
      </c>
      <c r="R913" t="s">
        <v>74</v>
      </c>
      <c r="S913" t="s">
        <v>74</v>
      </c>
      <c r="T913" t="s">
        <v>15896</v>
      </c>
      <c r="U913" t="s">
        <v>15897</v>
      </c>
      <c r="V913" t="s">
        <v>15898</v>
      </c>
      <c r="W913" t="s">
        <v>15899</v>
      </c>
      <c r="X913" t="s">
        <v>15900</v>
      </c>
      <c r="Y913" t="s">
        <v>15901</v>
      </c>
      <c r="Z913" t="s">
        <v>15902</v>
      </c>
      <c r="AA913" t="s">
        <v>74</v>
      </c>
      <c r="AB913" t="s">
        <v>15903</v>
      </c>
      <c r="AC913" t="s">
        <v>15904</v>
      </c>
      <c r="AD913" t="s">
        <v>15905</v>
      </c>
      <c r="AE913" t="s">
        <v>15906</v>
      </c>
      <c r="AF913" t="s">
        <v>74</v>
      </c>
      <c r="AG913">
        <v>84</v>
      </c>
      <c r="AH913">
        <v>25</v>
      </c>
      <c r="AI913">
        <v>27</v>
      </c>
      <c r="AJ913">
        <v>0</v>
      </c>
      <c r="AK913">
        <v>27</v>
      </c>
      <c r="AL913" t="s">
        <v>270</v>
      </c>
      <c r="AM913" t="s">
        <v>91</v>
      </c>
      <c r="AN913" t="s">
        <v>296</v>
      </c>
      <c r="AO913" t="s">
        <v>1372</v>
      </c>
      <c r="AP913" t="s">
        <v>1373</v>
      </c>
      <c r="AQ913" t="s">
        <v>74</v>
      </c>
      <c r="AR913" t="s">
        <v>1374</v>
      </c>
      <c r="AS913" t="s">
        <v>1375</v>
      </c>
      <c r="AT913" t="s">
        <v>14347</v>
      </c>
      <c r="AU913">
        <v>2010</v>
      </c>
      <c r="AV913">
        <v>33</v>
      </c>
      <c r="AW913">
        <v>12</v>
      </c>
      <c r="AX913" t="s">
        <v>74</v>
      </c>
      <c r="AY913" t="s">
        <v>74</v>
      </c>
      <c r="AZ913" t="s">
        <v>74</v>
      </c>
      <c r="BA913" t="s">
        <v>74</v>
      </c>
      <c r="BB913">
        <v>1599</v>
      </c>
      <c r="BC913">
        <v>1614</v>
      </c>
      <c r="BD913" t="s">
        <v>74</v>
      </c>
      <c r="BE913" t="s">
        <v>15907</v>
      </c>
      <c r="BF913" t="str">
        <f>HYPERLINK("http://dx.doi.org/10.1007/s00300-010-0806-z","http://dx.doi.org/10.1007/s00300-010-0806-z")</f>
        <v>http://dx.doi.org/10.1007/s00300-010-0806-z</v>
      </c>
      <c r="BG913" t="s">
        <v>74</v>
      </c>
      <c r="BH913" t="s">
        <v>74</v>
      </c>
      <c r="BI913">
        <v>16</v>
      </c>
      <c r="BJ913" t="s">
        <v>943</v>
      </c>
      <c r="BK913" t="s">
        <v>100</v>
      </c>
      <c r="BL913" t="s">
        <v>870</v>
      </c>
      <c r="BM913" t="s">
        <v>15908</v>
      </c>
      <c r="BN913" t="s">
        <v>74</v>
      </c>
      <c r="BO913" t="s">
        <v>74</v>
      </c>
      <c r="BP913" t="s">
        <v>74</v>
      </c>
      <c r="BQ913" t="s">
        <v>74</v>
      </c>
      <c r="BR913" t="s">
        <v>103</v>
      </c>
      <c r="BS913" t="s">
        <v>15909</v>
      </c>
      <c r="BT913" t="str">
        <f>HYPERLINK("https%3A%2F%2Fwww.webofscience.com%2Fwos%2Fwoscc%2Ffull-record%2FWOS:000286392500002","View Full Record in Web of Science")</f>
        <v>View Full Record in Web of Science</v>
      </c>
    </row>
    <row r="914" spans="1:72" x14ac:dyDescent="0.15">
      <c r="A914" t="s">
        <v>72</v>
      </c>
      <c r="B914" t="s">
        <v>15910</v>
      </c>
      <c r="C914" t="s">
        <v>74</v>
      </c>
      <c r="D914" t="s">
        <v>74</v>
      </c>
      <c r="E914" t="s">
        <v>74</v>
      </c>
      <c r="F914" t="s">
        <v>15911</v>
      </c>
      <c r="G914" t="s">
        <v>74</v>
      </c>
      <c r="H914" t="s">
        <v>74</v>
      </c>
      <c r="I914" t="s">
        <v>15912</v>
      </c>
      <c r="J914" t="s">
        <v>11727</v>
      </c>
      <c r="K914" t="s">
        <v>74</v>
      </c>
      <c r="L914" t="s">
        <v>74</v>
      </c>
      <c r="M914" t="s">
        <v>78</v>
      </c>
      <c r="N914" t="s">
        <v>79</v>
      </c>
      <c r="O914" t="s">
        <v>74</v>
      </c>
      <c r="P914" t="s">
        <v>74</v>
      </c>
      <c r="Q914" t="s">
        <v>74</v>
      </c>
      <c r="R914" t="s">
        <v>74</v>
      </c>
      <c r="S914" t="s">
        <v>74</v>
      </c>
      <c r="T914" t="s">
        <v>15913</v>
      </c>
      <c r="U914" t="s">
        <v>15914</v>
      </c>
      <c r="V914" t="s">
        <v>15915</v>
      </c>
      <c r="W914" t="s">
        <v>15916</v>
      </c>
      <c r="X914" t="s">
        <v>15917</v>
      </c>
      <c r="Y914" t="s">
        <v>15918</v>
      </c>
      <c r="Z914" t="s">
        <v>5877</v>
      </c>
      <c r="AA914" t="s">
        <v>15919</v>
      </c>
      <c r="AB914" t="s">
        <v>15920</v>
      </c>
      <c r="AC914" t="s">
        <v>15921</v>
      </c>
      <c r="AD914" t="s">
        <v>15922</v>
      </c>
      <c r="AE914" t="s">
        <v>15923</v>
      </c>
      <c r="AF914" t="s">
        <v>74</v>
      </c>
      <c r="AG914">
        <v>47</v>
      </c>
      <c r="AH914">
        <v>18</v>
      </c>
      <c r="AI914">
        <v>18</v>
      </c>
      <c r="AJ914">
        <v>1</v>
      </c>
      <c r="AK914">
        <v>16</v>
      </c>
      <c r="AL914" t="s">
        <v>11878</v>
      </c>
      <c r="AM914" t="s">
        <v>11879</v>
      </c>
      <c r="AN914" t="s">
        <v>11880</v>
      </c>
      <c r="AO914" t="s">
        <v>11743</v>
      </c>
      <c r="AP914" t="s">
        <v>11768</v>
      </c>
      <c r="AQ914" t="s">
        <v>74</v>
      </c>
      <c r="AR914" t="s">
        <v>11744</v>
      </c>
      <c r="AS914" t="s">
        <v>11745</v>
      </c>
      <c r="AT914" t="s">
        <v>14347</v>
      </c>
      <c r="AU914">
        <v>2010</v>
      </c>
      <c r="AV914">
        <v>29</v>
      </c>
      <c r="AW914">
        <v>3</v>
      </c>
      <c r="AX914" t="s">
        <v>74</v>
      </c>
      <c r="AY914" t="s">
        <v>74</v>
      </c>
      <c r="AZ914" t="s">
        <v>74</v>
      </c>
      <c r="BA914" t="s">
        <v>74</v>
      </c>
      <c r="BB914">
        <v>330</v>
      </c>
      <c r="BC914">
        <v>344</v>
      </c>
      <c r="BD914" t="s">
        <v>74</v>
      </c>
      <c r="BE914" t="s">
        <v>15924</v>
      </c>
      <c r="BF914" t="str">
        <f>HYPERLINK("http://dx.doi.org/10.1111/j.1751-8369.2010.00164.x","http://dx.doi.org/10.1111/j.1751-8369.2010.00164.x")</f>
        <v>http://dx.doi.org/10.1111/j.1751-8369.2010.00164.x</v>
      </c>
      <c r="BG914" t="s">
        <v>74</v>
      </c>
      <c r="BH914" t="s">
        <v>74</v>
      </c>
      <c r="BI914">
        <v>15</v>
      </c>
      <c r="BJ914" t="s">
        <v>11747</v>
      </c>
      <c r="BK914" t="s">
        <v>100</v>
      </c>
      <c r="BL914" t="s">
        <v>3774</v>
      </c>
      <c r="BM914" t="s">
        <v>14477</v>
      </c>
      <c r="BN914" t="s">
        <v>74</v>
      </c>
      <c r="BO914" t="s">
        <v>12679</v>
      </c>
      <c r="BP914" t="s">
        <v>74</v>
      </c>
      <c r="BQ914" t="s">
        <v>74</v>
      </c>
      <c r="BR914" t="s">
        <v>103</v>
      </c>
      <c r="BS914" t="s">
        <v>15925</v>
      </c>
      <c r="BT914" t="str">
        <f>HYPERLINK("https%3A%2F%2Fwww.webofscience.com%2Fwos%2Fwoscc%2Ffull-record%2FWOS:000285685000008","View Full Record in Web of Science")</f>
        <v>View Full Record in Web of Science</v>
      </c>
    </row>
    <row r="915" spans="1:72" x14ac:dyDescent="0.15">
      <c r="A915" t="s">
        <v>72</v>
      </c>
      <c r="B915" t="s">
        <v>15926</v>
      </c>
      <c r="C915" t="s">
        <v>74</v>
      </c>
      <c r="D915" t="s">
        <v>74</v>
      </c>
      <c r="E915" t="s">
        <v>74</v>
      </c>
      <c r="F915" t="s">
        <v>15927</v>
      </c>
      <c r="G915" t="s">
        <v>74</v>
      </c>
      <c r="H915" t="s">
        <v>74</v>
      </c>
      <c r="I915" t="s">
        <v>15928</v>
      </c>
      <c r="J915" t="s">
        <v>11727</v>
      </c>
      <c r="K915" t="s">
        <v>74</v>
      </c>
      <c r="L915" t="s">
        <v>74</v>
      </c>
      <c r="M915" t="s">
        <v>78</v>
      </c>
      <c r="N915" t="s">
        <v>79</v>
      </c>
      <c r="O915" t="s">
        <v>74</v>
      </c>
      <c r="P915" t="s">
        <v>74</v>
      </c>
      <c r="Q915" t="s">
        <v>74</v>
      </c>
      <c r="R915" t="s">
        <v>74</v>
      </c>
      <c r="S915" t="s">
        <v>74</v>
      </c>
      <c r="T915" t="s">
        <v>15929</v>
      </c>
      <c r="U915" t="s">
        <v>15930</v>
      </c>
      <c r="V915" t="s">
        <v>15931</v>
      </c>
      <c r="W915" t="s">
        <v>15932</v>
      </c>
      <c r="X915" t="s">
        <v>15933</v>
      </c>
      <c r="Y915" t="s">
        <v>15934</v>
      </c>
      <c r="Z915" t="s">
        <v>15935</v>
      </c>
      <c r="AA915" t="s">
        <v>15936</v>
      </c>
      <c r="AB915" t="s">
        <v>74</v>
      </c>
      <c r="AC915" t="s">
        <v>15937</v>
      </c>
      <c r="AD915" t="s">
        <v>15938</v>
      </c>
      <c r="AE915" t="s">
        <v>15939</v>
      </c>
      <c r="AF915" t="s">
        <v>74</v>
      </c>
      <c r="AG915">
        <v>21</v>
      </c>
      <c r="AH915">
        <v>34</v>
      </c>
      <c r="AI915">
        <v>42</v>
      </c>
      <c r="AJ915">
        <v>1</v>
      </c>
      <c r="AK915">
        <v>20</v>
      </c>
      <c r="AL915" t="s">
        <v>11765</v>
      </c>
      <c r="AM915" t="s">
        <v>11766</v>
      </c>
      <c r="AN915" t="s">
        <v>11767</v>
      </c>
      <c r="AO915" t="s">
        <v>11743</v>
      </c>
      <c r="AP915" t="s">
        <v>11768</v>
      </c>
      <c r="AQ915" t="s">
        <v>74</v>
      </c>
      <c r="AR915" t="s">
        <v>11769</v>
      </c>
      <c r="AS915" t="s">
        <v>11745</v>
      </c>
      <c r="AT915" t="s">
        <v>14347</v>
      </c>
      <c r="AU915">
        <v>2010</v>
      </c>
      <c r="AV915">
        <v>29</v>
      </c>
      <c r="AW915">
        <v>3</v>
      </c>
      <c r="AX915" t="s">
        <v>74</v>
      </c>
      <c r="AY915" t="s">
        <v>74</v>
      </c>
      <c r="AZ915" t="s">
        <v>74</v>
      </c>
      <c r="BA915" t="s">
        <v>74</v>
      </c>
      <c r="BB915">
        <v>421</v>
      </c>
      <c r="BC915">
        <v>429</v>
      </c>
      <c r="BD915" t="s">
        <v>74</v>
      </c>
      <c r="BE915" t="s">
        <v>15940</v>
      </c>
      <c r="BF915" t="str">
        <f>HYPERLINK("http://dx.doi.org/10.1111/j.1751-8369.2010.00189.x","http://dx.doi.org/10.1111/j.1751-8369.2010.00189.x")</f>
        <v>http://dx.doi.org/10.1111/j.1751-8369.2010.00189.x</v>
      </c>
      <c r="BG915" t="s">
        <v>74</v>
      </c>
      <c r="BH915" t="s">
        <v>74</v>
      </c>
      <c r="BI915">
        <v>9</v>
      </c>
      <c r="BJ915" t="s">
        <v>11747</v>
      </c>
      <c r="BK915" t="s">
        <v>100</v>
      </c>
      <c r="BL915" t="s">
        <v>3774</v>
      </c>
      <c r="BM915" t="s">
        <v>14477</v>
      </c>
      <c r="BN915" t="s">
        <v>74</v>
      </c>
      <c r="BO915" t="s">
        <v>1391</v>
      </c>
      <c r="BP915" t="s">
        <v>74</v>
      </c>
      <c r="BQ915" t="s">
        <v>74</v>
      </c>
      <c r="BR915" t="s">
        <v>103</v>
      </c>
      <c r="BS915" t="s">
        <v>15941</v>
      </c>
      <c r="BT915" t="str">
        <f>HYPERLINK("https%3A%2F%2Fwww.webofscience.com%2Fwos%2Fwoscc%2Ffull-record%2FWOS:000285685000016","View Full Record in Web of Science")</f>
        <v>View Full Record in Web of Science</v>
      </c>
    </row>
    <row r="916" spans="1:72" x14ac:dyDescent="0.15">
      <c r="A916" t="s">
        <v>72</v>
      </c>
      <c r="B916" t="s">
        <v>15942</v>
      </c>
      <c r="C916" t="s">
        <v>74</v>
      </c>
      <c r="D916" t="s">
        <v>74</v>
      </c>
      <c r="E916" t="s">
        <v>74</v>
      </c>
      <c r="F916" t="s">
        <v>15943</v>
      </c>
      <c r="G916" t="s">
        <v>74</v>
      </c>
      <c r="H916" t="s">
        <v>74</v>
      </c>
      <c r="I916" t="s">
        <v>15944</v>
      </c>
      <c r="J916" t="s">
        <v>12016</v>
      </c>
      <c r="K916" t="s">
        <v>74</v>
      </c>
      <c r="L916" t="s">
        <v>74</v>
      </c>
      <c r="M916" t="s">
        <v>78</v>
      </c>
      <c r="N916" t="s">
        <v>79</v>
      </c>
      <c r="O916" t="s">
        <v>74</v>
      </c>
      <c r="P916" t="s">
        <v>74</v>
      </c>
      <c r="Q916" t="s">
        <v>74</v>
      </c>
      <c r="R916" t="s">
        <v>74</v>
      </c>
      <c r="S916" t="s">
        <v>74</v>
      </c>
      <c r="T916" t="s">
        <v>15945</v>
      </c>
      <c r="U916" t="s">
        <v>74</v>
      </c>
      <c r="V916" t="s">
        <v>15946</v>
      </c>
      <c r="W916" t="s">
        <v>15947</v>
      </c>
      <c r="X916" t="s">
        <v>15948</v>
      </c>
      <c r="Y916" t="s">
        <v>15949</v>
      </c>
      <c r="Z916" t="s">
        <v>15950</v>
      </c>
      <c r="AA916" t="s">
        <v>15951</v>
      </c>
      <c r="AB916" t="s">
        <v>15952</v>
      </c>
      <c r="AC916" t="s">
        <v>15953</v>
      </c>
      <c r="AD916" t="s">
        <v>15953</v>
      </c>
      <c r="AE916" t="s">
        <v>15954</v>
      </c>
      <c r="AF916" t="s">
        <v>74</v>
      </c>
      <c r="AG916">
        <v>27</v>
      </c>
      <c r="AH916">
        <v>2</v>
      </c>
      <c r="AI916">
        <v>2</v>
      </c>
      <c r="AJ916">
        <v>0</v>
      </c>
      <c r="AK916">
        <v>1</v>
      </c>
      <c r="AL916" t="s">
        <v>639</v>
      </c>
      <c r="AM916" t="s">
        <v>640</v>
      </c>
      <c r="AN916" t="s">
        <v>641</v>
      </c>
      <c r="AO916" t="s">
        <v>12027</v>
      </c>
      <c r="AP916" t="s">
        <v>12028</v>
      </c>
      <c r="AQ916" t="s">
        <v>74</v>
      </c>
      <c r="AR916" t="s">
        <v>12029</v>
      </c>
      <c r="AS916" t="s">
        <v>12030</v>
      </c>
      <c r="AT916" t="s">
        <v>14347</v>
      </c>
      <c r="AU916">
        <v>2010</v>
      </c>
      <c r="AV916">
        <v>4</v>
      </c>
      <c r="AW916">
        <v>3</v>
      </c>
      <c r="AX916" t="s">
        <v>74</v>
      </c>
      <c r="AY916" t="s">
        <v>74</v>
      </c>
      <c r="AZ916" t="s">
        <v>74</v>
      </c>
      <c r="BA916" t="s">
        <v>74</v>
      </c>
      <c r="BB916">
        <v>431</v>
      </c>
      <c r="BC916">
        <v>441</v>
      </c>
      <c r="BD916" t="s">
        <v>74</v>
      </c>
      <c r="BE916" t="s">
        <v>15955</v>
      </c>
      <c r="BF916" t="str">
        <f>HYPERLINK("http://dx.doi.org/10.1016/j.polar.2010.04.008","http://dx.doi.org/10.1016/j.polar.2010.04.008")</f>
        <v>http://dx.doi.org/10.1016/j.polar.2010.04.008</v>
      </c>
      <c r="BG916" t="s">
        <v>74</v>
      </c>
      <c r="BH916" t="s">
        <v>74</v>
      </c>
      <c r="BI916">
        <v>11</v>
      </c>
      <c r="BJ916" t="s">
        <v>4387</v>
      </c>
      <c r="BK916" t="s">
        <v>100</v>
      </c>
      <c r="BL916" t="s">
        <v>4388</v>
      </c>
      <c r="BM916" t="s">
        <v>15956</v>
      </c>
      <c r="BN916" t="s">
        <v>74</v>
      </c>
      <c r="BO916" t="s">
        <v>1391</v>
      </c>
      <c r="BP916" t="s">
        <v>74</v>
      </c>
      <c r="BQ916" t="s">
        <v>74</v>
      </c>
      <c r="BR916" t="s">
        <v>103</v>
      </c>
      <c r="BS916" t="s">
        <v>15957</v>
      </c>
      <c r="BT916" t="str">
        <f>HYPERLINK("https%3A%2F%2Fwww.webofscience.com%2Fwos%2Fwoscc%2Ffull-record%2FWOS:000209450200001","View Full Record in Web of Science")</f>
        <v>View Full Record in Web of Science</v>
      </c>
    </row>
    <row r="917" spans="1:72" x14ac:dyDescent="0.15">
      <c r="A917" t="s">
        <v>72</v>
      </c>
      <c r="B917" t="s">
        <v>15958</v>
      </c>
      <c r="C917" t="s">
        <v>74</v>
      </c>
      <c r="D917" t="s">
        <v>74</v>
      </c>
      <c r="E917" t="s">
        <v>74</v>
      </c>
      <c r="F917" t="s">
        <v>15959</v>
      </c>
      <c r="G917" t="s">
        <v>74</v>
      </c>
      <c r="H917" t="s">
        <v>74</v>
      </c>
      <c r="I917" t="s">
        <v>15960</v>
      </c>
      <c r="J917" t="s">
        <v>12016</v>
      </c>
      <c r="K917" t="s">
        <v>74</v>
      </c>
      <c r="L917" t="s">
        <v>74</v>
      </c>
      <c r="M917" t="s">
        <v>78</v>
      </c>
      <c r="N917" t="s">
        <v>79</v>
      </c>
      <c r="O917" t="s">
        <v>74</v>
      </c>
      <c r="P917" t="s">
        <v>74</v>
      </c>
      <c r="Q917" t="s">
        <v>74</v>
      </c>
      <c r="R917" t="s">
        <v>74</v>
      </c>
      <c r="S917" t="s">
        <v>74</v>
      </c>
      <c r="T917" t="s">
        <v>15961</v>
      </c>
      <c r="U917" t="s">
        <v>15962</v>
      </c>
      <c r="V917" t="s">
        <v>15963</v>
      </c>
      <c r="W917" t="s">
        <v>15964</v>
      </c>
      <c r="X917" t="s">
        <v>15965</v>
      </c>
      <c r="Y917" t="s">
        <v>15966</v>
      </c>
      <c r="Z917" t="s">
        <v>15967</v>
      </c>
      <c r="AA917" t="s">
        <v>74</v>
      </c>
      <c r="AB917" t="s">
        <v>74</v>
      </c>
      <c r="AC917" t="s">
        <v>15968</v>
      </c>
      <c r="AD917" t="s">
        <v>15969</v>
      </c>
      <c r="AE917" t="s">
        <v>15970</v>
      </c>
      <c r="AF917" t="s">
        <v>74</v>
      </c>
      <c r="AG917">
        <v>30</v>
      </c>
      <c r="AH917">
        <v>23</v>
      </c>
      <c r="AI917">
        <v>23</v>
      </c>
      <c r="AJ917">
        <v>1</v>
      </c>
      <c r="AK917">
        <v>9</v>
      </c>
      <c r="AL917" t="s">
        <v>767</v>
      </c>
      <c r="AM917" t="s">
        <v>640</v>
      </c>
      <c r="AN917" t="s">
        <v>768</v>
      </c>
      <c r="AO917" t="s">
        <v>12027</v>
      </c>
      <c r="AP917" t="s">
        <v>12028</v>
      </c>
      <c r="AQ917" t="s">
        <v>74</v>
      </c>
      <c r="AR917" t="s">
        <v>12029</v>
      </c>
      <c r="AS917" t="s">
        <v>12030</v>
      </c>
      <c r="AT917" t="s">
        <v>14347</v>
      </c>
      <c r="AU917">
        <v>2010</v>
      </c>
      <c r="AV917">
        <v>4</v>
      </c>
      <c r="AW917">
        <v>3</v>
      </c>
      <c r="AX917" t="s">
        <v>74</v>
      </c>
      <c r="AY917" t="s">
        <v>74</v>
      </c>
      <c r="AZ917" t="s">
        <v>74</v>
      </c>
      <c r="BA917" t="s">
        <v>74</v>
      </c>
      <c r="BB917">
        <v>443</v>
      </c>
      <c r="BC917">
        <v>455</v>
      </c>
      <c r="BD917" t="s">
        <v>74</v>
      </c>
      <c r="BE917" t="s">
        <v>15971</v>
      </c>
      <c r="BF917" t="str">
        <f>HYPERLINK("http://dx.doi.org/10.1016/j.polar.2010.04.010","http://dx.doi.org/10.1016/j.polar.2010.04.010")</f>
        <v>http://dx.doi.org/10.1016/j.polar.2010.04.010</v>
      </c>
      <c r="BG917" t="s">
        <v>74</v>
      </c>
      <c r="BH917" t="s">
        <v>74</v>
      </c>
      <c r="BI917">
        <v>13</v>
      </c>
      <c r="BJ917" t="s">
        <v>4387</v>
      </c>
      <c r="BK917" t="s">
        <v>100</v>
      </c>
      <c r="BL917" t="s">
        <v>4388</v>
      </c>
      <c r="BM917" t="s">
        <v>15956</v>
      </c>
      <c r="BN917" t="s">
        <v>74</v>
      </c>
      <c r="BO917" t="s">
        <v>1391</v>
      </c>
      <c r="BP917" t="s">
        <v>74</v>
      </c>
      <c r="BQ917" t="s">
        <v>74</v>
      </c>
      <c r="BR917" t="s">
        <v>103</v>
      </c>
      <c r="BS917" t="s">
        <v>15972</v>
      </c>
      <c r="BT917" t="str">
        <f>HYPERLINK("https%3A%2F%2Fwww.webofscience.com%2Fwos%2Fwoscc%2Ffull-record%2FWOS:000209450200002","View Full Record in Web of Science")</f>
        <v>View Full Record in Web of Science</v>
      </c>
    </row>
    <row r="918" spans="1:72" x14ac:dyDescent="0.15">
      <c r="A918" t="s">
        <v>72</v>
      </c>
      <c r="B918" t="s">
        <v>15973</v>
      </c>
      <c r="C918" t="s">
        <v>74</v>
      </c>
      <c r="D918" t="s">
        <v>74</v>
      </c>
      <c r="E918" t="s">
        <v>74</v>
      </c>
      <c r="F918" t="s">
        <v>15974</v>
      </c>
      <c r="G918" t="s">
        <v>74</v>
      </c>
      <c r="H918" t="s">
        <v>74</v>
      </c>
      <c r="I918" t="s">
        <v>15975</v>
      </c>
      <c r="J918" t="s">
        <v>12016</v>
      </c>
      <c r="K918" t="s">
        <v>74</v>
      </c>
      <c r="L918" t="s">
        <v>74</v>
      </c>
      <c r="M918" t="s">
        <v>78</v>
      </c>
      <c r="N918" t="s">
        <v>79</v>
      </c>
      <c r="O918" t="s">
        <v>74</v>
      </c>
      <c r="P918" t="s">
        <v>74</v>
      </c>
      <c r="Q918" t="s">
        <v>74</v>
      </c>
      <c r="R918" t="s">
        <v>74</v>
      </c>
      <c r="S918" t="s">
        <v>74</v>
      </c>
      <c r="T918" t="s">
        <v>15976</v>
      </c>
      <c r="U918" t="s">
        <v>74</v>
      </c>
      <c r="V918" t="s">
        <v>15977</v>
      </c>
      <c r="W918" t="s">
        <v>15978</v>
      </c>
      <c r="X918" t="s">
        <v>15979</v>
      </c>
      <c r="Y918" t="s">
        <v>15980</v>
      </c>
      <c r="Z918" t="s">
        <v>15981</v>
      </c>
      <c r="AA918" t="s">
        <v>15982</v>
      </c>
      <c r="AB918" t="s">
        <v>15983</v>
      </c>
      <c r="AC918" t="s">
        <v>74</v>
      </c>
      <c r="AD918" t="s">
        <v>74</v>
      </c>
      <c r="AE918" t="s">
        <v>74</v>
      </c>
      <c r="AF918" t="s">
        <v>74</v>
      </c>
      <c r="AG918">
        <v>44</v>
      </c>
      <c r="AH918">
        <v>14</v>
      </c>
      <c r="AI918">
        <v>18</v>
      </c>
      <c r="AJ918">
        <v>0</v>
      </c>
      <c r="AK918">
        <v>7</v>
      </c>
      <c r="AL918" t="s">
        <v>639</v>
      </c>
      <c r="AM918" t="s">
        <v>640</v>
      </c>
      <c r="AN918" t="s">
        <v>641</v>
      </c>
      <c r="AO918" t="s">
        <v>12027</v>
      </c>
      <c r="AP918" t="s">
        <v>12028</v>
      </c>
      <c r="AQ918" t="s">
        <v>74</v>
      </c>
      <c r="AR918" t="s">
        <v>12029</v>
      </c>
      <c r="AS918" t="s">
        <v>12030</v>
      </c>
      <c r="AT918" t="s">
        <v>14347</v>
      </c>
      <c r="AU918">
        <v>2010</v>
      </c>
      <c r="AV918">
        <v>4</v>
      </c>
      <c r="AW918">
        <v>3</v>
      </c>
      <c r="AX918" t="s">
        <v>74</v>
      </c>
      <c r="AY918" t="s">
        <v>74</v>
      </c>
      <c r="AZ918" t="s">
        <v>74</v>
      </c>
      <c r="BA918" t="s">
        <v>74</v>
      </c>
      <c r="BB918">
        <v>457</v>
      </c>
      <c r="BC918">
        <v>467</v>
      </c>
      <c r="BD918" t="s">
        <v>74</v>
      </c>
      <c r="BE918" t="s">
        <v>15984</v>
      </c>
      <c r="BF918" t="str">
        <f>HYPERLINK("http://dx.doi.org/10.1016/j.polar.2010.05.008","http://dx.doi.org/10.1016/j.polar.2010.05.008")</f>
        <v>http://dx.doi.org/10.1016/j.polar.2010.05.008</v>
      </c>
      <c r="BG918" t="s">
        <v>74</v>
      </c>
      <c r="BH918" t="s">
        <v>74</v>
      </c>
      <c r="BI918">
        <v>11</v>
      </c>
      <c r="BJ918" t="s">
        <v>4387</v>
      </c>
      <c r="BK918" t="s">
        <v>100</v>
      </c>
      <c r="BL918" t="s">
        <v>4388</v>
      </c>
      <c r="BM918" t="s">
        <v>15956</v>
      </c>
      <c r="BN918" t="s">
        <v>74</v>
      </c>
      <c r="BO918" t="s">
        <v>12679</v>
      </c>
      <c r="BP918" t="s">
        <v>74</v>
      </c>
      <c r="BQ918" t="s">
        <v>74</v>
      </c>
      <c r="BR918" t="s">
        <v>103</v>
      </c>
      <c r="BS918" t="s">
        <v>15985</v>
      </c>
      <c r="BT918" t="str">
        <f>HYPERLINK("https%3A%2F%2Fwww.webofscience.com%2Fwos%2Fwoscc%2Ffull-record%2FWOS:000209450200003","View Full Record in Web of Science")</f>
        <v>View Full Record in Web of Science</v>
      </c>
    </row>
    <row r="919" spans="1:72" x14ac:dyDescent="0.15">
      <c r="A919" t="s">
        <v>72</v>
      </c>
      <c r="B919" t="s">
        <v>15986</v>
      </c>
      <c r="C919" t="s">
        <v>74</v>
      </c>
      <c r="D919" t="s">
        <v>74</v>
      </c>
      <c r="E919" t="s">
        <v>74</v>
      </c>
      <c r="F919" t="s">
        <v>15987</v>
      </c>
      <c r="G919" t="s">
        <v>74</v>
      </c>
      <c r="H919" t="s">
        <v>74</v>
      </c>
      <c r="I919" t="s">
        <v>15988</v>
      </c>
      <c r="J919" t="s">
        <v>12016</v>
      </c>
      <c r="K919" t="s">
        <v>74</v>
      </c>
      <c r="L919" t="s">
        <v>74</v>
      </c>
      <c r="M919" t="s">
        <v>78</v>
      </c>
      <c r="N919" t="s">
        <v>79</v>
      </c>
      <c r="O919" t="s">
        <v>74</v>
      </c>
      <c r="P919" t="s">
        <v>74</v>
      </c>
      <c r="Q919" t="s">
        <v>74</v>
      </c>
      <c r="R919" t="s">
        <v>74</v>
      </c>
      <c r="S919" t="s">
        <v>74</v>
      </c>
      <c r="T919" t="s">
        <v>15989</v>
      </c>
      <c r="U919" t="s">
        <v>15990</v>
      </c>
      <c r="V919" t="s">
        <v>15991</v>
      </c>
      <c r="W919" t="s">
        <v>15992</v>
      </c>
      <c r="X919" t="s">
        <v>15993</v>
      </c>
      <c r="Y919" t="s">
        <v>15994</v>
      </c>
      <c r="Z919" t="s">
        <v>15995</v>
      </c>
      <c r="AA919" t="s">
        <v>15996</v>
      </c>
      <c r="AB919" t="s">
        <v>15997</v>
      </c>
      <c r="AC919" t="s">
        <v>15998</v>
      </c>
      <c r="AD919" t="s">
        <v>15998</v>
      </c>
      <c r="AE919" t="s">
        <v>15999</v>
      </c>
      <c r="AF919" t="s">
        <v>74</v>
      </c>
      <c r="AG919">
        <v>35</v>
      </c>
      <c r="AH919">
        <v>22</v>
      </c>
      <c r="AI919">
        <v>24</v>
      </c>
      <c r="AJ919">
        <v>1</v>
      </c>
      <c r="AK919">
        <v>6</v>
      </c>
      <c r="AL919" t="s">
        <v>767</v>
      </c>
      <c r="AM919" t="s">
        <v>640</v>
      </c>
      <c r="AN919" t="s">
        <v>768</v>
      </c>
      <c r="AO919" t="s">
        <v>12027</v>
      </c>
      <c r="AP919" t="s">
        <v>12028</v>
      </c>
      <c r="AQ919" t="s">
        <v>74</v>
      </c>
      <c r="AR919" t="s">
        <v>12029</v>
      </c>
      <c r="AS919" t="s">
        <v>12030</v>
      </c>
      <c r="AT919" t="s">
        <v>14347</v>
      </c>
      <c r="AU919">
        <v>2010</v>
      </c>
      <c r="AV919">
        <v>4</v>
      </c>
      <c r="AW919">
        <v>3</v>
      </c>
      <c r="AX919" t="s">
        <v>74</v>
      </c>
      <c r="AY919" t="s">
        <v>74</v>
      </c>
      <c r="AZ919" t="s">
        <v>74</v>
      </c>
      <c r="BA919" t="s">
        <v>74</v>
      </c>
      <c r="BB919">
        <v>469</v>
      </c>
      <c r="BC919">
        <v>478</v>
      </c>
      <c r="BD919" t="s">
        <v>74</v>
      </c>
      <c r="BE919" t="s">
        <v>16000</v>
      </c>
      <c r="BF919" t="str">
        <f>HYPERLINK("http://dx.doi.org/10.1016/j.polar.2010.04.011","http://dx.doi.org/10.1016/j.polar.2010.04.011")</f>
        <v>http://dx.doi.org/10.1016/j.polar.2010.04.011</v>
      </c>
      <c r="BG919" t="s">
        <v>74</v>
      </c>
      <c r="BH919" t="s">
        <v>74</v>
      </c>
      <c r="BI919">
        <v>10</v>
      </c>
      <c r="BJ919" t="s">
        <v>4387</v>
      </c>
      <c r="BK919" t="s">
        <v>100</v>
      </c>
      <c r="BL919" t="s">
        <v>4388</v>
      </c>
      <c r="BM919" t="s">
        <v>15956</v>
      </c>
      <c r="BN919" t="s">
        <v>74</v>
      </c>
      <c r="BO919" t="s">
        <v>1391</v>
      </c>
      <c r="BP919" t="s">
        <v>74</v>
      </c>
      <c r="BQ919" t="s">
        <v>74</v>
      </c>
      <c r="BR919" t="s">
        <v>103</v>
      </c>
      <c r="BS919" t="s">
        <v>16001</v>
      </c>
      <c r="BT919" t="str">
        <f>HYPERLINK("https%3A%2F%2Fwww.webofscience.com%2Fwos%2Fwoscc%2Ffull-record%2FWOS:000209450200004","View Full Record in Web of Science")</f>
        <v>View Full Record in Web of Science</v>
      </c>
    </row>
    <row r="920" spans="1:72" x14ac:dyDescent="0.15">
      <c r="A920" t="s">
        <v>72</v>
      </c>
      <c r="B920" t="s">
        <v>16002</v>
      </c>
      <c r="C920" t="s">
        <v>74</v>
      </c>
      <c r="D920" t="s">
        <v>74</v>
      </c>
      <c r="E920" t="s">
        <v>74</v>
      </c>
      <c r="F920" t="s">
        <v>16003</v>
      </c>
      <c r="G920" t="s">
        <v>74</v>
      </c>
      <c r="H920" t="s">
        <v>74</v>
      </c>
      <c r="I920" t="s">
        <v>16004</v>
      </c>
      <c r="J920" t="s">
        <v>16005</v>
      </c>
      <c r="K920" t="s">
        <v>74</v>
      </c>
      <c r="L920" t="s">
        <v>74</v>
      </c>
      <c r="M920" t="s">
        <v>78</v>
      </c>
      <c r="N920" t="s">
        <v>79</v>
      </c>
      <c r="O920" t="s">
        <v>74</v>
      </c>
      <c r="P920" t="s">
        <v>74</v>
      </c>
      <c r="Q920" t="s">
        <v>74</v>
      </c>
      <c r="R920" t="s">
        <v>74</v>
      </c>
      <c r="S920" t="s">
        <v>74</v>
      </c>
      <c r="T920" t="s">
        <v>16006</v>
      </c>
      <c r="U920" t="s">
        <v>16007</v>
      </c>
      <c r="V920" t="s">
        <v>16008</v>
      </c>
      <c r="W920" t="s">
        <v>16009</v>
      </c>
      <c r="X920" t="s">
        <v>16010</v>
      </c>
      <c r="Y920" t="s">
        <v>16011</v>
      </c>
      <c r="Z920" t="s">
        <v>16012</v>
      </c>
      <c r="AA920" t="s">
        <v>16013</v>
      </c>
      <c r="AB920" t="s">
        <v>16014</v>
      </c>
      <c r="AC920" t="s">
        <v>16015</v>
      </c>
      <c r="AD920" t="s">
        <v>16016</v>
      </c>
      <c r="AE920" t="s">
        <v>16017</v>
      </c>
      <c r="AF920" t="s">
        <v>74</v>
      </c>
      <c r="AG920">
        <v>30</v>
      </c>
      <c r="AH920">
        <v>11</v>
      </c>
      <c r="AI920">
        <v>16</v>
      </c>
      <c r="AJ920">
        <v>0</v>
      </c>
      <c r="AK920">
        <v>26</v>
      </c>
      <c r="AL920" t="s">
        <v>7435</v>
      </c>
      <c r="AM920" t="s">
        <v>2544</v>
      </c>
      <c r="AN920" t="s">
        <v>7436</v>
      </c>
      <c r="AO920" t="s">
        <v>16018</v>
      </c>
      <c r="AP920" t="s">
        <v>16019</v>
      </c>
      <c r="AQ920" t="s">
        <v>74</v>
      </c>
      <c r="AR920" t="s">
        <v>16020</v>
      </c>
      <c r="AS920" t="s">
        <v>16021</v>
      </c>
      <c r="AT920" t="s">
        <v>14347</v>
      </c>
      <c r="AU920">
        <v>2010</v>
      </c>
      <c r="AV920">
        <v>74</v>
      </c>
      <c r="AW920">
        <v>2</v>
      </c>
      <c r="AX920" t="s">
        <v>74</v>
      </c>
      <c r="AY920" t="s">
        <v>74</v>
      </c>
      <c r="AZ920" t="s">
        <v>74</v>
      </c>
      <c r="BA920" t="s">
        <v>74</v>
      </c>
      <c r="BB920">
        <v>217</v>
      </c>
      <c r="BC920">
        <v>222</v>
      </c>
      <c r="BD920" t="s">
        <v>74</v>
      </c>
      <c r="BE920" t="s">
        <v>16022</v>
      </c>
      <c r="BF920" t="str">
        <f>HYPERLINK("http://dx.doi.org/10.1016/j.pep.2010.06.010","http://dx.doi.org/10.1016/j.pep.2010.06.010")</f>
        <v>http://dx.doi.org/10.1016/j.pep.2010.06.010</v>
      </c>
      <c r="BG920" t="s">
        <v>74</v>
      </c>
      <c r="BH920" t="s">
        <v>74</v>
      </c>
      <c r="BI920">
        <v>6</v>
      </c>
      <c r="BJ920" t="s">
        <v>16023</v>
      </c>
      <c r="BK920" t="s">
        <v>100</v>
      </c>
      <c r="BL920" t="s">
        <v>16024</v>
      </c>
      <c r="BM920" t="s">
        <v>16025</v>
      </c>
      <c r="BN920">
        <v>20600939</v>
      </c>
      <c r="BO920" t="s">
        <v>74</v>
      </c>
      <c r="BP920" t="s">
        <v>74</v>
      </c>
      <c r="BQ920" t="s">
        <v>74</v>
      </c>
      <c r="BR920" t="s">
        <v>103</v>
      </c>
      <c r="BS920" t="s">
        <v>16026</v>
      </c>
      <c r="BT920" t="str">
        <f>HYPERLINK("https%3A%2F%2Fwww.webofscience.com%2Fwos%2Fwoscc%2Ffull-record%2FWOS:000283206700012","View Full Record in Web of Science")</f>
        <v>View Full Record in Web of Science</v>
      </c>
    </row>
    <row r="921" spans="1:72" x14ac:dyDescent="0.15">
      <c r="A921" t="s">
        <v>72</v>
      </c>
      <c r="B921" t="s">
        <v>16027</v>
      </c>
      <c r="C921" t="s">
        <v>74</v>
      </c>
      <c r="D921" t="s">
        <v>74</v>
      </c>
      <c r="E921" t="s">
        <v>74</v>
      </c>
      <c r="F921" t="s">
        <v>16028</v>
      </c>
      <c r="G921" t="s">
        <v>74</v>
      </c>
      <c r="H921" t="s">
        <v>74</v>
      </c>
      <c r="I921" t="s">
        <v>16029</v>
      </c>
      <c r="J921" t="s">
        <v>12536</v>
      </c>
      <c r="K921" t="s">
        <v>74</v>
      </c>
      <c r="L921" t="s">
        <v>74</v>
      </c>
      <c r="M921" t="s">
        <v>78</v>
      </c>
      <c r="N921" t="s">
        <v>79</v>
      </c>
      <c r="O921" t="s">
        <v>74</v>
      </c>
      <c r="P921" t="s">
        <v>74</v>
      </c>
      <c r="Q921" t="s">
        <v>74</v>
      </c>
      <c r="R921" t="s">
        <v>74</v>
      </c>
      <c r="S921" t="s">
        <v>74</v>
      </c>
      <c r="T921" t="s">
        <v>74</v>
      </c>
      <c r="U921" t="s">
        <v>16030</v>
      </c>
      <c r="V921" t="s">
        <v>16031</v>
      </c>
      <c r="W921" t="s">
        <v>16032</v>
      </c>
      <c r="X921" t="s">
        <v>16033</v>
      </c>
      <c r="Y921" t="s">
        <v>16034</v>
      </c>
      <c r="Z921" t="s">
        <v>16035</v>
      </c>
      <c r="AA921" t="s">
        <v>16036</v>
      </c>
      <c r="AB921" t="s">
        <v>16037</v>
      </c>
      <c r="AC921" t="s">
        <v>16038</v>
      </c>
      <c r="AD921" t="s">
        <v>16039</v>
      </c>
      <c r="AE921" t="s">
        <v>16040</v>
      </c>
      <c r="AF921" t="s">
        <v>74</v>
      </c>
      <c r="AG921">
        <v>75</v>
      </c>
      <c r="AH921">
        <v>63</v>
      </c>
      <c r="AI921">
        <v>66</v>
      </c>
      <c r="AJ921">
        <v>0</v>
      </c>
      <c r="AK921">
        <v>17</v>
      </c>
      <c r="AL921" t="s">
        <v>718</v>
      </c>
      <c r="AM921" t="s">
        <v>719</v>
      </c>
      <c r="AN921" t="s">
        <v>720</v>
      </c>
      <c r="AO921" t="s">
        <v>12543</v>
      </c>
      <c r="AP921" t="s">
        <v>74</v>
      </c>
      <c r="AQ921" t="s">
        <v>74</v>
      </c>
      <c r="AR921" t="s">
        <v>12544</v>
      </c>
      <c r="AS921" t="s">
        <v>12545</v>
      </c>
      <c r="AT921" t="s">
        <v>14347</v>
      </c>
      <c r="AU921">
        <v>2010</v>
      </c>
      <c r="AV921">
        <v>29</v>
      </c>
      <c r="AW921" t="s">
        <v>16041</v>
      </c>
      <c r="AX921" t="s">
        <v>74</v>
      </c>
      <c r="AY921" t="s">
        <v>74</v>
      </c>
      <c r="AZ921" t="s">
        <v>967</v>
      </c>
      <c r="BA921" t="s">
        <v>74</v>
      </c>
      <c r="BB921">
        <v>3359</v>
      </c>
      <c r="BC921">
        <v>3369</v>
      </c>
      <c r="BD921" t="s">
        <v>74</v>
      </c>
      <c r="BE921" t="s">
        <v>16042</v>
      </c>
      <c r="BF921" t="str">
        <f>HYPERLINK("http://dx.doi.org/10.1016/j.quascirev.2010.06.006","http://dx.doi.org/10.1016/j.quascirev.2010.06.006")</f>
        <v>http://dx.doi.org/10.1016/j.quascirev.2010.06.006</v>
      </c>
      <c r="BG921" t="s">
        <v>74</v>
      </c>
      <c r="BH921" t="s">
        <v>74</v>
      </c>
      <c r="BI921">
        <v>11</v>
      </c>
      <c r="BJ921" t="s">
        <v>222</v>
      </c>
      <c r="BK921" t="s">
        <v>100</v>
      </c>
      <c r="BL921" t="s">
        <v>223</v>
      </c>
      <c r="BM921" t="s">
        <v>16043</v>
      </c>
      <c r="BN921" t="s">
        <v>74</v>
      </c>
      <c r="BO921" t="s">
        <v>12701</v>
      </c>
      <c r="BP921" t="s">
        <v>74</v>
      </c>
      <c r="BQ921" t="s">
        <v>74</v>
      </c>
      <c r="BR921" t="s">
        <v>103</v>
      </c>
      <c r="BS921" t="s">
        <v>16044</v>
      </c>
      <c r="BT921" t="str">
        <f>HYPERLINK("https%3A%2F%2Fwww.webofscience.com%2Fwos%2Fwoscc%2Ffull-record%2FWOS:000284724400002","View Full Record in Web of Science")</f>
        <v>View Full Record in Web of Science</v>
      </c>
    </row>
    <row r="922" spans="1:72" x14ac:dyDescent="0.15">
      <c r="A922" t="s">
        <v>72</v>
      </c>
      <c r="B922" t="s">
        <v>16045</v>
      </c>
      <c r="C922" t="s">
        <v>74</v>
      </c>
      <c r="D922" t="s">
        <v>74</v>
      </c>
      <c r="E922" t="s">
        <v>74</v>
      </c>
      <c r="F922" t="s">
        <v>16046</v>
      </c>
      <c r="G922" t="s">
        <v>74</v>
      </c>
      <c r="H922" t="s">
        <v>74</v>
      </c>
      <c r="I922" t="s">
        <v>16047</v>
      </c>
      <c r="J922" t="s">
        <v>12536</v>
      </c>
      <c r="K922" t="s">
        <v>74</v>
      </c>
      <c r="L922" t="s">
        <v>74</v>
      </c>
      <c r="M922" t="s">
        <v>78</v>
      </c>
      <c r="N922" t="s">
        <v>79</v>
      </c>
      <c r="O922" t="s">
        <v>74</v>
      </c>
      <c r="P922" t="s">
        <v>74</v>
      </c>
      <c r="Q922" t="s">
        <v>74</v>
      </c>
      <c r="R922" t="s">
        <v>74</v>
      </c>
      <c r="S922" t="s">
        <v>74</v>
      </c>
      <c r="T922" t="s">
        <v>74</v>
      </c>
      <c r="U922" t="s">
        <v>16048</v>
      </c>
      <c r="V922" t="s">
        <v>16049</v>
      </c>
      <c r="W922" t="s">
        <v>16050</v>
      </c>
      <c r="X922" t="s">
        <v>16051</v>
      </c>
      <c r="Y922" t="s">
        <v>16052</v>
      </c>
      <c r="Z922" t="s">
        <v>16053</v>
      </c>
      <c r="AA922" t="s">
        <v>16054</v>
      </c>
      <c r="AB922" t="s">
        <v>16055</v>
      </c>
      <c r="AC922" t="s">
        <v>16056</v>
      </c>
      <c r="AD922" t="s">
        <v>16057</v>
      </c>
      <c r="AE922" t="s">
        <v>16058</v>
      </c>
      <c r="AF922" t="s">
        <v>74</v>
      </c>
      <c r="AG922">
        <v>41</v>
      </c>
      <c r="AH922">
        <v>5</v>
      </c>
      <c r="AI922">
        <v>5</v>
      </c>
      <c r="AJ922">
        <v>0</v>
      </c>
      <c r="AK922">
        <v>12</v>
      </c>
      <c r="AL922" t="s">
        <v>718</v>
      </c>
      <c r="AM922" t="s">
        <v>719</v>
      </c>
      <c r="AN922" t="s">
        <v>720</v>
      </c>
      <c r="AO922" t="s">
        <v>12543</v>
      </c>
      <c r="AP922" t="s">
        <v>74</v>
      </c>
      <c r="AQ922" t="s">
        <v>74</v>
      </c>
      <c r="AR922" t="s">
        <v>12544</v>
      </c>
      <c r="AS922" t="s">
        <v>12545</v>
      </c>
      <c r="AT922" t="s">
        <v>14347</v>
      </c>
      <c r="AU922">
        <v>2010</v>
      </c>
      <c r="AV922">
        <v>29</v>
      </c>
      <c r="AW922" t="s">
        <v>16041</v>
      </c>
      <c r="AX922" t="s">
        <v>74</v>
      </c>
      <c r="AY922" t="s">
        <v>74</v>
      </c>
      <c r="AZ922" t="s">
        <v>967</v>
      </c>
      <c r="BA922" t="s">
        <v>74</v>
      </c>
      <c r="BB922">
        <v>3590</v>
      </c>
      <c r="BC922">
        <v>3597</v>
      </c>
      <c r="BD922" t="s">
        <v>74</v>
      </c>
      <c r="BE922" t="s">
        <v>16059</v>
      </c>
      <c r="BF922" t="str">
        <f>HYPERLINK("http://dx.doi.org/10.1016/j.quascirev.2010.06.023","http://dx.doi.org/10.1016/j.quascirev.2010.06.023")</f>
        <v>http://dx.doi.org/10.1016/j.quascirev.2010.06.023</v>
      </c>
      <c r="BG922" t="s">
        <v>74</v>
      </c>
      <c r="BH922" t="s">
        <v>74</v>
      </c>
      <c r="BI922">
        <v>8</v>
      </c>
      <c r="BJ922" t="s">
        <v>222</v>
      </c>
      <c r="BK922" t="s">
        <v>100</v>
      </c>
      <c r="BL922" t="s">
        <v>223</v>
      </c>
      <c r="BM922" t="s">
        <v>16043</v>
      </c>
      <c r="BN922" t="s">
        <v>74</v>
      </c>
      <c r="BO922" t="s">
        <v>74</v>
      </c>
      <c r="BP922" t="s">
        <v>74</v>
      </c>
      <c r="BQ922" t="s">
        <v>74</v>
      </c>
      <c r="BR922" t="s">
        <v>103</v>
      </c>
      <c r="BS922" t="s">
        <v>16060</v>
      </c>
      <c r="BT922" t="str">
        <f>HYPERLINK("https%3A%2F%2Fwww.webofscience.com%2Fwos%2Fwoscc%2Ffull-record%2FWOS:000284724400018","View Full Record in Web of Science")</f>
        <v>View Full Record in Web of Science</v>
      </c>
    </row>
    <row r="923" spans="1:72" x14ac:dyDescent="0.15">
      <c r="A923" t="s">
        <v>72</v>
      </c>
      <c r="B923" t="s">
        <v>16061</v>
      </c>
      <c r="C923" t="s">
        <v>74</v>
      </c>
      <c r="D923" t="s">
        <v>74</v>
      </c>
      <c r="E923" t="s">
        <v>74</v>
      </c>
      <c r="F923" t="s">
        <v>16062</v>
      </c>
      <c r="G923" t="s">
        <v>74</v>
      </c>
      <c r="H923" t="s">
        <v>74</v>
      </c>
      <c r="I923" t="s">
        <v>16063</v>
      </c>
      <c r="J923" t="s">
        <v>12536</v>
      </c>
      <c r="K923" t="s">
        <v>74</v>
      </c>
      <c r="L923" t="s">
        <v>74</v>
      </c>
      <c r="M923" t="s">
        <v>78</v>
      </c>
      <c r="N923" t="s">
        <v>79</v>
      </c>
      <c r="O923" t="s">
        <v>74</v>
      </c>
      <c r="P923" t="s">
        <v>74</v>
      </c>
      <c r="Q923" t="s">
        <v>74</v>
      </c>
      <c r="R923" t="s">
        <v>74</v>
      </c>
      <c r="S923" t="s">
        <v>74</v>
      </c>
      <c r="T923" t="s">
        <v>74</v>
      </c>
      <c r="U923" t="s">
        <v>16064</v>
      </c>
      <c r="V923" t="s">
        <v>16065</v>
      </c>
      <c r="W923" t="s">
        <v>16066</v>
      </c>
      <c r="X923" t="s">
        <v>16067</v>
      </c>
      <c r="Y923" t="s">
        <v>16068</v>
      </c>
      <c r="Z923" t="s">
        <v>16069</v>
      </c>
      <c r="AA923" t="s">
        <v>16070</v>
      </c>
      <c r="AB923" t="s">
        <v>16071</v>
      </c>
      <c r="AC923" t="s">
        <v>16072</v>
      </c>
      <c r="AD923" t="s">
        <v>16072</v>
      </c>
      <c r="AE923" t="s">
        <v>16073</v>
      </c>
      <c r="AF923" t="s">
        <v>74</v>
      </c>
      <c r="AG923">
        <v>73</v>
      </c>
      <c r="AH923">
        <v>17</v>
      </c>
      <c r="AI923">
        <v>20</v>
      </c>
      <c r="AJ923">
        <v>0</v>
      </c>
      <c r="AK923">
        <v>28</v>
      </c>
      <c r="AL923" t="s">
        <v>718</v>
      </c>
      <c r="AM923" t="s">
        <v>719</v>
      </c>
      <c r="AN923" t="s">
        <v>720</v>
      </c>
      <c r="AO923" t="s">
        <v>12543</v>
      </c>
      <c r="AP923" t="s">
        <v>74</v>
      </c>
      <c r="AQ923" t="s">
        <v>74</v>
      </c>
      <c r="AR923" t="s">
        <v>12544</v>
      </c>
      <c r="AS923" t="s">
        <v>12545</v>
      </c>
      <c r="AT923" t="s">
        <v>14347</v>
      </c>
      <c r="AU923">
        <v>2010</v>
      </c>
      <c r="AV923">
        <v>29</v>
      </c>
      <c r="AW923" t="s">
        <v>16074</v>
      </c>
      <c r="AX923" t="s">
        <v>74</v>
      </c>
      <c r="AY923" t="s">
        <v>74</v>
      </c>
      <c r="AZ923" t="s">
        <v>74</v>
      </c>
      <c r="BA923" t="s">
        <v>74</v>
      </c>
      <c r="BB923">
        <v>3683</v>
      </c>
      <c r="BC923">
        <v>3689</v>
      </c>
      <c r="BD923" t="s">
        <v>74</v>
      </c>
      <c r="BE923" t="s">
        <v>16075</v>
      </c>
      <c r="BF923" t="str">
        <f>HYPERLINK("http://dx.doi.org/10.1016/j.quascirev.2010.10.002","http://dx.doi.org/10.1016/j.quascirev.2010.10.002")</f>
        <v>http://dx.doi.org/10.1016/j.quascirev.2010.10.002</v>
      </c>
      <c r="BG923" t="s">
        <v>74</v>
      </c>
      <c r="BH923" t="s">
        <v>74</v>
      </c>
      <c r="BI923">
        <v>7</v>
      </c>
      <c r="BJ923" t="s">
        <v>222</v>
      </c>
      <c r="BK923" t="s">
        <v>100</v>
      </c>
      <c r="BL923" t="s">
        <v>223</v>
      </c>
      <c r="BM923" t="s">
        <v>16076</v>
      </c>
      <c r="BN923" t="s">
        <v>74</v>
      </c>
      <c r="BO923" t="s">
        <v>74</v>
      </c>
      <c r="BP923" t="s">
        <v>74</v>
      </c>
      <c r="BQ923" t="s">
        <v>74</v>
      </c>
      <c r="BR923" t="s">
        <v>103</v>
      </c>
      <c r="BS923" t="s">
        <v>16077</v>
      </c>
      <c r="BT923" t="str">
        <f>HYPERLINK("https%3A%2F%2Fwww.webofscience.com%2Fwos%2Fwoscc%2Ffull-record%2FWOS:000285222000002","View Full Record in Web of Science")</f>
        <v>View Full Record in Web of Science</v>
      </c>
    </row>
    <row r="924" spans="1:72" x14ac:dyDescent="0.15">
      <c r="A924" t="s">
        <v>72</v>
      </c>
      <c r="B924" t="s">
        <v>16078</v>
      </c>
      <c r="C924" t="s">
        <v>74</v>
      </c>
      <c r="D924" t="s">
        <v>74</v>
      </c>
      <c r="E924" t="s">
        <v>74</v>
      </c>
      <c r="F924" t="s">
        <v>16079</v>
      </c>
      <c r="G924" t="s">
        <v>74</v>
      </c>
      <c r="H924" t="s">
        <v>74</v>
      </c>
      <c r="I924" t="s">
        <v>16080</v>
      </c>
      <c r="J924" t="s">
        <v>12536</v>
      </c>
      <c r="K924" t="s">
        <v>74</v>
      </c>
      <c r="L924" t="s">
        <v>74</v>
      </c>
      <c r="M924" t="s">
        <v>78</v>
      </c>
      <c r="N924" t="s">
        <v>79</v>
      </c>
      <c r="O924" t="s">
        <v>74</v>
      </c>
      <c r="P924" t="s">
        <v>74</v>
      </c>
      <c r="Q924" t="s">
        <v>74</v>
      </c>
      <c r="R924" t="s">
        <v>74</v>
      </c>
      <c r="S924" t="s">
        <v>74</v>
      </c>
      <c r="T924" t="s">
        <v>74</v>
      </c>
      <c r="U924" t="s">
        <v>16081</v>
      </c>
      <c r="V924" t="s">
        <v>16082</v>
      </c>
      <c r="W924" t="s">
        <v>16083</v>
      </c>
      <c r="X924" t="s">
        <v>16084</v>
      </c>
      <c r="Y924" t="s">
        <v>16085</v>
      </c>
      <c r="Z924" t="s">
        <v>16086</v>
      </c>
      <c r="AA924" t="s">
        <v>16087</v>
      </c>
      <c r="AB924" t="s">
        <v>16088</v>
      </c>
      <c r="AC924" t="s">
        <v>16089</v>
      </c>
      <c r="AD924" t="s">
        <v>16090</v>
      </c>
      <c r="AE924" t="s">
        <v>16091</v>
      </c>
      <c r="AF924" t="s">
        <v>74</v>
      </c>
      <c r="AG924">
        <v>86</v>
      </c>
      <c r="AH924">
        <v>55</v>
      </c>
      <c r="AI924">
        <v>65</v>
      </c>
      <c r="AJ924">
        <v>0</v>
      </c>
      <c r="AK924">
        <v>32</v>
      </c>
      <c r="AL924" t="s">
        <v>718</v>
      </c>
      <c r="AM924" t="s">
        <v>719</v>
      </c>
      <c r="AN924" t="s">
        <v>720</v>
      </c>
      <c r="AO924" t="s">
        <v>12543</v>
      </c>
      <c r="AP924" t="s">
        <v>74</v>
      </c>
      <c r="AQ924" t="s">
        <v>74</v>
      </c>
      <c r="AR924" t="s">
        <v>12544</v>
      </c>
      <c r="AS924" t="s">
        <v>12545</v>
      </c>
      <c r="AT924" t="s">
        <v>14347</v>
      </c>
      <c r="AU924">
        <v>2010</v>
      </c>
      <c r="AV924">
        <v>29</v>
      </c>
      <c r="AW924" t="s">
        <v>16074</v>
      </c>
      <c r="AX924" t="s">
        <v>74</v>
      </c>
      <c r="AY924" t="s">
        <v>74</v>
      </c>
      <c r="AZ924" t="s">
        <v>74</v>
      </c>
      <c r="BA924" t="s">
        <v>74</v>
      </c>
      <c r="BB924">
        <v>3709</v>
      </c>
      <c r="BC924">
        <v>3719</v>
      </c>
      <c r="BD924" t="s">
        <v>74</v>
      </c>
      <c r="BE924" t="s">
        <v>16092</v>
      </c>
      <c r="BF924" t="str">
        <f>HYPERLINK("http://dx.doi.org/10.1016/j.quascirev.2010.08.007","http://dx.doi.org/10.1016/j.quascirev.2010.08.007")</f>
        <v>http://dx.doi.org/10.1016/j.quascirev.2010.08.007</v>
      </c>
      <c r="BG924" t="s">
        <v>74</v>
      </c>
      <c r="BH924" t="s">
        <v>74</v>
      </c>
      <c r="BI924">
        <v>11</v>
      </c>
      <c r="BJ924" t="s">
        <v>222</v>
      </c>
      <c r="BK924" t="s">
        <v>100</v>
      </c>
      <c r="BL924" t="s">
        <v>223</v>
      </c>
      <c r="BM924" t="s">
        <v>16076</v>
      </c>
      <c r="BN924" t="s">
        <v>74</v>
      </c>
      <c r="BO924" t="s">
        <v>74</v>
      </c>
      <c r="BP924" t="s">
        <v>74</v>
      </c>
      <c r="BQ924" t="s">
        <v>74</v>
      </c>
      <c r="BR924" t="s">
        <v>103</v>
      </c>
      <c r="BS924" t="s">
        <v>16093</v>
      </c>
      <c r="BT924" t="str">
        <f>HYPERLINK("https%3A%2F%2Fwww.webofscience.com%2Fwos%2Fwoscc%2Ffull-record%2FWOS:000285222000004","View Full Record in Web of Science")</f>
        <v>View Full Record in Web of Science</v>
      </c>
    </row>
    <row r="925" spans="1:72" x14ac:dyDescent="0.15">
      <c r="A925" t="s">
        <v>72</v>
      </c>
      <c r="B925" t="s">
        <v>16094</v>
      </c>
      <c r="C925" t="s">
        <v>74</v>
      </c>
      <c r="D925" t="s">
        <v>74</v>
      </c>
      <c r="E925" t="s">
        <v>74</v>
      </c>
      <c r="F925" t="s">
        <v>16095</v>
      </c>
      <c r="G925" t="s">
        <v>74</v>
      </c>
      <c r="H925" t="s">
        <v>74</v>
      </c>
      <c r="I925" t="s">
        <v>16096</v>
      </c>
      <c r="J925" t="s">
        <v>12536</v>
      </c>
      <c r="K925" t="s">
        <v>74</v>
      </c>
      <c r="L925" t="s">
        <v>74</v>
      </c>
      <c r="M925" t="s">
        <v>78</v>
      </c>
      <c r="N925" t="s">
        <v>79</v>
      </c>
      <c r="O925" t="s">
        <v>74</v>
      </c>
      <c r="P925" t="s">
        <v>74</v>
      </c>
      <c r="Q925" t="s">
        <v>74</v>
      </c>
      <c r="R925" t="s">
        <v>74</v>
      </c>
      <c r="S925" t="s">
        <v>74</v>
      </c>
      <c r="T925" t="s">
        <v>74</v>
      </c>
      <c r="U925" t="s">
        <v>16097</v>
      </c>
      <c r="V925" t="s">
        <v>16098</v>
      </c>
      <c r="W925" t="s">
        <v>16099</v>
      </c>
      <c r="X925" t="s">
        <v>16100</v>
      </c>
      <c r="Y925" t="s">
        <v>16101</v>
      </c>
      <c r="Z925" t="s">
        <v>16102</v>
      </c>
      <c r="AA925" t="s">
        <v>74</v>
      </c>
      <c r="AB925" t="s">
        <v>16103</v>
      </c>
      <c r="AC925" t="s">
        <v>16104</v>
      </c>
      <c r="AD925" t="s">
        <v>6569</v>
      </c>
      <c r="AE925" t="s">
        <v>16105</v>
      </c>
      <c r="AF925" t="s">
        <v>74</v>
      </c>
      <c r="AG925">
        <v>90</v>
      </c>
      <c r="AH925">
        <v>48</v>
      </c>
      <c r="AI925">
        <v>51</v>
      </c>
      <c r="AJ925">
        <v>0</v>
      </c>
      <c r="AK925">
        <v>42</v>
      </c>
      <c r="AL925" t="s">
        <v>718</v>
      </c>
      <c r="AM925" t="s">
        <v>719</v>
      </c>
      <c r="AN925" t="s">
        <v>720</v>
      </c>
      <c r="AO925" t="s">
        <v>12543</v>
      </c>
      <c r="AP925" t="s">
        <v>74</v>
      </c>
      <c r="AQ925" t="s">
        <v>74</v>
      </c>
      <c r="AR925" t="s">
        <v>12544</v>
      </c>
      <c r="AS925" t="s">
        <v>12545</v>
      </c>
      <c r="AT925" t="s">
        <v>14347</v>
      </c>
      <c r="AU925">
        <v>2010</v>
      </c>
      <c r="AV925">
        <v>29</v>
      </c>
      <c r="AW925" t="s">
        <v>16074</v>
      </c>
      <c r="AX925" t="s">
        <v>74</v>
      </c>
      <c r="AY925" t="s">
        <v>74</v>
      </c>
      <c r="AZ925" t="s">
        <v>74</v>
      </c>
      <c r="BA925" t="s">
        <v>74</v>
      </c>
      <c r="BB925">
        <v>3875</v>
      </c>
      <c r="BC925">
        <v>3886</v>
      </c>
      <c r="BD925" t="s">
        <v>74</v>
      </c>
      <c r="BE925" t="s">
        <v>16106</v>
      </c>
      <c r="BF925" t="str">
        <f>HYPERLINK("http://dx.doi.org/10.1016/j.quascirev.2010.09.006","http://dx.doi.org/10.1016/j.quascirev.2010.09.006")</f>
        <v>http://dx.doi.org/10.1016/j.quascirev.2010.09.006</v>
      </c>
      <c r="BG925" t="s">
        <v>74</v>
      </c>
      <c r="BH925" t="s">
        <v>74</v>
      </c>
      <c r="BI925">
        <v>12</v>
      </c>
      <c r="BJ925" t="s">
        <v>222</v>
      </c>
      <c r="BK925" t="s">
        <v>100</v>
      </c>
      <c r="BL925" t="s">
        <v>223</v>
      </c>
      <c r="BM925" t="s">
        <v>16076</v>
      </c>
      <c r="BN925" t="s">
        <v>74</v>
      </c>
      <c r="BO925" t="s">
        <v>74</v>
      </c>
      <c r="BP925" t="s">
        <v>74</v>
      </c>
      <c r="BQ925" t="s">
        <v>74</v>
      </c>
      <c r="BR925" t="s">
        <v>103</v>
      </c>
      <c r="BS925" t="s">
        <v>16107</v>
      </c>
      <c r="BT925" t="str">
        <f>HYPERLINK("https%3A%2F%2Fwww.webofscience.com%2Fwos%2Fwoscc%2Ffull-record%2FWOS:000285222000014","View Full Record in Web of Science")</f>
        <v>View Full Record in Web of Science</v>
      </c>
    </row>
    <row r="926" spans="1:72" x14ac:dyDescent="0.15">
      <c r="A926" t="s">
        <v>72</v>
      </c>
      <c r="B926" t="s">
        <v>16108</v>
      </c>
      <c r="C926" t="s">
        <v>74</v>
      </c>
      <c r="D926" t="s">
        <v>74</v>
      </c>
      <c r="E926" t="s">
        <v>74</v>
      </c>
      <c r="F926" t="s">
        <v>16109</v>
      </c>
      <c r="G926" t="s">
        <v>74</v>
      </c>
      <c r="H926" t="s">
        <v>74</v>
      </c>
      <c r="I926" t="s">
        <v>16110</v>
      </c>
      <c r="J926" t="s">
        <v>12536</v>
      </c>
      <c r="K926" t="s">
        <v>74</v>
      </c>
      <c r="L926" t="s">
        <v>74</v>
      </c>
      <c r="M926" t="s">
        <v>78</v>
      </c>
      <c r="N926" t="s">
        <v>79</v>
      </c>
      <c r="O926" t="s">
        <v>74</v>
      </c>
      <c r="P926" t="s">
        <v>74</v>
      </c>
      <c r="Q926" t="s">
        <v>74</v>
      </c>
      <c r="R926" t="s">
        <v>74</v>
      </c>
      <c r="S926" t="s">
        <v>74</v>
      </c>
      <c r="T926" t="s">
        <v>74</v>
      </c>
      <c r="U926" t="s">
        <v>16111</v>
      </c>
      <c r="V926" t="s">
        <v>16112</v>
      </c>
      <c r="W926" t="s">
        <v>16113</v>
      </c>
      <c r="X926" t="s">
        <v>16114</v>
      </c>
      <c r="Y926" t="s">
        <v>16115</v>
      </c>
      <c r="Z926" t="s">
        <v>16116</v>
      </c>
      <c r="AA926" t="s">
        <v>16117</v>
      </c>
      <c r="AB926" t="s">
        <v>16118</v>
      </c>
      <c r="AC926" t="s">
        <v>16119</v>
      </c>
      <c r="AD926" t="s">
        <v>16120</v>
      </c>
      <c r="AE926" t="s">
        <v>16121</v>
      </c>
      <c r="AF926" t="s">
        <v>74</v>
      </c>
      <c r="AG926">
        <v>92</v>
      </c>
      <c r="AH926">
        <v>24</v>
      </c>
      <c r="AI926">
        <v>26</v>
      </c>
      <c r="AJ926">
        <v>0</v>
      </c>
      <c r="AK926">
        <v>20</v>
      </c>
      <c r="AL926" t="s">
        <v>718</v>
      </c>
      <c r="AM926" t="s">
        <v>719</v>
      </c>
      <c r="AN926" t="s">
        <v>720</v>
      </c>
      <c r="AO926" t="s">
        <v>12543</v>
      </c>
      <c r="AP926" t="s">
        <v>74</v>
      </c>
      <c r="AQ926" t="s">
        <v>74</v>
      </c>
      <c r="AR926" t="s">
        <v>12544</v>
      </c>
      <c r="AS926" t="s">
        <v>12545</v>
      </c>
      <c r="AT926" t="s">
        <v>14347</v>
      </c>
      <c r="AU926">
        <v>2010</v>
      </c>
      <c r="AV926">
        <v>29</v>
      </c>
      <c r="AW926" t="s">
        <v>16074</v>
      </c>
      <c r="AX926" t="s">
        <v>74</v>
      </c>
      <c r="AY926" t="s">
        <v>74</v>
      </c>
      <c r="AZ926" t="s">
        <v>74</v>
      </c>
      <c r="BA926" t="s">
        <v>74</v>
      </c>
      <c r="BB926">
        <v>3936</v>
      </c>
      <c r="BC926">
        <v>3947</v>
      </c>
      <c r="BD926" t="s">
        <v>74</v>
      </c>
      <c r="BE926" t="s">
        <v>16122</v>
      </c>
      <c r="BF926" t="str">
        <f>HYPERLINK("http://dx.doi.org/10.1016/j.quascirev.2010.09.014","http://dx.doi.org/10.1016/j.quascirev.2010.09.014")</f>
        <v>http://dx.doi.org/10.1016/j.quascirev.2010.09.014</v>
      </c>
      <c r="BG926" t="s">
        <v>74</v>
      </c>
      <c r="BH926" t="s">
        <v>74</v>
      </c>
      <c r="BI926">
        <v>12</v>
      </c>
      <c r="BJ926" t="s">
        <v>222</v>
      </c>
      <c r="BK926" t="s">
        <v>100</v>
      </c>
      <c r="BL926" t="s">
        <v>223</v>
      </c>
      <c r="BM926" t="s">
        <v>16076</v>
      </c>
      <c r="BN926" t="s">
        <v>74</v>
      </c>
      <c r="BO926" t="s">
        <v>74</v>
      </c>
      <c r="BP926" t="s">
        <v>74</v>
      </c>
      <c r="BQ926" t="s">
        <v>74</v>
      </c>
      <c r="BR926" t="s">
        <v>103</v>
      </c>
      <c r="BS926" t="s">
        <v>16123</v>
      </c>
      <c r="BT926" t="str">
        <f>HYPERLINK("https%3A%2F%2Fwww.webofscience.com%2Fwos%2Fwoscc%2Ffull-record%2FWOS:000285222000019","View Full Record in Web of Science")</f>
        <v>View Full Record in Web of Science</v>
      </c>
    </row>
    <row r="927" spans="1:72" x14ac:dyDescent="0.15">
      <c r="A927" t="s">
        <v>72</v>
      </c>
      <c r="B927" t="s">
        <v>16124</v>
      </c>
      <c r="C927" t="s">
        <v>74</v>
      </c>
      <c r="D927" t="s">
        <v>74</v>
      </c>
      <c r="E927" t="s">
        <v>74</v>
      </c>
      <c r="F927" t="s">
        <v>16125</v>
      </c>
      <c r="G927" t="s">
        <v>74</v>
      </c>
      <c r="H927" t="s">
        <v>74</v>
      </c>
      <c r="I927" t="s">
        <v>16126</v>
      </c>
      <c r="J927" t="s">
        <v>12536</v>
      </c>
      <c r="K927" t="s">
        <v>74</v>
      </c>
      <c r="L927" t="s">
        <v>74</v>
      </c>
      <c r="M927" t="s">
        <v>78</v>
      </c>
      <c r="N927" t="s">
        <v>79</v>
      </c>
      <c r="O927" t="s">
        <v>74</v>
      </c>
      <c r="P927" t="s">
        <v>74</v>
      </c>
      <c r="Q927" t="s">
        <v>74</v>
      </c>
      <c r="R927" t="s">
        <v>74</v>
      </c>
      <c r="S927" t="s">
        <v>74</v>
      </c>
      <c r="T927" t="s">
        <v>74</v>
      </c>
      <c r="U927" t="s">
        <v>16127</v>
      </c>
      <c r="V927" t="s">
        <v>16128</v>
      </c>
      <c r="W927" t="s">
        <v>16129</v>
      </c>
      <c r="X927" t="s">
        <v>16130</v>
      </c>
      <c r="Y927" t="s">
        <v>16131</v>
      </c>
      <c r="Z927" t="s">
        <v>16132</v>
      </c>
      <c r="AA927" t="s">
        <v>16133</v>
      </c>
      <c r="AB927" t="s">
        <v>16134</v>
      </c>
      <c r="AC927" t="s">
        <v>16135</v>
      </c>
      <c r="AD927" t="s">
        <v>16136</v>
      </c>
      <c r="AE927" t="s">
        <v>16137</v>
      </c>
      <c r="AF927" t="s">
        <v>74</v>
      </c>
      <c r="AG927">
        <v>58</v>
      </c>
      <c r="AH927">
        <v>50</v>
      </c>
      <c r="AI927">
        <v>60</v>
      </c>
      <c r="AJ927">
        <v>0</v>
      </c>
      <c r="AK927">
        <v>19</v>
      </c>
      <c r="AL927" t="s">
        <v>718</v>
      </c>
      <c r="AM927" t="s">
        <v>719</v>
      </c>
      <c r="AN927" t="s">
        <v>720</v>
      </c>
      <c r="AO927" t="s">
        <v>12543</v>
      </c>
      <c r="AP927" t="s">
        <v>74</v>
      </c>
      <c r="AQ927" t="s">
        <v>74</v>
      </c>
      <c r="AR927" t="s">
        <v>12544</v>
      </c>
      <c r="AS927" t="s">
        <v>12545</v>
      </c>
      <c r="AT927" t="s">
        <v>14347</v>
      </c>
      <c r="AU927">
        <v>2010</v>
      </c>
      <c r="AV927">
        <v>29</v>
      </c>
      <c r="AW927" t="s">
        <v>16074</v>
      </c>
      <c r="AX927" t="s">
        <v>74</v>
      </c>
      <c r="AY927" t="s">
        <v>74</v>
      </c>
      <c r="AZ927" t="s">
        <v>74</v>
      </c>
      <c r="BA927" t="s">
        <v>74</v>
      </c>
      <c r="BB927">
        <v>3983</v>
      </c>
      <c r="BC927">
        <v>3993</v>
      </c>
      <c r="BD927" t="s">
        <v>74</v>
      </c>
      <c r="BE927" t="s">
        <v>16138</v>
      </c>
      <c r="BF927" t="str">
        <f>HYPERLINK("http://dx.doi.org/10.1016/j.quascirev.2010.10.004","http://dx.doi.org/10.1016/j.quascirev.2010.10.004")</f>
        <v>http://dx.doi.org/10.1016/j.quascirev.2010.10.004</v>
      </c>
      <c r="BG927" t="s">
        <v>74</v>
      </c>
      <c r="BH927" t="s">
        <v>74</v>
      </c>
      <c r="BI927">
        <v>11</v>
      </c>
      <c r="BJ927" t="s">
        <v>222</v>
      </c>
      <c r="BK927" t="s">
        <v>100</v>
      </c>
      <c r="BL927" t="s">
        <v>223</v>
      </c>
      <c r="BM927" t="s">
        <v>16076</v>
      </c>
      <c r="BN927" t="s">
        <v>74</v>
      </c>
      <c r="BO927" t="s">
        <v>74</v>
      </c>
      <c r="BP927" t="s">
        <v>74</v>
      </c>
      <c r="BQ927" t="s">
        <v>74</v>
      </c>
      <c r="BR927" t="s">
        <v>103</v>
      </c>
      <c r="BS927" t="s">
        <v>16139</v>
      </c>
      <c r="BT927" t="str">
        <f>HYPERLINK("https%3A%2F%2Fwww.webofscience.com%2Fwos%2Fwoscc%2Ffull-record%2FWOS:000285222000023","View Full Record in Web of Science")</f>
        <v>View Full Record in Web of Science</v>
      </c>
    </row>
    <row r="928" spans="1:72" x14ac:dyDescent="0.15">
      <c r="A928" t="s">
        <v>72</v>
      </c>
      <c r="B928" t="s">
        <v>16140</v>
      </c>
      <c r="C928" t="s">
        <v>74</v>
      </c>
      <c r="D928" t="s">
        <v>74</v>
      </c>
      <c r="E928" t="s">
        <v>74</v>
      </c>
      <c r="F928" t="s">
        <v>16141</v>
      </c>
      <c r="G928" t="s">
        <v>74</v>
      </c>
      <c r="H928" t="s">
        <v>74</v>
      </c>
      <c r="I928" t="s">
        <v>16142</v>
      </c>
      <c r="J928" t="s">
        <v>16143</v>
      </c>
      <c r="K928" t="s">
        <v>74</v>
      </c>
      <c r="L928" t="s">
        <v>74</v>
      </c>
      <c r="M928" t="s">
        <v>7904</v>
      </c>
      <c r="N928" t="s">
        <v>79</v>
      </c>
      <c r="O928" t="s">
        <v>74</v>
      </c>
      <c r="P928" t="s">
        <v>74</v>
      </c>
      <c r="Q928" t="s">
        <v>74</v>
      </c>
      <c r="R928" t="s">
        <v>74</v>
      </c>
      <c r="S928" t="s">
        <v>74</v>
      </c>
      <c r="T928" t="s">
        <v>16144</v>
      </c>
      <c r="U928" t="s">
        <v>16145</v>
      </c>
      <c r="V928" t="s">
        <v>16146</v>
      </c>
      <c r="W928" t="s">
        <v>16147</v>
      </c>
      <c r="X928" t="s">
        <v>16148</v>
      </c>
      <c r="Y928" t="s">
        <v>16149</v>
      </c>
      <c r="Z928" t="s">
        <v>16150</v>
      </c>
      <c r="AA928" t="s">
        <v>74</v>
      </c>
      <c r="AB928" t="s">
        <v>16151</v>
      </c>
      <c r="AC928" t="s">
        <v>74</v>
      </c>
      <c r="AD928" t="s">
        <v>74</v>
      </c>
      <c r="AE928" t="s">
        <v>74</v>
      </c>
      <c r="AF928" t="s">
        <v>74</v>
      </c>
      <c r="AG928">
        <v>60</v>
      </c>
      <c r="AH928">
        <v>3</v>
      </c>
      <c r="AI928">
        <v>4</v>
      </c>
      <c r="AJ928">
        <v>0</v>
      </c>
      <c r="AK928">
        <v>2</v>
      </c>
      <c r="AL928" t="s">
        <v>16152</v>
      </c>
      <c r="AM928" t="s">
        <v>16153</v>
      </c>
      <c r="AN928" t="s">
        <v>16154</v>
      </c>
      <c r="AO928" t="s">
        <v>16155</v>
      </c>
      <c r="AP928" t="s">
        <v>74</v>
      </c>
      <c r="AQ928" t="s">
        <v>74</v>
      </c>
      <c r="AR928" t="s">
        <v>16156</v>
      </c>
      <c r="AS928" t="s">
        <v>16157</v>
      </c>
      <c r="AT928" t="s">
        <v>14347</v>
      </c>
      <c r="AU928">
        <v>2010</v>
      </c>
      <c r="AV928">
        <v>27</v>
      </c>
      <c r="AW928">
        <v>3</v>
      </c>
      <c r="AX928" t="s">
        <v>74</v>
      </c>
      <c r="AY928" t="s">
        <v>74</v>
      </c>
      <c r="AZ928" t="s">
        <v>74</v>
      </c>
      <c r="BA928" t="s">
        <v>74</v>
      </c>
      <c r="BB928">
        <v>431</v>
      </c>
      <c r="BC928">
        <v>448</v>
      </c>
      <c r="BD928" t="s">
        <v>74</v>
      </c>
      <c r="BE928" t="s">
        <v>74</v>
      </c>
      <c r="BF928" t="s">
        <v>74</v>
      </c>
      <c r="BG928" t="s">
        <v>74</v>
      </c>
      <c r="BH928" t="s">
        <v>74</v>
      </c>
      <c r="BI928">
        <v>18</v>
      </c>
      <c r="BJ928" t="s">
        <v>396</v>
      </c>
      <c r="BK928" t="s">
        <v>100</v>
      </c>
      <c r="BL928" t="s">
        <v>397</v>
      </c>
      <c r="BM928" t="s">
        <v>16158</v>
      </c>
      <c r="BN928" t="s">
        <v>74</v>
      </c>
      <c r="BO928" t="s">
        <v>74</v>
      </c>
      <c r="BP928" t="s">
        <v>74</v>
      </c>
      <c r="BQ928" t="s">
        <v>74</v>
      </c>
      <c r="BR928" t="s">
        <v>103</v>
      </c>
      <c r="BS928" t="s">
        <v>16159</v>
      </c>
      <c r="BT928" t="str">
        <f>HYPERLINK("https%3A%2F%2Fwww.webofscience.com%2Fwos%2Fwoscc%2Ffull-record%2FWOS:000285315900003","View Full Record in Web of Science")</f>
        <v>View Full Record in Web of Science</v>
      </c>
    </row>
    <row r="929" spans="1:72" x14ac:dyDescent="0.15">
      <c r="A929" t="s">
        <v>72</v>
      </c>
      <c r="B929" t="s">
        <v>16160</v>
      </c>
      <c r="C929" t="s">
        <v>74</v>
      </c>
      <c r="D929" t="s">
        <v>74</v>
      </c>
      <c r="E929" t="s">
        <v>74</v>
      </c>
      <c r="F929" t="s">
        <v>16161</v>
      </c>
      <c r="G929" t="s">
        <v>74</v>
      </c>
      <c r="H929" t="s">
        <v>74</v>
      </c>
      <c r="I929" t="s">
        <v>16162</v>
      </c>
      <c r="J929" t="s">
        <v>16143</v>
      </c>
      <c r="K929" t="s">
        <v>74</v>
      </c>
      <c r="L929" t="s">
        <v>74</v>
      </c>
      <c r="M929" t="s">
        <v>78</v>
      </c>
      <c r="N929" t="s">
        <v>79</v>
      </c>
      <c r="O929" t="s">
        <v>74</v>
      </c>
      <c r="P929" t="s">
        <v>74</v>
      </c>
      <c r="Q929" t="s">
        <v>74</v>
      </c>
      <c r="R929" t="s">
        <v>74</v>
      </c>
      <c r="S929" t="s">
        <v>74</v>
      </c>
      <c r="T929" t="s">
        <v>16163</v>
      </c>
      <c r="U929" t="s">
        <v>16164</v>
      </c>
      <c r="V929" t="s">
        <v>16165</v>
      </c>
      <c r="W929" t="s">
        <v>16166</v>
      </c>
      <c r="X929" t="s">
        <v>16167</v>
      </c>
      <c r="Y929" t="s">
        <v>16168</v>
      </c>
      <c r="Z929" t="s">
        <v>16169</v>
      </c>
      <c r="AA929" t="s">
        <v>74</v>
      </c>
      <c r="AB929" t="s">
        <v>16170</v>
      </c>
      <c r="AC929" t="s">
        <v>16171</v>
      </c>
      <c r="AD929" t="s">
        <v>16172</v>
      </c>
      <c r="AE929" t="s">
        <v>16173</v>
      </c>
      <c r="AF929" t="s">
        <v>74</v>
      </c>
      <c r="AG929">
        <v>48</v>
      </c>
      <c r="AH929">
        <v>6</v>
      </c>
      <c r="AI929">
        <v>6</v>
      </c>
      <c r="AJ929">
        <v>0</v>
      </c>
      <c r="AK929">
        <v>2</v>
      </c>
      <c r="AL929" t="s">
        <v>16152</v>
      </c>
      <c r="AM929" t="s">
        <v>16153</v>
      </c>
      <c r="AN929" t="s">
        <v>16154</v>
      </c>
      <c r="AO929" t="s">
        <v>16155</v>
      </c>
      <c r="AP929" t="s">
        <v>74</v>
      </c>
      <c r="AQ929" t="s">
        <v>74</v>
      </c>
      <c r="AR929" t="s">
        <v>16156</v>
      </c>
      <c r="AS929" t="s">
        <v>16157</v>
      </c>
      <c r="AT929" t="s">
        <v>14347</v>
      </c>
      <c r="AU929">
        <v>2010</v>
      </c>
      <c r="AV929">
        <v>27</v>
      </c>
      <c r="AW929">
        <v>3</v>
      </c>
      <c r="AX929" t="s">
        <v>74</v>
      </c>
      <c r="AY929" t="s">
        <v>74</v>
      </c>
      <c r="AZ929" t="s">
        <v>74</v>
      </c>
      <c r="BA929" t="s">
        <v>74</v>
      </c>
      <c r="BB929">
        <v>562</v>
      </c>
      <c r="BC929">
        <v>572</v>
      </c>
      <c r="BD929" t="s">
        <v>74</v>
      </c>
      <c r="BE929" t="s">
        <v>74</v>
      </c>
      <c r="BF929" t="s">
        <v>74</v>
      </c>
      <c r="BG929" t="s">
        <v>74</v>
      </c>
      <c r="BH929" t="s">
        <v>74</v>
      </c>
      <c r="BI929">
        <v>11</v>
      </c>
      <c r="BJ929" t="s">
        <v>396</v>
      </c>
      <c r="BK929" t="s">
        <v>100</v>
      </c>
      <c r="BL929" t="s">
        <v>397</v>
      </c>
      <c r="BM929" t="s">
        <v>16158</v>
      </c>
      <c r="BN929" t="s">
        <v>74</v>
      </c>
      <c r="BO929" t="s">
        <v>74</v>
      </c>
      <c r="BP929" t="s">
        <v>74</v>
      </c>
      <c r="BQ929" t="s">
        <v>74</v>
      </c>
      <c r="BR929" t="s">
        <v>103</v>
      </c>
      <c r="BS929" t="s">
        <v>16174</v>
      </c>
      <c r="BT929" t="str">
        <f>HYPERLINK("https%3A%2F%2Fwww.webofscience.com%2Fwos%2Fwoscc%2Ffull-record%2FWOS:000285315900012","View Full Record in Web of Science")</f>
        <v>View Full Record in Web of Science</v>
      </c>
    </row>
    <row r="930" spans="1:72" x14ac:dyDescent="0.15">
      <c r="A930" t="s">
        <v>72</v>
      </c>
      <c r="B930" t="s">
        <v>16175</v>
      </c>
      <c r="C930" t="s">
        <v>74</v>
      </c>
      <c r="D930" t="s">
        <v>74</v>
      </c>
      <c r="E930" t="s">
        <v>74</v>
      </c>
      <c r="F930" t="s">
        <v>16176</v>
      </c>
      <c r="G930" t="s">
        <v>74</v>
      </c>
      <c r="H930" t="s">
        <v>74</v>
      </c>
      <c r="I930" t="s">
        <v>16177</v>
      </c>
      <c r="J930" t="s">
        <v>16178</v>
      </c>
      <c r="K930" t="s">
        <v>74</v>
      </c>
      <c r="L930" t="s">
        <v>74</v>
      </c>
      <c r="M930" t="s">
        <v>78</v>
      </c>
      <c r="N930" t="s">
        <v>79</v>
      </c>
      <c r="O930" t="s">
        <v>74</v>
      </c>
      <c r="P930" t="s">
        <v>74</v>
      </c>
      <c r="Q930" t="s">
        <v>74</v>
      </c>
      <c r="R930" t="s">
        <v>74</v>
      </c>
      <c r="S930" t="s">
        <v>74</v>
      </c>
      <c r="T930" t="s">
        <v>74</v>
      </c>
      <c r="U930" t="s">
        <v>16179</v>
      </c>
      <c r="V930" t="s">
        <v>16180</v>
      </c>
      <c r="W930" t="s">
        <v>16181</v>
      </c>
      <c r="X930" t="s">
        <v>16182</v>
      </c>
      <c r="Y930" t="s">
        <v>16183</v>
      </c>
      <c r="Z930" t="s">
        <v>16184</v>
      </c>
      <c r="AA930" t="s">
        <v>16185</v>
      </c>
      <c r="AB930" t="s">
        <v>16186</v>
      </c>
      <c r="AC930" t="s">
        <v>16187</v>
      </c>
      <c r="AD930" t="s">
        <v>16188</v>
      </c>
      <c r="AE930" t="s">
        <v>16189</v>
      </c>
      <c r="AF930" t="s">
        <v>74</v>
      </c>
      <c r="AG930">
        <v>52</v>
      </c>
      <c r="AH930">
        <v>16</v>
      </c>
      <c r="AI930">
        <v>16</v>
      </c>
      <c r="AJ930">
        <v>0</v>
      </c>
      <c r="AK930">
        <v>18</v>
      </c>
      <c r="AL930" t="s">
        <v>15026</v>
      </c>
      <c r="AM930" t="s">
        <v>91</v>
      </c>
      <c r="AN930" t="s">
        <v>16190</v>
      </c>
      <c r="AO930" t="s">
        <v>16191</v>
      </c>
      <c r="AP930" t="s">
        <v>16192</v>
      </c>
      <c r="AQ930" t="s">
        <v>74</v>
      </c>
      <c r="AR930" t="s">
        <v>16193</v>
      </c>
      <c r="AS930" t="s">
        <v>16194</v>
      </c>
      <c r="AT930" t="s">
        <v>14347</v>
      </c>
      <c r="AU930">
        <v>2010</v>
      </c>
      <c r="AV930">
        <v>46</v>
      </c>
      <c r="AW930">
        <v>12</v>
      </c>
      <c r="AX930" t="s">
        <v>74</v>
      </c>
      <c r="AY930" t="s">
        <v>74</v>
      </c>
      <c r="AZ930" t="s">
        <v>74</v>
      </c>
      <c r="BA930" t="s">
        <v>74</v>
      </c>
      <c r="BB930">
        <v>1407</v>
      </c>
      <c r="BC930">
        <v>1416</v>
      </c>
      <c r="BD930" t="s">
        <v>74</v>
      </c>
      <c r="BE930" t="s">
        <v>16195</v>
      </c>
      <c r="BF930" t="str">
        <f>HYPERLINK("http://dx.doi.org/10.1134/S1022795410120021","http://dx.doi.org/10.1134/S1022795410120021")</f>
        <v>http://dx.doi.org/10.1134/S1022795410120021</v>
      </c>
      <c r="BG930" t="s">
        <v>74</v>
      </c>
      <c r="BH930" t="s">
        <v>74</v>
      </c>
      <c r="BI930">
        <v>10</v>
      </c>
      <c r="BJ930" t="s">
        <v>16196</v>
      </c>
      <c r="BK930" t="s">
        <v>100</v>
      </c>
      <c r="BL930" t="s">
        <v>16196</v>
      </c>
      <c r="BM930" t="s">
        <v>16197</v>
      </c>
      <c r="BN930" t="s">
        <v>74</v>
      </c>
      <c r="BO930" t="s">
        <v>74</v>
      </c>
      <c r="BP930" t="s">
        <v>74</v>
      </c>
      <c r="BQ930" t="s">
        <v>74</v>
      </c>
      <c r="BR930" t="s">
        <v>103</v>
      </c>
      <c r="BS930" t="s">
        <v>16198</v>
      </c>
      <c r="BT930" t="str">
        <f>HYPERLINK("https%3A%2F%2Fwww.webofscience.com%2Fwos%2Fwoscc%2Ffull-record%2FWOS:000285378600002","View Full Record in Web of Science")</f>
        <v>View Full Record in Web of Science</v>
      </c>
    </row>
    <row r="931" spans="1:72" x14ac:dyDescent="0.15">
      <c r="A931" t="s">
        <v>72</v>
      </c>
      <c r="B931" t="s">
        <v>16199</v>
      </c>
      <c r="C931" t="s">
        <v>74</v>
      </c>
      <c r="D931" t="s">
        <v>74</v>
      </c>
      <c r="E931" t="s">
        <v>74</v>
      </c>
      <c r="F931" t="s">
        <v>16200</v>
      </c>
      <c r="G931" t="s">
        <v>74</v>
      </c>
      <c r="H931" t="s">
        <v>74</v>
      </c>
      <c r="I931" t="s">
        <v>16201</v>
      </c>
      <c r="J931" t="s">
        <v>16202</v>
      </c>
      <c r="K931" t="s">
        <v>74</v>
      </c>
      <c r="L931" t="s">
        <v>74</v>
      </c>
      <c r="M931" t="s">
        <v>78</v>
      </c>
      <c r="N931" t="s">
        <v>2000</v>
      </c>
      <c r="O931" t="s">
        <v>16203</v>
      </c>
      <c r="P931" t="s">
        <v>16204</v>
      </c>
      <c r="Q931" t="s">
        <v>16205</v>
      </c>
      <c r="R931" t="s">
        <v>74</v>
      </c>
      <c r="S931" t="s">
        <v>74</v>
      </c>
      <c r="T931" t="s">
        <v>16206</v>
      </c>
      <c r="U931" t="s">
        <v>16207</v>
      </c>
      <c r="V931" t="s">
        <v>16208</v>
      </c>
      <c r="W931" t="s">
        <v>16209</v>
      </c>
      <c r="X931" t="s">
        <v>16210</v>
      </c>
      <c r="Y931" t="s">
        <v>16211</v>
      </c>
      <c r="Z931" t="s">
        <v>74</v>
      </c>
      <c r="AA931" t="s">
        <v>16212</v>
      </c>
      <c r="AB931" t="s">
        <v>16213</v>
      </c>
      <c r="AC931" t="s">
        <v>74</v>
      </c>
      <c r="AD931" t="s">
        <v>74</v>
      </c>
      <c r="AE931" t="s">
        <v>74</v>
      </c>
      <c r="AF931" t="s">
        <v>74</v>
      </c>
      <c r="AG931">
        <v>54</v>
      </c>
      <c r="AH931">
        <v>1</v>
      </c>
      <c r="AI931">
        <v>1</v>
      </c>
      <c r="AJ931">
        <v>0</v>
      </c>
      <c r="AK931">
        <v>4</v>
      </c>
      <c r="AL931" t="s">
        <v>16214</v>
      </c>
      <c r="AM931" t="s">
        <v>7912</v>
      </c>
      <c r="AN931" t="s">
        <v>16215</v>
      </c>
      <c r="AO931" t="s">
        <v>16216</v>
      </c>
      <c r="AP931" t="s">
        <v>16217</v>
      </c>
      <c r="AQ931" t="s">
        <v>74</v>
      </c>
      <c r="AR931" t="s">
        <v>16218</v>
      </c>
      <c r="AS931" t="s">
        <v>16219</v>
      </c>
      <c r="AT931" t="s">
        <v>14347</v>
      </c>
      <c r="AU931">
        <v>2010</v>
      </c>
      <c r="AV931">
        <v>74</v>
      </c>
      <c r="AW931" t="s">
        <v>74</v>
      </c>
      <c r="AX931" t="s">
        <v>74</v>
      </c>
      <c r="AY931">
        <v>1</v>
      </c>
      <c r="AZ931" t="s">
        <v>74</v>
      </c>
      <c r="BA931" t="s">
        <v>74</v>
      </c>
      <c r="BB931">
        <v>33</v>
      </c>
      <c r="BC931">
        <v>46</v>
      </c>
      <c r="BD931" t="s">
        <v>74</v>
      </c>
      <c r="BE931" t="s">
        <v>16220</v>
      </c>
      <c r="BF931" t="str">
        <f>HYPERLINK("http://dx.doi.org/10.3989/scimar.2010.74s1033","http://dx.doi.org/10.3989/scimar.2010.74s1033")</f>
        <v>http://dx.doi.org/10.3989/scimar.2010.74s1033</v>
      </c>
      <c r="BG931" t="s">
        <v>74</v>
      </c>
      <c r="BH931" t="s">
        <v>74</v>
      </c>
      <c r="BI931">
        <v>14</v>
      </c>
      <c r="BJ931" t="s">
        <v>893</v>
      </c>
      <c r="BK931" t="s">
        <v>2022</v>
      </c>
      <c r="BL931" t="s">
        <v>893</v>
      </c>
      <c r="BM931" t="s">
        <v>16221</v>
      </c>
      <c r="BN931" t="s">
        <v>74</v>
      </c>
      <c r="BO931" t="s">
        <v>2456</v>
      </c>
      <c r="BP931" t="s">
        <v>74</v>
      </c>
      <c r="BQ931" t="s">
        <v>74</v>
      </c>
      <c r="BR931" t="s">
        <v>103</v>
      </c>
      <c r="BS931" t="s">
        <v>16222</v>
      </c>
      <c r="BT931" t="str">
        <f>HYPERLINK("https%3A%2F%2Fwww.webofscience.com%2Fwos%2Fwoscc%2Ffull-record%2FWOS:000285164400004","View Full Record in Web of Science")</f>
        <v>View Full Record in Web of Science</v>
      </c>
    </row>
    <row r="932" spans="1:72" x14ac:dyDescent="0.15">
      <c r="A932" t="s">
        <v>72</v>
      </c>
      <c r="B932" t="s">
        <v>16223</v>
      </c>
      <c r="C932" t="s">
        <v>74</v>
      </c>
      <c r="D932" t="s">
        <v>74</v>
      </c>
      <c r="E932" t="s">
        <v>74</v>
      </c>
      <c r="F932" t="s">
        <v>16224</v>
      </c>
      <c r="G932" t="s">
        <v>74</v>
      </c>
      <c r="H932" t="s">
        <v>74</v>
      </c>
      <c r="I932" t="s">
        <v>16225</v>
      </c>
      <c r="J932" t="s">
        <v>16226</v>
      </c>
      <c r="K932" t="s">
        <v>74</v>
      </c>
      <c r="L932" t="s">
        <v>74</v>
      </c>
      <c r="M932" t="s">
        <v>78</v>
      </c>
      <c r="N932" t="s">
        <v>79</v>
      </c>
      <c r="O932" t="s">
        <v>74</v>
      </c>
      <c r="P932" t="s">
        <v>74</v>
      </c>
      <c r="Q932" t="s">
        <v>74</v>
      </c>
      <c r="R932" t="s">
        <v>74</v>
      </c>
      <c r="S932" t="s">
        <v>74</v>
      </c>
      <c r="T932" t="s">
        <v>74</v>
      </c>
      <c r="U932" t="s">
        <v>16227</v>
      </c>
      <c r="V932" t="s">
        <v>16228</v>
      </c>
      <c r="W932" t="s">
        <v>16229</v>
      </c>
      <c r="X932" t="s">
        <v>16230</v>
      </c>
      <c r="Y932" t="s">
        <v>16231</v>
      </c>
      <c r="Z932" t="s">
        <v>16232</v>
      </c>
      <c r="AA932" t="s">
        <v>16233</v>
      </c>
      <c r="AB932" t="s">
        <v>74</v>
      </c>
      <c r="AC932" t="s">
        <v>16234</v>
      </c>
      <c r="AD932" t="s">
        <v>16235</v>
      </c>
      <c r="AE932" t="s">
        <v>16236</v>
      </c>
      <c r="AF932" t="s">
        <v>74</v>
      </c>
      <c r="AG932">
        <v>47</v>
      </c>
      <c r="AH932">
        <v>32</v>
      </c>
      <c r="AI932">
        <v>40</v>
      </c>
      <c r="AJ932">
        <v>2</v>
      </c>
      <c r="AK932">
        <v>42</v>
      </c>
      <c r="AL932" t="s">
        <v>1018</v>
      </c>
      <c r="AM932" t="s">
        <v>1019</v>
      </c>
      <c r="AN932" t="s">
        <v>1020</v>
      </c>
      <c r="AO932" t="s">
        <v>16237</v>
      </c>
      <c r="AP932" t="s">
        <v>16238</v>
      </c>
      <c r="AQ932" t="s">
        <v>74</v>
      </c>
      <c r="AR932" t="s">
        <v>16239</v>
      </c>
      <c r="AS932" t="s">
        <v>16240</v>
      </c>
      <c r="AT932" t="s">
        <v>14347</v>
      </c>
      <c r="AU932">
        <v>2010</v>
      </c>
      <c r="AV932">
        <v>25</v>
      </c>
      <c r="AW932">
        <v>6</v>
      </c>
      <c r="AX932" t="s">
        <v>74</v>
      </c>
      <c r="AY932" t="s">
        <v>74</v>
      </c>
      <c r="AZ932" t="s">
        <v>74</v>
      </c>
      <c r="BA932" t="s">
        <v>74</v>
      </c>
      <c r="BB932">
        <v>1842</v>
      </c>
      <c r="BC932">
        <v>1851</v>
      </c>
      <c r="BD932" t="s">
        <v>74</v>
      </c>
      <c r="BE932" t="s">
        <v>16241</v>
      </c>
      <c r="BF932" t="str">
        <f>HYPERLINK("http://dx.doi.org/10.1175/2010WAF2222406.1","http://dx.doi.org/10.1175/2010WAF2222406.1")</f>
        <v>http://dx.doi.org/10.1175/2010WAF2222406.1</v>
      </c>
      <c r="BG932" t="s">
        <v>74</v>
      </c>
      <c r="BH932" t="s">
        <v>74</v>
      </c>
      <c r="BI932">
        <v>10</v>
      </c>
      <c r="BJ932" t="s">
        <v>603</v>
      </c>
      <c r="BK932" t="s">
        <v>100</v>
      </c>
      <c r="BL932" t="s">
        <v>603</v>
      </c>
      <c r="BM932" t="s">
        <v>16242</v>
      </c>
      <c r="BN932" t="s">
        <v>74</v>
      </c>
      <c r="BO932" t="s">
        <v>1391</v>
      </c>
      <c r="BP932" t="s">
        <v>74</v>
      </c>
      <c r="BQ932" t="s">
        <v>74</v>
      </c>
      <c r="BR932" t="s">
        <v>103</v>
      </c>
      <c r="BS932" t="s">
        <v>16243</v>
      </c>
      <c r="BT932" t="str">
        <f>HYPERLINK("https%3A%2F%2Fwww.webofscience.com%2Fwos%2Fwoscc%2Ffull-record%2FWOS:000285867000014","View Full Record in Web of Science")</f>
        <v>View Full Record in Web of Science</v>
      </c>
    </row>
    <row r="933" spans="1:72" x14ac:dyDescent="0.15">
      <c r="A933" t="s">
        <v>72</v>
      </c>
      <c r="B933" t="s">
        <v>16244</v>
      </c>
      <c r="C933" t="s">
        <v>74</v>
      </c>
      <c r="D933" t="s">
        <v>74</v>
      </c>
      <c r="E933" t="s">
        <v>74</v>
      </c>
      <c r="F933" t="s">
        <v>16245</v>
      </c>
      <c r="G933" t="s">
        <v>74</v>
      </c>
      <c r="H933" t="s">
        <v>74</v>
      </c>
      <c r="I933" t="s">
        <v>16246</v>
      </c>
      <c r="J933" t="s">
        <v>16247</v>
      </c>
      <c r="K933" t="s">
        <v>74</v>
      </c>
      <c r="L933" t="s">
        <v>74</v>
      </c>
      <c r="M933" t="s">
        <v>78</v>
      </c>
      <c r="N933" t="s">
        <v>79</v>
      </c>
      <c r="O933" t="s">
        <v>74</v>
      </c>
      <c r="P933" t="s">
        <v>74</v>
      </c>
      <c r="Q933" t="s">
        <v>74</v>
      </c>
      <c r="R933" t="s">
        <v>74</v>
      </c>
      <c r="S933" t="s">
        <v>74</v>
      </c>
      <c r="T933" t="s">
        <v>16248</v>
      </c>
      <c r="U933" t="s">
        <v>16249</v>
      </c>
      <c r="V933" t="s">
        <v>16250</v>
      </c>
      <c r="W933" t="s">
        <v>16251</v>
      </c>
      <c r="X933" t="s">
        <v>16252</v>
      </c>
      <c r="Y933" t="s">
        <v>16253</v>
      </c>
      <c r="Z933" t="s">
        <v>16254</v>
      </c>
      <c r="AA933" t="s">
        <v>16255</v>
      </c>
      <c r="AB933" t="s">
        <v>16256</v>
      </c>
      <c r="AC933" t="s">
        <v>16257</v>
      </c>
      <c r="AD933" t="s">
        <v>16258</v>
      </c>
      <c r="AE933" t="s">
        <v>16259</v>
      </c>
      <c r="AF933" t="s">
        <v>74</v>
      </c>
      <c r="AG933">
        <v>44</v>
      </c>
      <c r="AH933">
        <v>42</v>
      </c>
      <c r="AI933">
        <v>46</v>
      </c>
      <c r="AJ933">
        <v>1</v>
      </c>
      <c r="AK933">
        <v>18</v>
      </c>
      <c r="AL933" t="s">
        <v>718</v>
      </c>
      <c r="AM933" t="s">
        <v>719</v>
      </c>
      <c r="AN933" t="s">
        <v>720</v>
      </c>
      <c r="AO933" t="s">
        <v>16260</v>
      </c>
      <c r="AP933" t="s">
        <v>16261</v>
      </c>
      <c r="AQ933" t="s">
        <v>74</v>
      </c>
      <c r="AR933" t="s">
        <v>16262</v>
      </c>
      <c r="AS933" t="s">
        <v>16263</v>
      </c>
      <c r="AT933" t="s">
        <v>16264</v>
      </c>
      <c r="AU933">
        <v>2010</v>
      </c>
      <c r="AV933">
        <v>30</v>
      </c>
      <c r="AW933">
        <v>19</v>
      </c>
      <c r="AX933" t="s">
        <v>74</v>
      </c>
      <c r="AY933" t="s">
        <v>74</v>
      </c>
      <c r="AZ933" t="s">
        <v>74</v>
      </c>
      <c r="BA933" t="s">
        <v>74</v>
      </c>
      <c r="BB933">
        <v>1998</v>
      </c>
      <c r="BC933">
        <v>2004</v>
      </c>
      <c r="BD933" t="s">
        <v>74</v>
      </c>
      <c r="BE933" t="s">
        <v>16265</v>
      </c>
      <c r="BF933" t="str">
        <f>HYPERLINK("http://dx.doi.org/10.1016/j.csr.2010.09.014","http://dx.doi.org/10.1016/j.csr.2010.09.014")</f>
        <v>http://dx.doi.org/10.1016/j.csr.2010.09.014</v>
      </c>
      <c r="BG933" t="s">
        <v>74</v>
      </c>
      <c r="BH933" t="s">
        <v>74</v>
      </c>
      <c r="BI933">
        <v>7</v>
      </c>
      <c r="BJ933" t="s">
        <v>250</v>
      </c>
      <c r="BK933" t="s">
        <v>100</v>
      </c>
      <c r="BL933" t="s">
        <v>250</v>
      </c>
      <c r="BM933" t="s">
        <v>16266</v>
      </c>
      <c r="BN933" t="s">
        <v>74</v>
      </c>
      <c r="BO933" t="s">
        <v>138</v>
      </c>
      <c r="BP933" t="s">
        <v>74</v>
      </c>
      <c r="BQ933" t="s">
        <v>74</v>
      </c>
      <c r="BR933" t="s">
        <v>103</v>
      </c>
      <c r="BS933" t="s">
        <v>16267</v>
      </c>
      <c r="BT933" t="str">
        <f>HYPERLINK("https%3A%2F%2Fwww.webofscience.com%2Fwos%2Fwoscc%2Ffull-record%2FWOS:000285663100002","View Full Record in Web of Science")</f>
        <v>View Full Record in Web of Science</v>
      </c>
    </row>
    <row r="934" spans="1:72" x14ac:dyDescent="0.15">
      <c r="A934" t="s">
        <v>72</v>
      </c>
      <c r="B934" t="s">
        <v>16268</v>
      </c>
      <c r="C934" t="s">
        <v>74</v>
      </c>
      <c r="D934" t="s">
        <v>74</v>
      </c>
      <c r="E934" t="s">
        <v>74</v>
      </c>
      <c r="F934" t="s">
        <v>16269</v>
      </c>
      <c r="G934" t="s">
        <v>74</v>
      </c>
      <c r="H934" t="s">
        <v>74</v>
      </c>
      <c r="I934" t="s">
        <v>16270</v>
      </c>
      <c r="J934" t="s">
        <v>1649</v>
      </c>
      <c r="K934" t="s">
        <v>74</v>
      </c>
      <c r="L934" t="s">
        <v>74</v>
      </c>
      <c r="M934" t="s">
        <v>78</v>
      </c>
      <c r="N934" t="s">
        <v>79</v>
      </c>
      <c r="O934" t="s">
        <v>74</v>
      </c>
      <c r="P934" t="s">
        <v>74</v>
      </c>
      <c r="Q934" t="s">
        <v>74</v>
      </c>
      <c r="R934" t="s">
        <v>74</v>
      </c>
      <c r="S934" t="s">
        <v>74</v>
      </c>
      <c r="T934" t="s">
        <v>74</v>
      </c>
      <c r="U934" t="s">
        <v>16271</v>
      </c>
      <c r="V934" t="s">
        <v>16272</v>
      </c>
      <c r="W934" t="s">
        <v>16273</v>
      </c>
      <c r="X934" t="s">
        <v>16274</v>
      </c>
      <c r="Y934" t="s">
        <v>16275</v>
      </c>
      <c r="Z934" t="s">
        <v>16276</v>
      </c>
      <c r="AA934" t="s">
        <v>74</v>
      </c>
      <c r="AB934" t="s">
        <v>3992</v>
      </c>
      <c r="AC934" t="s">
        <v>16277</v>
      </c>
      <c r="AD934" t="s">
        <v>16278</v>
      </c>
      <c r="AE934" t="s">
        <v>16279</v>
      </c>
      <c r="AF934" t="s">
        <v>74</v>
      </c>
      <c r="AG934">
        <v>36</v>
      </c>
      <c r="AH934">
        <v>46</v>
      </c>
      <c r="AI934">
        <v>53</v>
      </c>
      <c r="AJ934">
        <v>0</v>
      </c>
      <c r="AK934">
        <v>35</v>
      </c>
      <c r="AL934" t="s">
        <v>1661</v>
      </c>
      <c r="AM934" t="s">
        <v>1662</v>
      </c>
      <c r="AN934" t="s">
        <v>1663</v>
      </c>
      <c r="AO934" t="s">
        <v>1664</v>
      </c>
      <c r="AP934" t="s">
        <v>74</v>
      </c>
      <c r="AQ934" t="s">
        <v>74</v>
      </c>
      <c r="AR934" t="s">
        <v>1649</v>
      </c>
      <c r="AS934" t="s">
        <v>1665</v>
      </c>
      <c r="AT934" t="s">
        <v>16264</v>
      </c>
      <c r="AU934">
        <v>2010</v>
      </c>
      <c r="AV934">
        <v>5</v>
      </c>
      <c r="AW934">
        <v>11</v>
      </c>
      <c r="AX934" t="s">
        <v>74</v>
      </c>
      <c r="AY934" t="s">
        <v>74</v>
      </c>
      <c r="AZ934" t="s">
        <v>74</v>
      </c>
      <c r="BA934" t="s">
        <v>74</v>
      </c>
      <c r="BB934" t="s">
        <v>74</v>
      </c>
      <c r="BC934" t="s">
        <v>74</v>
      </c>
      <c r="BD934" t="s">
        <v>16280</v>
      </c>
      <c r="BE934" t="s">
        <v>16281</v>
      </c>
      <c r="BF934" t="str">
        <f>HYPERLINK("http://dx.doi.org/10.1371/journal.pone.0015508","http://dx.doi.org/10.1371/journal.pone.0015508")</f>
        <v>http://dx.doi.org/10.1371/journal.pone.0015508</v>
      </c>
      <c r="BG934" t="s">
        <v>74</v>
      </c>
      <c r="BH934" t="s">
        <v>74</v>
      </c>
      <c r="BI934">
        <v>7</v>
      </c>
      <c r="BJ934" t="s">
        <v>1669</v>
      </c>
      <c r="BK934" t="s">
        <v>100</v>
      </c>
      <c r="BL934" t="s">
        <v>1670</v>
      </c>
      <c r="BM934" t="s">
        <v>16282</v>
      </c>
      <c r="BN934">
        <v>21152089</v>
      </c>
      <c r="BO934" t="s">
        <v>6471</v>
      </c>
      <c r="BP934" t="s">
        <v>74</v>
      </c>
      <c r="BQ934" t="s">
        <v>74</v>
      </c>
      <c r="BR934" t="s">
        <v>103</v>
      </c>
      <c r="BS934" t="s">
        <v>16283</v>
      </c>
      <c r="BT934" t="str">
        <f>HYPERLINK("https%3A%2F%2Fwww.webofscience.com%2Fwos%2Fwoscc%2Ffull-record%2FWOS:000284755100088","View Full Record in Web of Science")</f>
        <v>View Full Record in Web of Science</v>
      </c>
    </row>
    <row r="935" spans="1:72" x14ac:dyDescent="0.15">
      <c r="A935" t="s">
        <v>72</v>
      </c>
      <c r="B935" t="s">
        <v>16284</v>
      </c>
      <c r="C935" t="s">
        <v>74</v>
      </c>
      <c r="D935" t="s">
        <v>74</v>
      </c>
      <c r="E935" t="s">
        <v>74</v>
      </c>
      <c r="F935" t="s">
        <v>16285</v>
      </c>
      <c r="G935" t="s">
        <v>74</v>
      </c>
      <c r="H935" t="s">
        <v>74</v>
      </c>
      <c r="I935" t="s">
        <v>16286</v>
      </c>
      <c r="J935" t="s">
        <v>1859</v>
      </c>
      <c r="K935" t="s">
        <v>74</v>
      </c>
      <c r="L935" t="s">
        <v>74</v>
      </c>
      <c r="M935" t="s">
        <v>78</v>
      </c>
      <c r="N935" t="s">
        <v>79</v>
      </c>
      <c r="O935" t="s">
        <v>74</v>
      </c>
      <c r="P935" t="s">
        <v>74</v>
      </c>
      <c r="Q935" t="s">
        <v>74</v>
      </c>
      <c r="R935" t="s">
        <v>74</v>
      </c>
      <c r="S935" t="s">
        <v>74</v>
      </c>
      <c r="T935" t="s">
        <v>16287</v>
      </c>
      <c r="U935" t="s">
        <v>16288</v>
      </c>
      <c r="V935" t="s">
        <v>16289</v>
      </c>
      <c r="W935" t="s">
        <v>16290</v>
      </c>
      <c r="X935" t="s">
        <v>16291</v>
      </c>
      <c r="Y935" t="s">
        <v>16292</v>
      </c>
      <c r="Z935" t="s">
        <v>16293</v>
      </c>
      <c r="AA935" t="s">
        <v>74</v>
      </c>
      <c r="AB935" t="s">
        <v>16294</v>
      </c>
      <c r="AC935" t="s">
        <v>16295</v>
      </c>
      <c r="AD935" t="s">
        <v>16296</v>
      </c>
      <c r="AE935" t="s">
        <v>16297</v>
      </c>
      <c r="AF935" t="s">
        <v>74</v>
      </c>
      <c r="AG935">
        <v>43</v>
      </c>
      <c r="AH935">
        <v>68</v>
      </c>
      <c r="AI935">
        <v>76</v>
      </c>
      <c r="AJ935">
        <v>2</v>
      </c>
      <c r="AK935">
        <v>70</v>
      </c>
      <c r="AL935" t="s">
        <v>1872</v>
      </c>
      <c r="AM935" t="s">
        <v>241</v>
      </c>
      <c r="AN935" t="s">
        <v>1873</v>
      </c>
      <c r="AO935" t="s">
        <v>1874</v>
      </c>
      <c r="AP935" t="s">
        <v>74</v>
      </c>
      <c r="AQ935" t="s">
        <v>74</v>
      </c>
      <c r="AR935" t="s">
        <v>1875</v>
      </c>
      <c r="AS935" t="s">
        <v>1876</v>
      </c>
      <c r="AT935" t="s">
        <v>16264</v>
      </c>
      <c r="AU935">
        <v>2010</v>
      </c>
      <c r="AV935">
        <v>107</v>
      </c>
      <c r="AW935">
        <v>48</v>
      </c>
      <c r="AX935" t="s">
        <v>74</v>
      </c>
      <c r="AY935" t="s">
        <v>74</v>
      </c>
      <c r="AZ935" t="s">
        <v>74</v>
      </c>
      <c r="BA935" t="s">
        <v>74</v>
      </c>
      <c r="BB935">
        <v>20762</v>
      </c>
      <c r="BC935">
        <v>20767</v>
      </c>
      <c r="BD935" t="s">
        <v>74</v>
      </c>
      <c r="BE935" t="s">
        <v>16298</v>
      </c>
      <c r="BF935" t="str">
        <f>HYPERLINK("http://dx.doi.org/10.1073/pnas.1006968107","http://dx.doi.org/10.1073/pnas.1006968107")</f>
        <v>http://dx.doi.org/10.1073/pnas.1006968107</v>
      </c>
      <c r="BG935" t="s">
        <v>74</v>
      </c>
      <c r="BH935" t="s">
        <v>74</v>
      </c>
      <c r="BI935">
        <v>6</v>
      </c>
      <c r="BJ935" t="s">
        <v>1669</v>
      </c>
      <c r="BK935" t="s">
        <v>100</v>
      </c>
      <c r="BL935" t="s">
        <v>1670</v>
      </c>
      <c r="BM935" t="s">
        <v>16299</v>
      </c>
      <c r="BN935">
        <v>21068374</v>
      </c>
      <c r="BO935" t="s">
        <v>726</v>
      </c>
      <c r="BP935" t="s">
        <v>74</v>
      </c>
      <c r="BQ935" t="s">
        <v>74</v>
      </c>
      <c r="BR935" t="s">
        <v>103</v>
      </c>
      <c r="BS935" t="s">
        <v>16300</v>
      </c>
      <c r="BT935" t="str">
        <f>HYPERLINK("https%3A%2F%2Fwww.webofscience.com%2Fwos%2Fwoscc%2Ffull-record%2FWOS:000284762400035","View Full Record in Web of Science")</f>
        <v>View Full Record in Web of Science</v>
      </c>
    </row>
    <row r="936" spans="1:72" x14ac:dyDescent="0.15">
      <c r="A936" t="s">
        <v>72</v>
      </c>
      <c r="B936" t="s">
        <v>16301</v>
      </c>
      <c r="C936" t="s">
        <v>74</v>
      </c>
      <c r="D936" t="s">
        <v>74</v>
      </c>
      <c r="E936" t="s">
        <v>74</v>
      </c>
      <c r="F936" t="s">
        <v>16302</v>
      </c>
      <c r="G936" t="s">
        <v>74</v>
      </c>
      <c r="H936" t="s">
        <v>74</v>
      </c>
      <c r="I936" t="s">
        <v>16303</v>
      </c>
      <c r="J936" t="s">
        <v>16304</v>
      </c>
      <c r="K936" t="s">
        <v>74</v>
      </c>
      <c r="L936" t="s">
        <v>74</v>
      </c>
      <c r="M936" t="s">
        <v>78</v>
      </c>
      <c r="N936" t="s">
        <v>79</v>
      </c>
      <c r="O936" t="s">
        <v>74</v>
      </c>
      <c r="P936" t="s">
        <v>74</v>
      </c>
      <c r="Q936" t="s">
        <v>74</v>
      </c>
      <c r="R936" t="s">
        <v>74</v>
      </c>
      <c r="S936" t="s">
        <v>74</v>
      </c>
      <c r="T936" t="s">
        <v>16305</v>
      </c>
      <c r="U936" t="s">
        <v>16306</v>
      </c>
      <c r="V936" t="s">
        <v>16307</v>
      </c>
      <c r="W936" t="s">
        <v>16308</v>
      </c>
      <c r="X936" t="s">
        <v>1386</v>
      </c>
      <c r="Y936" t="s">
        <v>16309</v>
      </c>
      <c r="Z936" t="s">
        <v>16310</v>
      </c>
      <c r="AA936" t="s">
        <v>74</v>
      </c>
      <c r="AB936" t="s">
        <v>74</v>
      </c>
      <c r="AC936" t="s">
        <v>7958</v>
      </c>
      <c r="AD936" t="s">
        <v>1215</v>
      </c>
      <c r="AE936" t="s">
        <v>74</v>
      </c>
      <c r="AF936" t="s">
        <v>74</v>
      </c>
      <c r="AG936">
        <v>97</v>
      </c>
      <c r="AH936">
        <v>84</v>
      </c>
      <c r="AI936">
        <v>101</v>
      </c>
      <c r="AJ936">
        <v>2</v>
      </c>
      <c r="AK936">
        <v>36</v>
      </c>
      <c r="AL936" t="s">
        <v>2133</v>
      </c>
      <c r="AM936" t="s">
        <v>913</v>
      </c>
      <c r="AN936" t="s">
        <v>2134</v>
      </c>
      <c r="AO936" t="s">
        <v>16311</v>
      </c>
      <c r="AP936" t="s">
        <v>16312</v>
      </c>
      <c r="AQ936" t="s">
        <v>74</v>
      </c>
      <c r="AR936" t="s">
        <v>16313</v>
      </c>
      <c r="AS936" t="s">
        <v>16314</v>
      </c>
      <c r="AT936" t="s">
        <v>16315</v>
      </c>
      <c r="AU936">
        <v>2010</v>
      </c>
      <c r="AV936">
        <v>365</v>
      </c>
      <c r="AW936">
        <v>1558</v>
      </c>
      <c r="AX936" t="s">
        <v>74</v>
      </c>
      <c r="AY936" t="s">
        <v>74</v>
      </c>
      <c r="AZ936" t="s">
        <v>74</v>
      </c>
      <c r="BA936" t="s">
        <v>74</v>
      </c>
      <c r="BB936">
        <v>3655</v>
      </c>
      <c r="BC936">
        <v>3666</v>
      </c>
      <c r="BD936" t="s">
        <v>74</v>
      </c>
      <c r="BE936" t="s">
        <v>16316</v>
      </c>
      <c r="BF936" t="str">
        <f>HYPERLINK("http://dx.doi.org/10.1098/rstb.2010.0270","http://dx.doi.org/10.1098/rstb.2010.0270")</f>
        <v>http://dx.doi.org/10.1098/rstb.2010.0270</v>
      </c>
      <c r="BG936" t="s">
        <v>74</v>
      </c>
      <c r="BH936" t="s">
        <v>74</v>
      </c>
      <c r="BI936">
        <v>12</v>
      </c>
      <c r="BJ936" t="s">
        <v>6468</v>
      </c>
      <c r="BK936" t="s">
        <v>100</v>
      </c>
      <c r="BL936" t="s">
        <v>6469</v>
      </c>
      <c r="BM936" t="s">
        <v>16317</v>
      </c>
      <c r="BN936">
        <v>20980314</v>
      </c>
      <c r="BO936" t="s">
        <v>726</v>
      </c>
      <c r="BP936" t="s">
        <v>74</v>
      </c>
      <c r="BQ936" t="s">
        <v>74</v>
      </c>
      <c r="BR936" t="s">
        <v>103</v>
      </c>
      <c r="BS936" t="s">
        <v>16318</v>
      </c>
      <c r="BT936" t="str">
        <f>HYPERLINK("https%3A%2F%2Fwww.webofscience.com%2Fwos%2Fwoscc%2Ffull-record%2FWOS:000283665200007","View Full Record in Web of Science")</f>
        <v>View Full Record in Web of Science</v>
      </c>
    </row>
    <row r="937" spans="1:72" x14ac:dyDescent="0.15">
      <c r="A937" t="s">
        <v>72</v>
      </c>
      <c r="B937" t="s">
        <v>16319</v>
      </c>
      <c r="C937" t="s">
        <v>74</v>
      </c>
      <c r="D937" t="s">
        <v>74</v>
      </c>
      <c r="E937" t="s">
        <v>74</v>
      </c>
      <c r="F937" t="s">
        <v>16320</v>
      </c>
      <c r="G937" t="s">
        <v>74</v>
      </c>
      <c r="H937" t="s">
        <v>74</v>
      </c>
      <c r="I937" t="s">
        <v>16321</v>
      </c>
      <c r="J937" t="s">
        <v>13478</v>
      </c>
      <c r="K937" t="s">
        <v>74</v>
      </c>
      <c r="L937" t="s">
        <v>74</v>
      </c>
      <c r="M937" t="s">
        <v>78</v>
      </c>
      <c r="N937" t="s">
        <v>79</v>
      </c>
      <c r="O937" t="s">
        <v>74</v>
      </c>
      <c r="P937" t="s">
        <v>74</v>
      </c>
      <c r="Q937" t="s">
        <v>74</v>
      </c>
      <c r="R937" t="s">
        <v>74</v>
      </c>
      <c r="S937" t="s">
        <v>74</v>
      </c>
      <c r="T937" t="s">
        <v>16322</v>
      </c>
      <c r="U937" t="s">
        <v>16323</v>
      </c>
      <c r="V937" t="s">
        <v>16324</v>
      </c>
      <c r="W937" t="s">
        <v>16325</v>
      </c>
      <c r="X937" t="s">
        <v>5394</v>
      </c>
      <c r="Y937" t="s">
        <v>16326</v>
      </c>
      <c r="Z937" t="s">
        <v>16327</v>
      </c>
      <c r="AA937" t="s">
        <v>16328</v>
      </c>
      <c r="AB937" t="s">
        <v>16329</v>
      </c>
      <c r="AC937" t="s">
        <v>16330</v>
      </c>
      <c r="AD937" t="s">
        <v>16330</v>
      </c>
      <c r="AE937" t="s">
        <v>16331</v>
      </c>
      <c r="AF937" t="s">
        <v>74</v>
      </c>
      <c r="AG937">
        <v>26</v>
      </c>
      <c r="AH937">
        <v>5</v>
      </c>
      <c r="AI937">
        <v>6</v>
      </c>
      <c r="AJ937">
        <v>1</v>
      </c>
      <c r="AK937">
        <v>5</v>
      </c>
      <c r="AL937" t="s">
        <v>13488</v>
      </c>
      <c r="AM937" t="s">
        <v>13489</v>
      </c>
      <c r="AN937" t="s">
        <v>13490</v>
      </c>
      <c r="AO937" t="s">
        <v>13491</v>
      </c>
      <c r="AP937" t="s">
        <v>74</v>
      </c>
      <c r="AQ937" t="s">
        <v>74</v>
      </c>
      <c r="AR937" t="s">
        <v>13492</v>
      </c>
      <c r="AS937" t="s">
        <v>13493</v>
      </c>
      <c r="AT937" t="s">
        <v>16332</v>
      </c>
      <c r="AU937">
        <v>2010</v>
      </c>
      <c r="AV937">
        <v>99</v>
      </c>
      <c r="AW937">
        <v>10</v>
      </c>
      <c r="AX937" t="s">
        <v>74</v>
      </c>
      <c r="AY937" t="s">
        <v>74</v>
      </c>
      <c r="AZ937" t="s">
        <v>74</v>
      </c>
      <c r="BA937" t="s">
        <v>74</v>
      </c>
      <c r="BB937">
        <v>1390</v>
      </c>
      <c r="BC937">
        <v>1394</v>
      </c>
      <c r="BD937" t="s">
        <v>74</v>
      </c>
      <c r="BE937" t="s">
        <v>74</v>
      </c>
      <c r="BF937" t="s">
        <v>74</v>
      </c>
      <c r="BG937" t="s">
        <v>74</v>
      </c>
      <c r="BH937" t="s">
        <v>74</v>
      </c>
      <c r="BI937">
        <v>5</v>
      </c>
      <c r="BJ937" t="s">
        <v>1669</v>
      </c>
      <c r="BK937" t="s">
        <v>100</v>
      </c>
      <c r="BL937" t="s">
        <v>1670</v>
      </c>
      <c r="BM937" t="s">
        <v>16333</v>
      </c>
      <c r="BN937" t="s">
        <v>74</v>
      </c>
      <c r="BO937" t="s">
        <v>74</v>
      </c>
      <c r="BP937" t="s">
        <v>74</v>
      </c>
      <c r="BQ937" t="s">
        <v>74</v>
      </c>
      <c r="BR937" t="s">
        <v>103</v>
      </c>
      <c r="BS937" t="s">
        <v>16334</v>
      </c>
      <c r="BT937" t="str">
        <f>HYPERLINK("https%3A%2F%2Fwww.webofscience.com%2Fwos%2Fwoscc%2Ffull-record%2FWOS:000285081400027","View Full Record in Web of Science")</f>
        <v>View Full Record in Web of Science</v>
      </c>
    </row>
    <row r="938" spans="1:72" x14ac:dyDescent="0.15">
      <c r="A938" t="s">
        <v>72</v>
      </c>
      <c r="B938" t="s">
        <v>16335</v>
      </c>
      <c r="C938" t="s">
        <v>74</v>
      </c>
      <c r="D938" t="s">
        <v>74</v>
      </c>
      <c r="E938" t="s">
        <v>74</v>
      </c>
      <c r="F938" t="s">
        <v>16336</v>
      </c>
      <c r="G938" t="s">
        <v>74</v>
      </c>
      <c r="H938" t="s">
        <v>74</v>
      </c>
      <c r="I938" t="s">
        <v>16337</v>
      </c>
      <c r="J938" t="s">
        <v>13478</v>
      </c>
      <c r="K938" t="s">
        <v>74</v>
      </c>
      <c r="L938" t="s">
        <v>74</v>
      </c>
      <c r="M938" t="s">
        <v>78</v>
      </c>
      <c r="N938" t="s">
        <v>79</v>
      </c>
      <c r="O938" t="s">
        <v>74</v>
      </c>
      <c r="P938" t="s">
        <v>74</v>
      </c>
      <c r="Q938" t="s">
        <v>74</v>
      </c>
      <c r="R938" t="s">
        <v>74</v>
      </c>
      <c r="S938" t="s">
        <v>74</v>
      </c>
      <c r="T938" t="s">
        <v>16338</v>
      </c>
      <c r="U938" t="s">
        <v>16339</v>
      </c>
      <c r="V938" t="s">
        <v>16340</v>
      </c>
      <c r="W938" t="s">
        <v>16341</v>
      </c>
      <c r="X938" t="s">
        <v>16342</v>
      </c>
      <c r="Y938" t="s">
        <v>16343</v>
      </c>
      <c r="Z938" t="s">
        <v>13485</v>
      </c>
      <c r="AA938" t="s">
        <v>16344</v>
      </c>
      <c r="AB938" t="s">
        <v>16345</v>
      </c>
      <c r="AC938" t="s">
        <v>74</v>
      </c>
      <c r="AD938" t="s">
        <v>74</v>
      </c>
      <c r="AE938" t="s">
        <v>74</v>
      </c>
      <c r="AF938" t="s">
        <v>74</v>
      </c>
      <c r="AG938">
        <v>26</v>
      </c>
      <c r="AH938">
        <v>9</v>
      </c>
      <c r="AI938">
        <v>10</v>
      </c>
      <c r="AJ938">
        <v>0</v>
      </c>
      <c r="AK938">
        <v>16</v>
      </c>
      <c r="AL938" t="s">
        <v>13488</v>
      </c>
      <c r="AM938" t="s">
        <v>13489</v>
      </c>
      <c r="AN938" t="s">
        <v>13490</v>
      </c>
      <c r="AO938" t="s">
        <v>13491</v>
      </c>
      <c r="AP938" t="s">
        <v>74</v>
      </c>
      <c r="AQ938" t="s">
        <v>74</v>
      </c>
      <c r="AR938" t="s">
        <v>13492</v>
      </c>
      <c r="AS938" t="s">
        <v>13493</v>
      </c>
      <c r="AT938" t="s">
        <v>16332</v>
      </c>
      <c r="AU938">
        <v>2010</v>
      </c>
      <c r="AV938">
        <v>99</v>
      </c>
      <c r="AW938">
        <v>10</v>
      </c>
      <c r="AX938" t="s">
        <v>74</v>
      </c>
      <c r="AY938" t="s">
        <v>74</v>
      </c>
      <c r="AZ938" t="s">
        <v>74</v>
      </c>
      <c r="BA938" t="s">
        <v>74</v>
      </c>
      <c r="BB938">
        <v>1395</v>
      </c>
      <c r="BC938">
        <v>1399</v>
      </c>
      <c r="BD938" t="s">
        <v>74</v>
      </c>
      <c r="BE938" t="s">
        <v>74</v>
      </c>
      <c r="BF938" t="s">
        <v>74</v>
      </c>
      <c r="BG938" t="s">
        <v>74</v>
      </c>
      <c r="BH938" t="s">
        <v>74</v>
      </c>
      <c r="BI938">
        <v>5</v>
      </c>
      <c r="BJ938" t="s">
        <v>1669</v>
      </c>
      <c r="BK938" t="s">
        <v>100</v>
      </c>
      <c r="BL938" t="s">
        <v>1670</v>
      </c>
      <c r="BM938" t="s">
        <v>16333</v>
      </c>
      <c r="BN938" t="s">
        <v>74</v>
      </c>
      <c r="BO938" t="s">
        <v>74</v>
      </c>
      <c r="BP938" t="s">
        <v>74</v>
      </c>
      <c r="BQ938" t="s">
        <v>74</v>
      </c>
      <c r="BR938" t="s">
        <v>103</v>
      </c>
      <c r="BS938" t="s">
        <v>16346</v>
      </c>
      <c r="BT938" t="str">
        <f>HYPERLINK("https%3A%2F%2Fwww.webofscience.com%2Fwos%2Fwoscc%2Ffull-record%2FWOS:000285081400028","View Full Record in Web of Science")</f>
        <v>View Full Record in Web of Science</v>
      </c>
    </row>
    <row r="939" spans="1:72" x14ac:dyDescent="0.15">
      <c r="A939" t="s">
        <v>72</v>
      </c>
      <c r="B939" t="s">
        <v>16347</v>
      </c>
      <c r="C939" t="s">
        <v>74</v>
      </c>
      <c r="D939" t="s">
        <v>74</v>
      </c>
      <c r="E939" t="s">
        <v>74</v>
      </c>
      <c r="F939" t="s">
        <v>16348</v>
      </c>
      <c r="G939" t="s">
        <v>74</v>
      </c>
      <c r="H939" t="s">
        <v>74</v>
      </c>
      <c r="I939" t="s">
        <v>16349</v>
      </c>
      <c r="J939" t="s">
        <v>13478</v>
      </c>
      <c r="K939" t="s">
        <v>74</v>
      </c>
      <c r="L939" t="s">
        <v>74</v>
      </c>
      <c r="M939" t="s">
        <v>78</v>
      </c>
      <c r="N939" t="s">
        <v>79</v>
      </c>
      <c r="O939" t="s">
        <v>74</v>
      </c>
      <c r="P939" t="s">
        <v>74</v>
      </c>
      <c r="Q939" t="s">
        <v>74</v>
      </c>
      <c r="R939" t="s">
        <v>74</v>
      </c>
      <c r="S939" t="s">
        <v>74</v>
      </c>
      <c r="T939" t="s">
        <v>16350</v>
      </c>
      <c r="U939" t="s">
        <v>16351</v>
      </c>
      <c r="V939" t="s">
        <v>16352</v>
      </c>
      <c r="W939" t="s">
        <v>16353</v>
      </c>
      <c r="X939" t="s">
        <v>16354</v>
      </c>
      <c r="Y939" t="s">
        <v>16355</v>
      </c>
      <c r="Z939" t="s">
        <v>16356</v>
      </c>
      <c r="AA939" t="s">
        <v>16357</v>
      </c>
      <c r="AB939" t="s">
        <v>16358</v>
      </c>
      <c r="AC939" t="s">
        <v>16359</v>
      </c>
      <c r="AD939" t="s">
        <v>16359</v>
      </c>
      <c r="AE939" t="s">
        <v>16360</v>
      </c>
      <c r="AF939" t="s">
        <v>74</v>
      </c>
      <c r="AG939">
        <v>27</v>
      </c>
      <c r="AH939">
        <v>4</v>
      </c>
      <c r="AI939">
        <v>5</v>
      </c>
      <c r="AJ939">
        <v>0</v>
      </c>
      <c r="AK939">
        <v>9</v>
      </c>
      <c r="AL939" t="s">
        <v>13488</v>
      </c>
      <c r="AM939" t="s">
        <v>13489</v>
      </c>
      <c r="AN939" t="s">
        <v>13490</v>
      </c>
      <c r="AO939" t="s">
        <v>13491</v>
      </c>
      <c r="AP939" t="s">
        <v>74</v>
      </c>
      <c r="AQ939" t="s">
        <v>74</v>
      </c>
      <c r="AR939" t="s">
        <v>13492</v>
      </c>
      <c r="AS939" t="s">
        <v>13493</v>
      </c>
      <c r="AT939" t="s">
        <v>16332</v>
      </c>
      <c r="AU939">
        <v>2010</v>
      </c>
      <c r="AV939">
        <v>99</v>
      </c>
      <c r="AW939">
        <v>10</v>
      </c>
      <c r="AX939" t="s">
        <v>74</v>
      </c>
      <c r="AY939" t="s">
        <v>74</v>
      </c>
      <c r="AZ939" t="s">
        <v>74</v>
      </c>
      <c r="BA939" t="s">
        <v>74</v>
      </c>
      <c r="BB939">
        <v>1400</v>
      </c>
      <c r="BC939">
        <v>1404</v>
      </c>
      <c r="BD939" t="s">
        <v>74</v>
      </c>
      <c r="BE939" t="s">
        <v>74</v>
      </c>
      <c r="BF939" t="s">
        <v>74</v>
      </c>
      <c r="BG939" t="s">
        <v>74</v>
      </c>
      <c r="BH939" t="s">
        <v>74</v>
      </c>
      <c r="BI939">
        <v>5</v>
      </c>
      <c r="BJ939" t="s">
        <v>1669</v>
      </c>
      <c r="BK939" t="s">
        <v>100</v>
      </c>
      <c r="BL939" t="s">
        <v>1670</v>
      </c>
      <c r="BM939" t="s">
        <v>16333</v>
      </c>
      <c r="BN939" t="s">
        <v>74</v>
      </c>
      <c r="BO939" t="s">
        <v>74</v>
      </c>
      <c r="BP939" t="s">
        <v>74</v>
      </c>
      <c r="BQ939" t="s">
        <v>74</v>
      </c>
      <c r="BR939" t="s">
        <v>103</v>
      </c>
      <c r="BS939" t="s">
        <v>16361</v>
      </c>
      <c r="BT939" t="str">
        <f>HYPERLINK("https%3A%2F%2Fwww.webofscience.com%2Fwos%2Fwoscc%2Ffull-record%2FWOS:000285081400029","View Full Record in Web of Science")</f>
        <v>View Full Record in Web of Science</v>
      </c>
    </row>
    <row r="940" spans="1:72" x14ac:dyDescent="0.15">
      <c r="A940" t="s">
        <v>72</v>
      </c>
      <c r="B940" t="s">
        <v>16362</v>
      </c>
      <c r="C940" t="s">
        <v>74</v>
      </c>
      <c r="D940" t="s">
        <v>74</v>
      </c>
      <c r="E940" t="s">
        <v>74</v>
      </c>
      <c r="F940" t="s">
        <v>16363</v>
      </c>
      <c r="G940" t="s">
        <v>74</v>
      </c>
      <c r="H940" t="s">
        <v>74</v>
      </c>
      <c r="I940" t="s">
        <v>16364</v>
      </c>
      <c r="J940" t="s">
        <v>13478</v>
      </c>
      <c r="K940" t="s">
        <v>74</v>
      </c>
      <c r="L940" t="s">
        <v>74</v>
      </c>
      <c r="M940" t="s">
        <v>78</v>
      </c>
      <c r="N940" t="s">
        <v>79</v>
      </c>
      <c r="O940" t="s">
        <v>74</v>
      </c>
      <c r="P940" t="s">
        <v>74</v>
      </c>
      <c r="Q940" t="s">
        <v>74</v>
      </c>
      <c r="R940" t="s">
        <v>74</v>
      </c>
      <c r="S940" t="s">
        <v>74</v>
      </c>
      <c r="T940" t="s">
        <v>16365</v>
      </c>
      <c r="U940" t="s">
        <v>16366</v>
      </c>
      <c r="V940" t="s">
        <v>16367</v>
      </c>
      <c r="W940" t="s">
        <v>16368</v>
      </c>
      <c r="X940" t="s">
        <v>5394</v>
      </c>
      <c r="Y940" t="s">
        <v>16369</v>
      </c>
      <c r="Z940" t="s">
        <v>16370</v>
      </c>
      <c r="AA940" t="s">
        <v>74</v>
      </c>
      <c r="AB940" t="s">
        <v>74</v>
      </c>
      <c r="AC940" t="s">
        <v>74</v>
      </c>
      <c r="AD940" t="s">
        <v>74</v>
      </c>
      <c r="AE940" t="s">
        <v>74</v>
      </c>
      <c r="AF940" t="s">
        <v>74</v>
      </c>
      <c r="AG940">
        <v>11</v>
      </c>
      <c r="AH940">
        <v>1</v>
      </c>
      <c r="AI940">
        <v>3</v>
      </c>
      <c r="AJ940">
        <v>0</v>
      </c>
      <c r="AK940">
        <v>3</v>
      </c>
      <c r="AL940" t="s">
        <v>13488</v>
      </c>
      <c r="AM940" t="s">
        <v>13489</v>
      </c>
      <c r="AN940" t="s">
        <v>13490</v>
      </c>
      <c r="AO940" t="s">
        <v>13491</v>
      </c>
      <c r="AP940" t="s">
        <v>74</v>
      </c>
      <c r="AQ940" t="s">
        <v>74</v>
      </c>
      <c r="AR940" t="s">
        <v>13492</v>
      </c>
      <c r="AS940" t="s">
        <v>13493</v>
      </c>
      <c r="AT940" t="s">
        <v>16332</v>
      </c>
      <c r="AU940">
        <v>2010</v>
      </c>
      <c r="AV940">
        <v>99</v>
      </c>
      <c r="AW940">
        <v>10</v>
      </c>
      <c r="AX940" t="s">
        <v>74</v>
      </c>
      <c r="AY940" t="s">
        <v>74</v>
      </c>
      <c r="AZ940" t="s">
        <v>74</v>
      </c>
      <c r="BA940" t="s">
        <v>74</v>
      </c>
      <c r="BB940">
        <v>1405</v>
      </c>
      <c r="BC940">
        <v>1412</v>
      </c>
      <c r="BD940" t="s">
        <v>74</v>
      </c>
      <c r="BE940" t="s">
        <v>74</v>
      </c>
      <c r="BF940" t="s">
        <v>74</v>
      </c>
      <c r="BG940" t="s">
        <v>74</v>
      </c>
      <c r="BH940" t="s">
        <v>74</v>
      </c>
      <c r="BI940">
        <v>8</v>
      </c>
      <c r="BJ940" t="s">
        <v>1669</v>
      </c>
      <c r="BK940" t="s">
        <v>100</v>
      </c>
      <c r="BL940" t="s">
        <v>1670</v>
      </c>
      <c r="BM940" t="s">
        <v>16333</v>
      </c>
      <c r="BN940" t="s">
        <v>74</v>
      </c>
      <c r="BO940" t="s">
        <v>74</v>
      </c>
      <c r="BP940" t="s">
        <v>74</v>
      </c>
      <c r="BQ940" t="s">
        <v>74</v>
      </c>
      <c r="BR940" t="s">
        <v>103</v>
      </c>
      <c r="BS940" t="s">
        <v>16371</v>
      </c>
      <c r="BT940" t="str">
        <f>HYPERLINK("https%3A%2F%2Fwww.webofscience.com%2Fwos%2Fwoscc%2Ffull-record%2FWOS:000285081400030","View Full Record in Web of Science")</f>
        <v>View Full Record in Web of Science</v>
      </c>
    </row>
    <row r="941" spans="1:72" x14ac:dyDescent="0.15">
      <c r="A941" t="s">
        <v>72</v>
      </c>
      <c r="B941" t="s">
        <v>16372</v>
      </c>
      <c r="C941" t="s">
        <v>74</v>
      </c>
      <c r="D941" t="s">
        <v>74</v>
      </c>
      <c r="E941" t="s">
        <v>74</v>
      </c>
      <c r="F941" t="s">
        <v>16373</v>
      </c>
      <c r="G941" t="s">
        <v>74</v>
      </c>
      <c r="H941" t="s">
        <v>74</v>
      </c>
      <c r="I941" t="s">
        <v>16374</v>
      </c>
      <c r="J941" t="s">
        <v>13478</v>
      </c>
      <c r="K941" t="s">
        <v>74</v>
      </c>
      <c r="L941" t="s">
        <v>74</v>
      </c>
      <c r="M941" t="s">
        <v>78</v>
      </c>
      <c r="N941" t="s">
        <v>79</v>
      </c>
      <c r="O941" t="s">
        <v>74</v>
      </c>
      <c r="P941" t="s">
        <v>74</v>
      </c>
      <c r="Q941" t="s">
        <v>74</v>
      </c>
      <c r="R941" t="s">
        <v>74</v>
      </c>
      <c r="S941" t="s">
        <v>74</v>
      </c>
      <c r="T941" t="s">
        <v>16375</v>
      </c>
      <c r="U941" t="s">
        <v>16376</v>
      </c>
      <c r="V941" t="s">
        <v>16377</v>
      </c>
      <c r="W941" t="s">
        <v>16378</v>
      </c>
      <c r="X941" t="s">
        <v>3622</v>
      </c>
      <c r="Y941" t="s">
        <v>16379</v>
      </c>
      <c r="Z941" t="s">
        <v>16380</v>
      </c>
      <c r="AA941" t="s">
        <v>16381</v>
      </c>
      <c r="AB941" t="s">
        <v>16382</v>
      </c>
      <c r="AC941" t="s">
        <v>74</v>
      </c>
      <c r="AD941" t="s">
        <v>74</v>
      </c>
      <c r="AE941" t="s">
        <v>74</v>
      </c>
      <c r="AF941" t="s">
        <v>74</v>
      </c>
      <c r="AG941">
        <v>32</v>
      </c>
      <c r="AH941">
        <v>9</v>
      </c>
      <c r="AI941">
        <v>11</v>
      </c>
      <c r="AJ941">
        <v>1</v>
      </c>
      <c r="AK941">
        <v>16</v>
      </c>
      <c r="AL941" t="s">
        <v>13488</v>
      </c>
      <c r="AM941" t="s">
        <v>13489</v>
      </c>
      <c r="AN941" t="s">
        <v>13490</v>
      </c>
      <c r="AO941" t="s">
        <v>13491</v>
      </c>
      <c r="AP941" t="s">
        <v>74</v>
      </c>
      <c r="AQ941" t="s">
        <v>74</v>
      </c>
      <c r="AR941" t="s">
        <v>13492</v>
      </c>
      <c r="AS941" t="s">
        <v>13493</v>
      </c>
      <c r="AT941" t="s">
        <v>16332</v>
      </c>
      <c r="AU941">
        <v>2010</v>
      </c>
      <c r="AV941">
        <v>99</v>
      </c>
      <c r="AW941">
        <v>10</v>
      </c>
      <c r="AX941" t="s">
        <v>74</v>
      </c>
      <c r="AY941" t="s">
        <v>74</v>
      </c>
      <c r="AZ941" t="s">
        <v>74</v>
      </c>
      <c r="BA941" t="s">
        <v>74</v>
      </c>
      <c r="BB941">
        <v>1413</v>
      </c>
      <c r="BC941">
        <v>1419</v>
      </c>
      <c r="BD941" t="s">
        <v>74</v>
      </c>
      <c r="BE941" t="s">
        <v>74</v>
      </c>
      <c r="BF941" t="s">
        <v>74</v>
      </c>
      <c r="BG941" t="s">
        <v>74</v>
      </c>
      <c r="BH941" t="s">
        <v>74</v>
      </c>
      <c r="BI941">
        <v>7</v>
      </c>
      <c r="BJ941" t="s">
        <v>1669</v>
      </c>
      <c r="BK941" t="s">
        <v>100</v>
      </c>
      <c r="BL941" t="s">
        <v>1670</v>
      </c>
      <c r="BM941" t="s">
        <v>16333</v>
      </c>
      <c r="BN941" t="s">
        <v>74</v>
      </c>
      <c r="BO941" t="s">
        <v>74</v>
      </c>
      <c r="BP941" t="s">
        <v>74</v>
      </c>
      <c r="BQ941" t="s">
        <v>74</v>
      </c>
      <c r="BR941" t="s">
        <v>103</v>
      </c>
      <c r="BS941" t="s">
        <v>16383</v>
      </c>
      <c r="BT941" t="str">
        <f>HYPERLINK("https%3A%2F%2Fwww.webofscience.com%2Fwos%2Fwoscc%2Ffull-record%2FWOS:000285081400031","View Full Record in Web of Science")</f>
        <v>View Full Record in Web of Science</v>
      </c>
    </row>
    <row r="942" spans="1:72" x14ac:dyDescent="0.15">
      <c r="A942" t="s">
        <v>72</v>
      </c>
      <c r="B942" t="s">
        <v>16384</v>
      </c>
      <c r="C942" t="s">
        <v>74</v>
      </c>
      <c r="D942" t="s">
        <v>74</v>
      </c>
      <c r="E942" t="s">
        <v>74</v>
      </c>
      <c r="F942" t="s">
        <v>16385</v>
      </c>
      <c r="G942" t="s">
        <v>74</v>
      </c>
      <c r="H942" t="s">
        <v>74</v>
      </c>
      <c r="I942" t="s">
        <v>16386</v>
      </c>
      <c r="J942" t="s">
        <v>13478</v>
      </c>
      <c r="K942" t="s">
        <v>74</v>
      </c>
      <c r="L942" t="s">
        <v>74</v>
      </c>
      <c r="M942" t="s">
        <v>78</v>
      </c>
      <c r="N942" t="s">
        <v>79</v>
      </c>
      <c r="O942" t="s">
        <v>74</v>
      </c>
      <c r="P942" t="s">
        <v>74</v>
      </c>
      <c r="Q942" t="s">
        <v>74</v>
      </c>
      <c r="R942" t="s">
        <v>74</v>
      </c>
      <c r="S942" t="s">
        <v>74</v>
      </c>
      <c r="T942" t="s">
        <v>16387</v>
      </c>
      <c r="U942" t="s">
        <v>16388</v>
      </c>
      <c r="V942" t="s">
        <v>16389</v>
      </c>
      <c r="W942" t="s">
        <v>16390</v>
      </c>
      <c r="X942" t="s">
        <v>16391</v>
      </c>
      <c r="Y942" t="s">
        <v>16392</v>
      </c>
      <c r="Z942" t="s">
        <v>16393</v>
      </c>
      <c r="AA942" t="s">
        <v>74</v>
      </c>
      <c r="AB942" t="s">
        <v>74</v>
      </c>
      <c r="AC942" t="s">
        <v>74</v>
      </c>
      <c r="AD942" t="s">
        <v>74</v>
      </c>
      <c r="AE942" t="s">
        <v>74</v>
      </c>
      <c r="AF942" t="s">
        <v>74</v>
      </c>
      <c r="AG942">
        <v>20</v>
      </c>
      <c r="AH942">
        <v>12</v>
      </c>
      <c r="AI942">
        <v>13</v>
      </c>
      <c r="AJ942">
        <v>0</v>
      </c>
      <c r="AK942">
        <v>4</v>
      </c>
      <c r="AL942" t="s">
        <v>13488</v>
      </c>
      <c r="AM942" t="s">
        <v>13489</v>
      </c>
      <c r="AN942" t="s">
        <v>13490</v>
      </c>
      <c r="AO942" t="s">
        <v>13491</v>
      </c>
      <c r="AP942" t="s">
        <v>74</v>
      </c>
      <c r="AQ942" t="s">
        <v>74</v>
      </c>
      <c r="AR942" t="s">
        <v>13492</v>
      </c>
      <c r="AS942" t="s">
        <v>13493</v>
      </c>
      <c r="AT942" t="s">
        <v>16332</v>
      </c>
      <c r="AU942">
        <v>2010</v>
      </c>
      <c r="AV942">
        <v>99</v>
      </c>
      <c r="AW942">
        <v>10</v>
      </c>
      <c r="AX942" t="s">
        <v>74</v>
      </c>
      <c r="AY942" t="s">
        <v>74</v>
      </c>
      <c r="AZ942" t="s">
        <v>74</v>
      </c>
      <c r="BA942" t="s">
        <v>74</v>
      </c>
      <c r="BB942">
        <v>1420</v>
      </c>
      <c r="BC942">
        <v>1424</v>
      </c>
      <c r="BD942" t="s">
        <v>74</v>
      </c>
      <c r="BE942" t="s">
        <v>74</v>
      </c>
      <c r="BF942" t="s">
        <v>74</v>
      </c>
      <c r="BG942" t="s">
        <v>74</v>
      </c>
      <c r="BH942" t="s">
        <v>74</v>
      </c>
      <c r="BI942">
        <v>5</v>
      </c>
      <c r="BJ942" t="s">
        <v>1669</v>
      </c>
      <c r="BK942" t="s">
        <v>100</v>
      </c>
      <c r="BL942" t="s">
        <v>1670</v>
      </c>
      <c r="BM942" t="s">
        <v>16333</v>
      </c>
      <c r="BN942" t="s">
        <v>74</v>
      </c>
      <c r="BO942" t="s">
        <v>74</v>
      </c>
      <c r="BP942" t="s">
        <v>74</v>
      </c>
      <c r="BQ942" t="s">
        <v>74</v>
      </c>
      <c r="BR942" t="s">
        <v>103</v>
      </c>
      <c r="BS942" t="s">
        <v>16394</v>
      </c>
      <c r="BT942" t="str">
        <f>HYPERLINK("https%3A%2F%2Fwww.webofscience.com%2Fwos%2Fwoscc%2Ffull-record%2FWOS:000285081400032","View Full Record in Web of Science")</f>
        <v>View Full Record in Web of Science</v>
      </c>
    </row>
    <row r="943" spans="1:72" x14ac:dyDescent="0.15">
      <c r="A943" t="s">
        <v>72</v>
      </c>
      <c r="B943" t="s">
        <v>16395</v>
      </c>
      <c r="C943" t="s">
        <v>74</v>
      </c>
      <c r="D943" t="s">
        <v>74</v>
      </c>
      <c r="E943" t="s">
        <v>74</v>
      </c>
      <c r="F943" t="s">
        <v>16396</v>
      </c>
      <c r="G943" t="s">
        <v>74</v>
      </c>
      <c r="H943" t="s">
        <v>74</v>
      </c>
      <c r="I943" t="s">
        <v>16397</v>
      </c>
      <c r="J943" t="s">
        <v>1701</v>
      </c>
      <c r="K943" t="s">
        <v>74</v>
      </c>
      <c r="L943" t="s">
        <v>74</v>
      </c>
      <c r="M943" t="s">
        <v>78</v>
      </c>
      <c r="N943" t="s">
        <v>79</v>
      </c>
      <c r="O943" t="s">
        <v>74</v>
      </c>
      <c r="P943" t="s">
        <v>74</v>
      </c>
      <c r="Q943" t="s">
        <v>74</v>
      </c>
      <c r="R943" t="s">
        <v>74</v>
      </c>
      <c r="S943" t="s">
        <v>74</v>
      </c>
      <c r="T943" t="s">
        <v>74</v>
      </c>
      <c r="U943" t="s">
        <v>16398</v>
      </c>
      <c r="V943" t="s">
        <v>16399</v>
      </c>
      <c r="W943" t="s">
        <v>16400</v>
      </c>
      <c r="X943" t="s">
        <v>16401</v>
      </c>
      <c r="Y943" t="s">
        <v>16402</v>
      </c>
      <c r="Z943" t="s">
        <v>16403</v>
      </c>
      <c r="AA943" t="s">
        <v>16404</v>
      </c>
      <c r="AB943" t="s">
        <v>16405</v>
      </c>
      <c r="AC943" t="s">
        <v>16406</v>
      </c>
      <c r="AD943" t="s">
        <v>16407</v>
      </c>
      <c r="AE943" t="s">
        <v>16408</v>
      </c>
      <c r="AF943" t="s">
        <v>74</v>
      </c>
      <c r="AG943">
        <v>26</v>
      </c>
      <c r="AH943">
        <v>18</v>
      </c>
      <c r="AI943">
        <v>18</v>
      </c>
      <c r="AJ943">
        <v>0</v>
      </c>
      <c r="AK943">
        <v>20</v>
      </c>
      <c r="AL943" t="s">
        <v>240</v>
      </c>
      <c r="AM943" t="s">
        <v>241</v>
      </c>
      <c r="AN943" t="s">
        <v>242</v>
      </c>
      <c r="AO943" t="s">
        <v>1713</v>
      </c>
      <c r="AP943" t="s">
        <v>1714</v>
      </c>
      <c r="AQ943" t="s">
        <v>74</v>
      </c>
      <c r="AR943" t="s">
        <v>1715</v>
      </c>
      <c r="AS943" t="s">
        <v>1716</v>
      </c>
      <c r="AT943" t="s">
        <v>16332</v>
      </c>
      <c r="AU943">
        <v>2010</v>
      </c>
      <c r="AV943">
        <v>115</v>
      </c>
      <c r="AW943" t="s">
        <v>74</v>
      </c>
      <c r="AX943" t="s">
        <v>74</v>
      </c>
      <c r="AY943" t="s">
        <v>74</v>
      </c>
      <c r="AZ943" t="s">
        <v>74</v>
      </c>
      <c r="BA943" t="s">
        <v>74</v>
      </c>
      <c r="BB943" t="s">
        <v>74</v>
      </c>
      <c r="BC943" t="s">
        <v>74</v>
      </c>
      <c r="BD943" t="s">
        <v>16409</v>
      </c>
      <c r="BE943" t="s">
        <v>16410</v>
      </c>
      <c r="BF943" t="str">
        <f>HYPERLINK("http://dx.doi.org/10.1029/2010JA015967","http://dx.doi.org/10.1029/2010JA015967")</f>
        <v>http://dx.doi.org/10.1029/2010JA015967</v>
      </c>
      <c r="BG943" t="s">
        <v>74</v>
      </c>
      <c r="BH943" t="s">
        <v>74</v>
      </c>
      <c r="BI943">
        <v>10</v>
      </c>
      <c r="BJ943" t="s">
        <v>373</v>
      </c>
      <c r="BK943" t="s">
        <v>100</v>
      </c>
      <c r="BL943" t="s">
        <v>373</v>
      </c>
      <c r="BM943" t="s">
        <v>16411</v>
      </c>
      <c r="BN943" t="s">
        <v>74</v>
      </c>
      <c r="BO943" t="s">
        <v>252</v>
      </c>
      <c r="BP943" t="s">
        <v>74</v>
      </c>
      <c r="BQ943" t="s">
        <v>74</v>
      </c>
      <c r="BR943" t="s">
        <v>103</v>
      </c>
      <c r="BS943" t="s">
        <v>16412</v>
      </c>
      <c r="BT943" t="str">
        <f>HYPERLINK("https%3A%2F%2Fwww.webofscience.com%2Fwos%2Fwoscc%2Ffull-record%2FWOS:000284709300003","View Full Record in Web of Science")</f>
        <v>View Full Record in Web of Science</v>
      </c>
    </row>
    <row r="944" spans="1:72" x14ac:dyDescent="0.15">
      <c r="A944" t="s">
        <v>72</v>
      </c>
      <c r="B944" t="s">
        <v>16413</v>
      </c>
      <c r="C944" t="s">
        <v>74</v>
      </c>
      <c r="D944" t="s">
        <v>74</v>
      </c>
      <c r="E944" t="s">
        <v>74</v>
      </c>
      <c r="F944" t="s">
        <v>16414</v>
      </c>
      <c r="G944" t="s">
        <v>74</v>
      </c>
      <c r="H944" t="s">
        <v>74</v>
      </c>
      <c r="I944" t="s">
        <v>16415</v>
      </c>
      <c r="J944" t="s">
        <v>1980</v>
      </c>
      <c r="K944" t="s">
        <v>74</v>
      </c>
      <c r="L944" t="s">
        <v>74</v>
      </c>
      <c r="M944" t="s">
        <v>78</v>
      </c>
      <c r="N944" t="s">
        <v>79</v>
      </c>
      <c r="O944" t="s">
        <v>74</v>
      </c>
      <c r="P944" t="s">
        <v>74</v>
      </c>
      <c r="Q944" t="s">
        <v>74</v>
      </c>
      <c r="R944" t="s">
        <v>74</v>
      </c>
      <c r="S944" t="s">
        <v>74</v>
      </c>
      <c r="T944" t="s">
        <v>74</v>
      </c>
      <c r="U944" t="s">
        <v>16416</v>
      </c>
      <c r="V944" t="s">
        <v>16417</v>
      </c>
      <c r="W944" t="s">
        <v>16418</v>
      </c>
      <c r="X944" t="s">
        <v>16419</v>
      </c>
      <c r="Y944" t="s">
        <v>16420</v>
      </c>
      <c r="Z944" t="s">
        <v>16421</v>
      </c>
      <c r="AA944" t="s">
        <v>16422</v>
      </c>
      <c r="AB944" t="s">
        <v>16423</v>
      </c>
      <c r="AC944" t="s">
        <v>16424</v>
      </c>
      <c r="AD944" t="s">
        <v>16425</v>
      </c>
      <c r="AE944" t="s">
        <v>16426</v>
      </c>
      <c r="AF944" t="s">
        <v>74</v>
      </c>
      <c r="AG944">
        <v>33</v>
      </c>
      <c r="AH944">
        <v>46</v>
      </c>
      <c r="AI944">
        <v>54</v>
      </c>
      <c r="AJ944">
        <v>0</v>
      </c>
      <c r="AK944">
        <v>38</v>
      </c>
      <c r="AL944" t="s">
        <v>240</v>
      </c>
      <c r="AM944" t="s">
        <v>241</v>
      </c>
      <c r="AN944" t="s">
        <v>242</v>
      </c>
      <c r="AO944" t="s">
        <v>1988</v>
      </c>
      <c r="AP944" t="s">
        <v>14255</v>
      </c>
      <c r="AQ944" t="s">
        <v>74</v>
      </c>
      <c r="AR944" t="s">
        <v>1989</v>
      </c>
      <c r="AS944" t="s">
        <v>1990</v>
      </c>
      <c r="AT944" t="s">
        <v>16427</v>
      </c>
      <c r="AU944">
        <v>2010</v>
      </c>
      <c r="AV944">
        <v>37</v>
      </c>
      <c r="AW944" t="s">
        <v>74</v>
      </c>
      <c r="AX944" t="s">
        <v>74</v>
      </c>
      <c r="AY944" t="s">
        <v>74</v>
      </c>
      <c r="AZ944" t="s">
        <v>74</v>
      </c>
      <c r="BA944" t="s">
        <v>74</v>
      </c>
      <c r="BB944" t="s">
        <v>74</v>
      </c>
      <c r="BC944" t="s">
        <v>74</v>
      </c>
      <c r="BD944" t="s">
        <v>16428</v>
      </c>
      <c r="BE944" t="s">
        <v>16429</v>
      </c>
      <c r="BF944" t="str">
        <f>HYPERLINK("http://dx.doi.org/10.1029/2010GL045448","http://dx.doi.org/10.1029/2010GL045448")</f>
        <v>http://dx.doi.org/10.1029/2010GL045448</v>
      </c>
      <c r="BG944" t="s">
        <v>74</v>
      </c>
      <c r="BH944" t="s">
        <v>74</v>
      </c>
      <c r="BI944">
        <v>5</v>
      </c>
      <c r="BJ944" t="s">
        <v>396</v>
      </c>
      <c r="BK944" t="s">
        <v>100</v>
      </c>
      <c r="BL944" t="s">
        <v>397</v>
      </c>
      <c r="BM944" t="s">
        <v>16430</v>
      </c>
      <c r="BN944" t="s">
        <v>74</v>
      </c>
      <c r="BO944" t="s">
        <v>923</v>
      </c>
      <c r="BP944" t="s">
        <v>74</v>
      </c>
      <c r="BQ944" t="s">
        <v>74</v>
      </c>
      <c r="BR944" t="s">
        <v>103</v>
      </c>
      <c r="BS944" t="s">
        <v>16431</v>
      </c>
      <c r="BT944" t="str">
        <f>HYPERLINK("https%3A%2F%2Fwww.webofscience.com%2Fwos%2Fwoscc%2Ffull-record%2FWOS:000284702800006","View Full Record in Web of Science")</f>
        <v>View Full Record in Web of Science</v>
      </c>
    </row>
    <row r="945" spans="1:72" x14ac:dyDescent="0.15">
      <c r="A945" t="s">
        <v>72</v>
      </c>
      <c r="B945" t="s">
        <v>16432</v>
      </c>
      <c r="C945" t="s">
        <v>74</v>
      </c>
      <c r="D945" t="s">
        <v>74</v>
      </c>
      <c r="E945" t="s">
        <v>74</v>
      </c>
      <c r="F945" t="s">
        <v>16433</v>
      </c>
      <c r="G945" t="s">
        <v>74</v>
      </c>
      <c r="H945" t="s">
        <v>74</v>
      </c>
      <c r="I945" t="s">
        <v>16434</v>
      </c>
      <c r="J945" t="s">
        <v>1677</v>
      </c>
      <c r="K945" t="s">
        <v>74</v>
      </c>
      <c r="L945" t="s">
        <v>74</v>
      </c>
      <c r="M945" t="s">
        <v>78</v>
      </c>
      <c r="N945" t="s">
        <v>79</v>
      </c>
      <c r="O945" t="s">
        <v>74</v>
      </c>
      <c r="P945" t="s">
        <v>74</v>
      </c>
      <c r="Q945" t="s">
        <v>74</v>
      </c>
      <c r="R945" t="s">
        <v>74</v>
      </c>
      <c r="S945" t="s">
        <v>74</v>
      </c>
      <c r="T945" t="s">
        <v>74</v>
      </c>
      <c r="U945" t="s">
        <v>16435</v>
      </c>
      <c r="V945" t="s">
        <v>16436</v>
      </c>
      <c r="W945" t="s">
        <v>16437</v>
      </c>
      <c r="X945" t="s">
        <v>16438</v>
      </c>
      <c r="Y945" t="s">
        <v>16439</v>
      </c>
      <c r="Z945" t="s">
        <v>16440</v>
      </c>
      <c r="AA945" t="s">
        <v>16441</v>
      </c>
      <c r="AB945" t="s">
        <v>16442</v>
      </c>
      <c r="AC945" t="s">
        <v>16443</v>
      </c>
      <c r="AD945" t="s">
        <v>16444</v>
      </c>
      <c r="AE945" t="s">
        <v>16445</v>
      </c>
      <c r="AF945" t="s">
        <v>74</v>
      </c>
      <c r="AG945">
        <v>58</v>
      </c>
      <c r="AH945">
        <v>24</v>
      </c>
      <c r="AI945">
        <v>25</v>
      </c>
      <c r="AJ945">
        <v>0</v>
      </c>
      <c r="AK945">
        <v>14</v>
      </c>
      <c r="AL945" t="s">
        <v>240</v>
      </c>
      <c r="AM945" t="s">
        <v>241</v>
      </c>
      <c r="AN945" t="s">
        <v>242</v>
      </c>
      <c r="AO945" t="s">
        <v>1688</v>
      </c>
      <c r="AP945" t="s">
        <v>1689</v>
      </c>
      <c r="AQ945" t="s">
        <v>74</v>
      </c>
      <c r="AR945" t="s">
        <v>1690</v>
      </c>
      <c r="AS945" t="s">
        <v>1691</v>
      </c>
      <c r="AT945" t="s">
        <v>16427</v>
      </c>
      <c r="AU945">
        <v>2010</v>
      </c>
      <c r="AV945">
        <v>115</v>
      </c>
      <c r="AW945" t="s">
        <v>74</v>
      </c>
      <c r="AX945" t="s">
        <v>74</v>
      </c>
      <c r="AY945" t="s">
        <v>74</v>
      </c>
      <c r="AZ945" t="s">
        <v>74</v>
      </c>
      <c r="BA945" t="s">
        <v>74</v>
      </c>
      <c r="BB945" t="s">
        <v>74</v>
      </c>
      <c r="BC945" t="s">
        <v>74</v>
      </c>
      <c r="BD945" t="s">
        <v>16446</v>
      </c>
      <c r="BE945" t="s">
        <v>16447</v>
      </c>
      <c r="BF945" t="str">
        <f>HYPERLINK("http://dx.doi.org/10.1029/2010JD014423","http://dx.doi.org/10.1029/2010JD014423")</f>
        <v>http://dx.doi.org/10.1029/2010JD014423</v>
      </c>
      <c r="BG945" t="s">
        <v>74</v>
      </c>
      <c r="BH945" t="s">
        <v>74</v>
      </c>
      <c r="BI945">
        <v>15</v>
      </c>
      <c r="BJ945" t="s">
        <v>603</v>
      </c>
      <c r="BK945" t="s">
        <v>100</v>
      </c>
      <c r="BL945" t="s">
        <v>603</v>
      </c>
      <c r="BM945" t="s">
        <v>16448</v>
      </c>
      <c r="BN945" t="s">
        <v>74</v>
      </c>
      <c r="BO945" t="s">
        <v>1696</v>
      </c>
      <c r="BP945" t="s">
        <v>74</v>
      </c>
      <c r="BQ945" t="s">
        <v>74</v>
      </c>
      <c r="BR945" t="s">
        <v>103</v>
      </c>
      <c r="BS945" t="s">
        <v>16449</v>
      </c>
      <c r="BT945" t="str">
        <f>HYPERLINK("https%3A%2F%2Fwww.webofscience.com%2Fwos%2Fwoscc%2Ffull-record%2FWOS:000284704600010","View Full Record in Web of Science")</f>
        <v>View Full Record in Web of Science</v>
      </c>
    </row>
    <row r="946" spans="1:72" x14ac:dyDescent="0.15">
      <c r="A946" t="s">
        <v>72</v>
      </c>
      <c r="B946" t="s">
        <v>16450</v>
      </c>
      <c r="C946" t="s">
        <v>74</v>
      </c>
      <c r="D946" t="s">
        <v>74</v>
      </c>
      <c r="E946" t="s">
        <v>74</v>
      </c>
      <c r="F946" t="s">
        <v>16451</v>
      </c>
      <c r="G946" t="s">
        <v>74</v>
      </c>
      <c r="H946" t="s">
        <v>74</v>
      </c>
      <c r="I946" t="s">
        <v>16452</v>
      </c>
      <c r="J946" t="s">
        <v>1701</v>
      </c>
      <c r="K946" t="s">
        <v>74</v>
      </c>
      <c r="L946" t="s">
        <v>74</v>
      </c>
      <c r="M946" t="s">
        <v>78</v>
      </c>
      <c r="N946" t="s">
        <v>79</v>
      </c>
      <c r="O946" t="s">
        <v>74</v>
      </c>
      <c r="P946" t="s">
        <v>74</v>
      </c>
      <c r="Q946" t="s">
        <v>74</v>
      </c>
      <c r="R946" t="s">
        <v>74</v>
      </c>
      <c r="S946" t="s">
        <v>74</v>
      </c>
      <c r="T946" t="s">
        <v>74</v>
      </c>
      <c r="U946" t="s">
        <v>16453</v>
      </c>
      <c r="V946" t="s">
        <v>16454</v>
      </c>
      <c r="W946" t="s">
        <v>16455</v>
      </c>
      <c r="X946" t="s">
        <v>16456</v>
      </c>
      <c r="Y946" t="s">
        <v>16457</v>
      </c>
      <c r="Z946" t="s">
        <v>16458</v>
      </c>
      <c r="AA946" t="s">
        <v>16459</v>
      </c>
      <c r="AB946" t="s">
        <v>16460</v>
      </c>
      <c r="AC946" t="s">
        <v>16461</v>
      </c>
      <c r="AD946" t="s">
        <v>16462</v>
      </c>
      <c r="AE946" t="s">
        <v>16463</v>
      </c>
      <c r="AF946" t="s">
        <v>74</v>
      </c>
      <c r="AG946">
        <v>30</v>
      </c>
      <c r="AH946">
        <v>158</v>
      </c>
      <c r="AI946">
        <v>163</v>
      </c>
      <c r="AJ946">
        <v>0</v>
      </c>
      <c r="AK946">
        <v>3</v>
      </c>
      <c r="AL946" t="s">
        <v>240</v>
      </c>
      <c r="AM946" t="s">
        <v>241</v>
      </c>
      <c r="AN946" t="s">
        <v>242</v>
      </c>
      <c r="AO946" t="s">
        <v>1713</v>
      </c>
      <c r="AP946" t="s">
        <v>1714</v>
      </c>
      <c r="AQ946" t="s">
        <v>74</v>
      </c>
      <c r="AR946" t="s">
        <v>1715</v>
      </c>
      <c r="AS946" t="s">
        <v>1716</v>
      </c>
      <c r="AT946" t="s">
        <v>16427</v>
      </c>
      <c r="AU946">
        <v>2010</v>
      </c>
      <c r="AV946">
        <v>115</v>
      </c>
      <c r="AW946" t="s">
        <v>74</v>
      </c>
      <c r="AX946" t="s">
        <v>74</v>
      </c>
      <c r="AY946" t="s">
        <v>74</v>
      </c>
      <c r="AZ946" t="s">
        <v>74</v>
      </c>
      <c r="BA946" t="s">
        <v>74</v>
      </c>
      <c r="BB946" t="s">
        <v>74</v>
      </c>
      <c r="BC946" t="s">
        <v>74</v>
      </c>
      <c r="BD946" t="s">
        <v>16464</v>
      </c>
      <c r="BE946" t="s">
        <v>16465</v>
      </c>
      <c r="BF946" t="str">
        <f>HYPERLINK("http://dx.doi.org/10.1029/2010JA015707","http://dx.doi.org/10.1029/2010JA015707")</f>
        <v>http://dx.doi.org/10.1029/2010JA015707</v>
      </c>
      <c r="BG946" t="s">
        <v>74</v>
      </c>
      <c r="BH946" t="s">
        <v>74</v>
      </c>
      <c r="BI946">
        <v>11</v>
      </c>
      <c r="BJ946" t="s">
        <v>373</v>
      </c>
      <c r="BK946" t="s">
        <v>100</v>
      </c>
      <c r="BL946" t="s">
        <v>373</v>
      </c>
      <c r="BM946" t="s">
        <v>16466</v>
      </c>
      <c r="BN946" t="s">
        <v>74</v>
      </c>
      <c r="BO946" t="s">
        <v>1696</v>
      </c>
      <c r="BP946" t="s">
        <v>74</v>
      </c>
      <c r="BQ946" t="s">
        <v>74</v>
      </c>
      <c r="BR946" t="s">
        <v>103</v>
      </c>
      <c r="BS946" t="s">
        <v>16467</v>
      </c>
      <c r="BT946" t="str">
        <f>HYPERLINK("https%3A%2F%2Fwww.webofscience.com%2Fwos%2Fwoscc%2Ffull-record%2FWOS:000284708800005","View Full Record in Web of Science")</f>
        <v>View Full Record in Web of Science</v>
      </c>
    </row>
    <row r="947" spans="1:72" x14ac:dyDescent="0.15">
      <c r="A947" t="s">
        <v>72</v>
      </c>
      <c r="B947" t="s">
        <v>16468</v>
      </c>
      <c r="C947" t="s">
        <v>74</v>
      </c>
      <c r="D947" t="s">
        <v>74</v>
      </c>
      <c r="E947" t="s">
        <v>74</v>
      </c>
      <c r="F947" t="s">
        <v>16469</v>
      </c>
      <c r="G947" t="s">
        <v>74</v>
      </c>
      <c r="H947" t="s">
        <v>74</v>
      </c>
      <c r="I947" t="s">
        <v>16470</v>
      </c>
      <c r="J947" t="s">
        <v>1725</v>
      </c>
      <c r="K947" t="s">
        <v>74</v>
      </c>
      <c r="L947" t="s">
        <v>74</v>
      </c>
      <c r="M947" t="s">
        <v>78</v>
      </c>
      <c r="N947" t="s">
        <v>79</v>
      </c>
      <c r="O947" t="s">
        <v>74</v>
      </c>
      <c r="P947" t="s">
        <v>74</v>
      </c>
      <c r="Q947" t="s">
        <v>74</v>
      </c>
      <c r="R947" t="s">
        <v>74</v>
      </c>
      <c r="S947" t="s">
        <v>74</v>
      </c>
      <c r="T947" t="s">
        <v>74</v>
      </c>
      <c r="U947" t="s">
        <v>16471</v>
      </c>
      <c r="V947" t="s">
        <v>16472</v>
      </c>
      <c r="W947" t="s">
        <v>16473</v>
      </c>
      <c r="X947" t="s">
        <v>16474</v>
      </c>
      <c r="Y947" t="s">
        <v>16475</v>
      </c>
      <c r="Z947" t="s">
        <v>16476</v>
      </c>
      <c r="AA947" t="s">
        <v>16477</v>
      </c>
      <c r="AB947" t="s">
        <v>16478</v>
      </c>
      <c r="AC947" t="s">
        <v>16479</v>
      </c>
      <c r="AD947" t="s">
        <v>16480</v>
      </c>
      <c r="AE947" t="s">
        <v>16481</v>
      </c>
      <c r="AF947" t="s">
        <v>74</v>
      </c>
      <c r="AG947">
        <v>57</v>
      </c>
      <c r="AH947">
        <v>112</v>
      </c>
      <c r="AI947">
        <v>127</v>
      </c>
      <c r="AJ947">
        <v>1</v>
      </c>
      <c r="AK947">
        <v>62</v>
      </c>
      <c r="AL947" t="s">
        <v>240</v>
      </c>
      <c r="AM947" t="s">
        <v>241</v>
      </c>
      <c r="AN947" t="s">
        <v>242</v>
      </c>
      <c r="AO947" t="s">
        <v>1736</v>
      </c>
      <c r="AP947" t="s">
        <v>74</v>
      </c>
      <c r="AQ947" t="s">
        <v>74</v>
      </c>
      <c r="AR947" t="s">
        <v>1725</v>
      </c>
      <c r="AS947" t="s">
        <v>1738</v>
      </c>
      <c r="AT947" t="s">
        <v>16427</v>
      </c>
      <c r="AU947">
        <v>2010</v>
      </c>
      <c r="AV947">
        <v>25</v>
      </c>
      <c r="AW947" t="s">
        <v>74</v>
      </c>
      <c r="AX947" t="s">
        <v>74</v>
      </c>
      <c r="AY947" t="s">
        <v>74</v>
      </c>
      <c r="AZ947" t="s">
        <v>74</v>
      </c>
      <c r="BA947" t="s">
        <v>74</v>
      </c>
      <c r="BB947" t="s">
        <v>74</v>
      </c>
      <c r="BC947" t="s">
        <v>74</v>
      </c>
      <c r="BD947" t="s">
        <v>16482</v>
      </c>
      <c r="BE947" t="s">
        <v>16483</v>
      </c>
      <c r="BF947" t="str">
        <f>HYPERLINK("http://dx.doi.org/10.1029/2009PA001880","http://dx.doi.org/10.1029/2009PA001880")</f>
        <v>http://dx.doi.org/10.1029/2009PA001880</v>
      </c>
      <c r="BG947" t="s">
        <v>74</v>
      </c>
      <c r="BH947" t="s">
        <v>74</v>
      </c>
      <c r="BI947">
        <v>11</v>
      </c>
      <c r="BJ947" t="s">
        <v>1741</v>
      </c>
      <c r="BK947" t="s">
        <v>100</v>
      </c>
      <c r="BL947" t="s">
        <v>1742</v>
      </c>
      <c r="BM947" t="s">
        <v>16484</v>
      </c>
      <c r="BN947" t="s">
        <v>74</v>
      </c>
      <c r="BO947" t="s">
        <v>1696</v>
      </c>
      <c r="BP947" t="s">
        <v>74</v>
      </c>
      <c r="BQ947" t="s">
        <v>74</v>
      </c>
      <c r="BR947" t="s">
        <v>103</v>
      </c>
      <c r="BS947" t="s">
        <v>16485</v>
      </c>
      <c r="BT947" t="str">
        <f>HYPERLINK("https%3A%2F%2Fwww.webofscience.com%2Fwos%2Fwoscc%2Ffull-record%2FWOS:000284709800001","View Full Record in Web of Science")</f>
        <v>View Full Record in Web of Science</v>
      </c>
    </row>
    <row r="948" spans="1:72" x14ac:dyDescent="0.15">
      <c r="A948" t="s">
        <v>72</v>
      </c>
      <c r="B948" t="s">
        <v>16486</v>
      </c>
      <c r="C948" t="s">
        <v>74</v>
      </c>
      <c r="D948" t="s">
        <v>74</v>
      </c>
      <c r="E948" t="s">
        <v>74</v>
      </c>
      <c r="F948" t="s">
        <v>16487</v>
      </c>
      <c r="G948" t="s">
        <v>74</v>
      </c>
      <c r="H948" t="s">
        <v>74</v>
      </c>
      <c r="I948" t="s">
        <v>16488</v>
      </c>
      <c r="J948" t="s">
        <v>1980</v>
      </c>
      <c r="K948" t="s">
        <v>74</v>
      </c>
      <c r="L948" t="s">
        <v>74</v>
      </c>
      <c r="M948" t="s">
        <v>78</v>
      </c>
      <c r="N948" t="s">
        <v>79</v>
      </c>
      <c r="O948" t="s">
        <v>74</v>
      </c>
      <c r="P948" t="s">
        <v>74</v>
      </c>
      <c r="Q948" t="s">
        <v>74</v>
      </c>
      <c r="R948" t="s">
        <v>74</v>
      </c>
      <c r="S948" t="s">
        <v>74</v>
      </c>
      <c r="T948" t="s">
        <v>74</v>
      </c>
      <c r="U948" t="s">
        <v>16489</v>
      </c>
      <c r="V948" t="s">
        <v>16490</v>
      </c>
      <c r="W948" t="s">
        <v>16491</v>
      </c>
      <c r="X948" t="s">
        <v>16492</v>
      </c>
      <c r="Y948" t="s">
        <v>16493</v>
      </c>
      <c r="Z948" t="s">
        <v>16494</v>
      </c>
      <c r="AA948" t="s">
        <v>16495</v>
      </c>
      <c r="AB948" t="s">
        <v>16496</v>
      </c>
      <c r="AC948" t="s">
        <v>16497</v>
      </c>
      <c r="AD948" t="s">
        <v>16498</v>
      </c>
      <c r="AE948" t="s">
        <v>16499</v>
      </c>
      <c r="AF948" t="s">
        <v>74</v>
      </c>
      <c r="AG948">
        <v>38</v>
      </c>
      <c r="AH948">
        <v>43</v>
      </c>
      <c r="AI948">
        <v>51</v>
      </c>
      <c r="AJ948">
        <v>0</v>
      </c>
      <c r="AK948">
        <v>21</v>
      </c>
      <c r="AL948" t="s">
        <v>240</v>
      </c>
      <c r="AM948" t="s">
        <v>241</v>
      </c>
      <c r="AN948" t="s">
        <v>242</v>
      </c>
      <c r="AO948" t="s">
        <v>1988</v>
      </c>
      <c r="AP948" t="s">
        <v>14255</v>
      </c>
      <c r="AQ948" t="s">
        <v>74</v>
      </c>
      <c r="AR948" t="s">
        <v>1989</v>
      </c>
      <c r="AS948" t="s">
        <v>1990</v>
      </c>
      <c r="AT948" t="s">
        <v>16500</v>
      </c>
      <c r="AU948">
        <v>2010</v>
      </c>
      <c r="AV948">
        <v>37</v>
      </c>
      <c r="AW948" t="s">
        <v>74</v>
      </c>
      <c r="AX948" t="s">
        <v>74</v>
      </c>
      <c r="AY948" t="s">
        <v>74</v>
      </c>
      <c r="AZ948" t="s">
        <v>74</v>
      </c>
      <c r="BA948" t="s">
        <v>74</v>
      </c>
      <c r="BB948" t="s">
        <v>74</v>
      </c>
      <c r="BC948" t="s">
        <v>74</v>
      </c>
      <c r="BD948" t="s">
        <v>16501</v>
      </c>
      <c r="BE948" t="s">
        <v>16502</v>
      </c>
      <c r="BF948" t="str">
        <f>HYPERLINK("http://dx.doi.org/10.1029/2010GL045106","http://dx.doi.org/10.1029/2010GL045106")</f>
        <v>http://dx.doi.org/10.1029/2010GL045106</v>
      </c>
      <c r="BG948" t="s">
        <v>74</v>
      </c>
      <c r="BH948" t="s">
        <v>74</v>
      </c>
      <c r="BI948">
        <v>5</v>
      </c>
      <c r="BJ948" t="s">
        <v>396</v>
      </c>
      <c r="BK948" t="s">
        <v>100</v>
      </c>
      <c r="BL948" t="s">
        <v>397</v>
      </c>
      <c r="BM948" t="s">
        <v>16503</v>
      </c>
      <c r="BN948" t="s">
        <v>74</v>
      </c>
      <c r="BO948" t="s">
        <v>172</v>
      </c>
      <c r="BP948" t="s">
        <v>74</v>
      </c>
      <c r="BQ948" t="s">
        <v>74</v>
      </c>
      <c r="BR948" t="s">
        <v>103</v>
      </c>
      <c r="BS948" t="s">
        <v>16504</v>
      </c>
      <c r="BT948" t="str">
        <f>HYPERLINK("https%3A%2F%2Fwww.webofscience.com%2Fwos%2Fwoscc%2Ffull-record%2FWOS:000284479800003","View Full Record in Web of Science")</f>
        <v>View Full Record in Web of Science</v>
      </c>
    </row>
    <row r="949" spans="1:72" x14ac:dyDescent="0.15">
      <c r="A949" t="s">
        <v>72</v>
      </c>
      <c r="B949" t="s">
        <v>16505</v>
      </c>
      <c r="C949" t="s">
        <v>74</v>
      </c>
      <c r="D949" t="s">
        <v>74</v>
      </c>
      <c r="E949" t="s">
        <v>74</v>
      </c>
      <c r="F949" t="s">
        <v>16506</v>
      </c>
      <c r="G949" t="s">
        <v>74</v>
      </c>
      <c r="H949" t="s">
        <v>74</v>
      </c>
      <c r="I949" t="s">
        <v>16507</v>
      </c>
      <c r="J949" t="s">
        <v>1677</v>
      </c>
      <c r="K949" t="s">
        <v>74</v>
      </c>
      <c r="L949" t="s">
        <v>74</v>
      </c>
      <c r="M949" t="s">
        <v>78</v>
      </c>
      <c r="N949" t="s">
        <v>79</v>
      </c>
      <c r="O949" t="s">
        <v>74</v>
      </c>
      <c r="P949" t="s">
        <v>74</v>
      </c>
      <c r="Q949" t="s">
        <v>74</v>
      </c>
      <c r="R949" t="s">
        <v>74</v>
      </c>
      <c r="S949" t="s">
        <v>74</v>
      </c>
      <c r="T949" t="s">
        <v>74</v>
      </c>
      <c r="U949" t="s">
        <v>16508</v>
      </c>
      <c r="V949" t="s">
        <v>16509</v>
      </c>
      <c r="W949" t="s">
        <v>16510</v>
      </c>
      <c r="X949" t="s">
        <v>16511</v>
      </c>
      <c r="Y949" t="s">
        <v>16512</v>
      </c>
      <c r="Z949" t="s">
        <v>16513</v>
      </c>
      <c r="AA949" t="s">
        <v>16514</v>
      </c>
      <c r="AB949" t="s">
        <v>16515</v>
      </c>
      <c r="AC949" t="s">
        <v>16516</v>
      </c>
      <c r="AD949" t="s">
        <v>16517</v>
      </c>
      <c r="AE949" t="s">
        <v>16518</v>
      </c>
      <c r="AF949" t="s">
        <v>74</v>
      </c>
      <c r="AG949">
        <v>42</v>
      </c>
      <c r="AH949">
        <v>39</v>
      </c>
      <c r="AI949">
        <v>41</v>
      </c>
      <c r="AJ949">
        <v>0</v>
      </c>
      <c r="AK949">
        <v>16</v>
      </c>
      <c r="AL949" t="s">
        <v>240</v>
      </c>
      <c r="AM949" t="s">
        <v>241</v>
      </c>
      <c r="AN949" t="s">
        <v>242</v>
      </c>
      <c r="AO949" t="s">
        <v>1688</v>
      </c>
      <c r="AP949" t="s">
        <v>1689</v>
      </c>
      <c r="AQ949" t="s">
        <v>74</v>
      </c>
      <c r="AR949" t="s">
        <v>1690</v>
      </c>
      <c r="AS949" t="s">
        <v>1691</v>
      </c>
      <c r="AT949" t="s">
        <v>16500</v>
      </c>
      <c r="AU949">
        <v>2010</v>
      </c>
      <c r="AV949">
        <v>115</v>
      </c>
      <c r="AW949" t="s">
        <v>74</v>
      </c>
      <c r="AX949" t="s">
        <v>74</v>
      </c>
      <c r="AY949" t="s">
        <v>74</v>
      </c>
      <c r="AZ949" t="s">
        <v>74</v>
      </c>
      <c r="BA949" t="s">
        <v>74</v>
      </c>
      <c r="BB949" t="s">
        <v>74</v>
      </c>
      <c r="BC949" t="s">
        <v>74</v>
      </c>
      <c r="BD949" t="s">
        <v>16519</v>
      </c>
      <c r="BE949" t="s">
        <v>16520</v>
      </c>
      <c r="BF949" t="str">
        <f>HYPERLINK("http://dx.doi.org/10.1029/2010JD014383","http://dx.doi.org/10.1029/2010JD014383")</f>
        <v>http://dx.doi.org/10.1029/2010JD014383</v>
      </c>
      <c r="BG949" t="s">
        <v>74</v>
      </c>
      <c r="BH949" t="s">
        <v>74</v>
      </c>
      <c r="BI949">
        <v>11</v>
      </c>
      <c r="BJ949" t="s">
        <v>603</v>
      </c>
      <c r="BK949" t="s">
        <v>100</v>
      </c>
      <c r="BL949" t="s">
        <v>603</v>
      </c>
      <c r="BM949" t="s">
        <v>16521</v>
      </c>
      <c r="BN949" t="s">
        <v>74</v>
      </c>
      <c r="BO949" t="s">
        <v>252</v>
      </c>
      <c r="BP949" t="s">
        <v>74</v>
      </c>
      <c r="BQ949" t="s">
        <v>74</v>
      </c>
      <c r="BR949" t="s">
        <v>103</v>
      </c>
      <c r="BS949" t="s">
        <v>16522</v>
      </c>
      <c r="BT949" t="str">
        <f>HYPERLINK("https%3A%2F%2Fwww.webofscience.com%2Fwos%2Fwoscc%2Ffull-record%2FWOS:000284481600007","View Full Record in Web of Science")</f>
        <v>View Full Record in Web of Science</v>
      </c>
    </row>
    <row r="950" spans="1:72" x14ac:dyDescent="0.15">
      <c r="A950" t="s">
        <v>72</v>
      </c>
      <c r="B950" t="s">
        <v>16523</v>
      </c>
      <c r="C950" t="s">
        <v>74</v>
      </c>
      <c r="D950" t="s">
        <v>74</v>
      </c>
      <c r="E950" t="s">
        <v>74</v>
      </c>
      <c r="F950" t="s">
        <v>16524</v>
      </c>
      <c r="G950" t="s">
        <v>74</v>
      </c>
      <c r="H950" t="s">
        <v>74</v>
      </c>
      <c r="I950" t="s">
        <v>16525</v>
      </c>
      <c r="J950" t="s">
        <v>1701</v>
      </c>
      <c r="K950" t="s">
        <v>74</v>
      </c>
      <c r="L950" t="s">
        <v>74</v>
      </c>
      <c r="M950" t="s">
        <v>78</v>
      </c>
      <c r="N950" t="s">
        <v>79</v>
      </c>
      <c r="O950" t="s">
        <v>74</v>
      </c>
      <c r="P950" t="s">
        <v>74</v>
      </c>
      <c r="Q950" t="s">
        <v>74</v>
      </c>
      <c r="R950" t="s">
        <v>74</v>
      </c>
      <c r="S950" t="s">
        <v>74</v>
      </c>
      <c r="T950" t="s">
        <v>74</v>
      </c>
      <c r="U950" t="s">
        <v>16526</v>
      </c>
      <c r="V950" t="s">
        <v>16527</v>
      </c>
      <c r="W950" t="s">
        <v>16528</v>
      </c>
      <c r="X950" t="s">
        <v>16529</v>
      </c>
      <c r="Y950" t="s">
        <v>14187</v>
      </c>
      <c r="Z950" t="s">
        <v>16530</v>
      </c>
      <c r="AA950" t="s">
        <v>16531</v>
      </c>
      <c r="AB950" t="s">
        <v>16532</v>
      </c>
      <c r="AC950" t="s">
        <v>16533</v>
      </c>
      <c r="AD950" t="s">
        <v>16534</v>
      </c>
      <c r="AE950" t="s">
        <v>16535</v>
      </c>
      <c r="AF950" t="s">
        <v>74</v>
      </c>
      <c r="AG950">
        <v>67</v>
      </c>
      <c r="AH950">
        <v>33</v>
      </c>
      <c r="AI950">
        <v>34</v>
      </c>
      <c r="AJ950">
        <v>0</v>
      </c>
      <c r="AK950">
        <v>8</v>
      </c>
      <c r="AL950" t="s">
        <v>240</v>
      </c>
      <c r="AM950" t="s">
        <v>241</v>
      </c>
      <c r="AN950" t="s">
        <v>242</v>
      </c>
      <c r="AO950" t="s">
        <v>1713</v>
      </c>
      <c r="AP950" t="s">
        <v>1714</v>
      </c>
      <c r="AQ950" t="s">
        <v>74</v>
      </c>
      <c r="AR950" t="s">
        <v>1715</v>
      </c>
      <c r="AS950" t="s">
        <v>1716</v>
      </c>
      <c r="AT950" t="s">
        <v>16500</v>
      </c>
      <c r="AU950">
        <v>2010</v>
      </c>
      <c r="AV950">
        <v>115</v>
      </c>
      <c r="AW950" t="s">
        <v>74</v>
      </c>
      <c r="AX950" t="s">
        <v>74</v>
      </c>
      <c r="AY950" t="s">
        <v>74</v>
      </c>
      <c r="AZ950" t="s">
        <v>74</v>
      </c>
      <c r="BA950" t="s">
        <v>74</v>
      </c>
      <c r="BB950" t="s">
        <v>74</v>
      </c>
      <c r="BC950" t="s">
        <v>74</v>
      </c>
      <c r="BD950" t="s">
        <v>16536</v>
      </c>
      <c r="BE950" t="s">
        <v>16537</v>
      </c>
      <c r="BF950" t="str">
        <f>HYPERLINK("http://dx.doi.org/10.1029/2010JA015599","http://dx.doi.org/10.1029/2010JA015599")</f>
        <v>http://dx.doi.org/10.1029/2010JA015599</v>
      </c>
      <c r="BG950" t="s">
        <v>74</v>
      </c>
      <c r="BH950" t="s">
        <v>74</v>
      </c>
      <c r="BI950">
        <v>12</v>
      </c>
      <c r="BJ950" t="s">
        <v>373</v>
      </c>
      <c r="BK950" t="s">
        <v>100</v>
      </c>
      <c r="BL950" t="s">
        <v>373</v>
      </c>
      <c r="BM950" t="s">
        <v>16538</v>
      </c>
      <c r="BN950" t="s">
        <v>74</v>
      </c>
      <c r="BO950" t="s">
        <v>1720</v>
      </c>
      <c r="BP950" t="s">
        <v>74</v>
      </c>
      <c r="BQ950" t="s">
        <v>74</v>
      </c>
      <c r="BR950" t="s">
        <v>103</v>
      </c>
      <c r="BS950" t="s">
        <v>16539</v>
      </c>
      <c r="BT950" t="str">
        <f>HYPERLINK("https%3A%2F%2Fwww.webofscience.com%2Fwos%2Fwoscc%2Ffull-record%2FWOS:000284488200004","View Full Record in Web of Science")</f>
        <v>View Full Record in Web of Science</v>
      </c>
    </row>
    <row r="951" spans="1:72" x14ac:dyDescent="0.15">
      <c r="A951" t="s">
        <v>72</v>
      </c>
      <c r="B951" t="s">
        <v>16540</v>
      </c>
      <c r="C951" t="s">
        <v>74</v>
      </c>
      <c r="D951" t="s">
        <v>74</v>
      </c>
      <c r="E951" t="s">
        <v>74</v>
      </c>
      <c r="F951" t="s">
        <v>16541</v>
      </c>
      <c r="G951" t="s">
        <v>74</v>
      </c>
      <c r="H951" t="s">
        <v>74</v>
      </c>
      <c r="I951" t="s">
        <v>16542</v>
      </c>
      <c r="J951" t="s">
        <v>16543</v>
      </c>
      <c r="K951" t="s">
        <v>74</v>
      </c>
      <c r="L951" t="s">
        <v>74</v>
      </c>
      <c r="M951" t="s">
        <v>78</v>
      </c>
      <c r="N951" t="s">
        <v>79</v>
      </c>
      <c r="O951" t="s">
        <v>74</v>
      </c>
      <c r="P951" t="s">
        <v>74</v>
      </c>
      <c r="Q951" t="s">
        <v>74</v>
      </c>
      <c r="R951" t="s">
        <v>74</v>
      </c>
      <c r="S951" t="s">
        <v>74</v>
      </c>
      <c r="T951" t="s">
        <v>16544</v>
      </c>
      <c r="U951" t="s">
        <v>16545</v>
      </c>
      <c r="V951" t="s">
        <v>16546</v>
      </c>
      <c r="W951" t="s">
        <v>16547</v>
      </c>
      <c r="X951" t="s">
        <v>16548</v>
      </c>
      <c r="Y951" t="s">
        <v>16549</v>
      </c>
      <c r="Z951" t="s">
        <v>16550</v>
      </c>
      <c r="AA951" t="s">
        <v>16551</v>
      </c>
      <c r="AB951" t="s">
        <v>16552</v>
      </c>
      <c r="AC951" t="s">
        <v>16553</v>
      </c>
      <c r="AD951" t="s">
        <v>16554</v>
      </c>
      <c r="AE951" t="s">
        <v>16555</v>
      </c>
      <c r="AF951" t="s">
        <v>74</v>
      </c>
      <c r="AG951">
        <v>18</v>
      </c>
      <c r="AH951">
        <v>34</v>
      </c>
      <c r="AI951">
        <v>35</v>
      </c>
      <c r="AJ951">
        <v>0</v>
      </c>
      <c r="AK951">
        <v>9</v>
      </c>
      <c r="AL951" t="s">
        <v>639</v>
      </c>
      <c r="AM951" t="s">
        <v>640</v>
      </c>
      <c r="AN951" t="s">
        <v>641</v>
      </c>
      <c r="AO951" t="s">
        <v>16556</v>
      </c>
      <c r="AP951" t="s">
        <v>16557</v>
      </c>
      <c r="AQ951" t="s">
        <v>74</v>
      </c>
      <c r="AR951" t="s">
        <v>16558</v>
      </c>
      <c r="AS951" t="s">
        <v>16559</v>
      </c>
      <c r="AT951" t="s">
        <v>16500</v>
      </c>
      <c r="AU951">
        <v>2010</v>
      </c>
      <c r="AV951">
        <v>146</v>
      </c>
      <c r="AW951" t="s">
        <v>2089</v>
      </c>
      <c r="AX951" t="s">
        <v>74</v>
      </c>
      <c r="AY951" t="s">
        <v>74</v>
      </c>
      <c r="AZ951" t="s">
        <v>74</v>
      </c>
      <c r="BA951" t="s">
        <v>74</v>
      </c>
      <c r="BB951">
        <v>155</v>
      </c>
      <c r="BC951">
        <v>160</v>
      </c>
      <c r="BD951" t="s">
        <v>74</v>
      </c>
      <c r="BE951" t="s">
        <v>16560</v>
      </c>
      <c r="BF951" t="str">
        <f>HYPERLINK("http://dx.doi.org/10.1016/j.vetmic.2010.05.006","http://dx.doi.org/10.1016/j.vetmic.2010.05.006")</f>
        <v>http://dx.doi.org/10.1016/j.vetmic.2010.05.006</v>
      </c>
      <c r="BG951" t="s">
        <v>74</v>
      </c>
      <c r="BH951" t="s">
        <v>74</v>
      </c>
      <c r="BI951">
        <v>6</v>
      </c>
      <c r="BJ951" t="s">
        <v>16561</v>
      </c>
      <c r="BK951" t="s">
        <v>100</v>
      </c>
      <c r="BL951" t="s">
        <v>16561</v>
      </c>
      <c r="BM951" t="s">
        <v>16562</v>
      </c>
      <c r="BN951">
        <v>20570062</v>
      </c>
      <c r="BO951" t="s">
        <v>74</v>
      </c>
      <c r="BP951" t="s">
        <v>74</v>
      </c>
      <c r="BQ951" t="s">
        <v>74</v>
      </c>
      <c r="BR951" t="s">
        <v>103</v>
      </c>
      <c r="BS951" t="s">
        <v>16563</v>
      </c>
      <c r="BT951" t="str">
        <f>HYPERLINK("https%3A%2F%2Fwww.webofscience.com%2Fwos%2Fwoscc%2Ffull-record%2FWOS:000284664800022","View Full Record in Web of Science")</f>
        <v>View Full Record in Web of Science</v>
      </c>
    </row>
    <row r="952" spans="1:72" x14ac:dyDescent="0.15">
      <c r="A952" t="s">
        <v>72</v>
      </c>
      <c r="B952" t="s">
        <v>16564</v>
      </c>
      <c r="C952" t="s">
        <v>74</v>
      </c>
      <c r="D952" t="s">
        <v>74</v>
      </c>
      <c r="E952" t="s">
        <v>74</v>
      </c>
      <c r="F952" t="s">
        <v>16565</v>
      </c>
      <c r="G952" t="s">
        <v>74</v>
      </c>
      <c r="H952" t="s">
        <v>74</v>
      </c>
      <c r="I952" t="s">
        <v>16566</v>
      </c>
      <c r="J952" t="s">
        <v>2045</v>
      </c>
      <c r="K952" t="s">
        <v>74</v>
      </c>
      <c r="L952" t="s">
        <v>74</v>
      </c>
      <c r="M952" t="s">
        <v>78</v>
      </c>
      <c r="N952" t="s">
        <v>79</v>
      </c>
      <c r="O952" t="s">
        <v>74</v>
      </c>
      <c r="P952" t="s">
        <v>74</v>
      </c>
      <c r="Q952" t="s">
        <v>74</v>
      </c>
      <c r="R952" t="s">
        <v>74</v>
      </c>
      <c r="S952" t="s">
        <v>74</v>
      </c>
      <c r="T952" t="s">
        <v>74</v>
      </c>
      <c r="U952" t="s">
        <v>16567</v>
      </c>
      <c r="V952" t="s">
        <v>16568</v>
      </c>
      <c r="W952" t="s">
        <v>16569</v>
      </c>
      <c r="X952" t="s">
        <v>16570</v>
      </c>
      <c r="Y952" t="s">
        <v>16571</v>
      </c>
      <c r="Z952" t="s">
        <v>16572</v>
      </c>
      <c r="AA952" t="s">
        <v>16573</v>
      </c>
      <c r="AB952" t="s">
        <v>16574</v>
      </c>
      <c r="AC952" t="s">
        <v>16575</v>
      </c>
      <c r="AD952" t="s">
        <v>16576</v>
      </c>
      <c r="AE952" t="s">
        <v>16577</v>
      </c>
      <c r="AF952" t="s">
        <v>74</v>
      </c>
      <c r="AG952">
        <v>38</v>
      </c>
      <c r="AH952">
        <v>86</v>
      </c>
      <c r="AI952">
        <v>86</v>
      </c>
      <c r="AJ952">
        <v>5</v>
      </c>
      <c r="AK952">
        <v>46</v>
      </c>
      <c r="AL952" t="s">
        <v>240</v>
      </c>
      <c r="AM952" t="s">
        <v>241</v>
      </c>
      <c r="AN952" t="s">
        <v>242</v>
      </c>
      <c r="AO952" t="s">
        <v>2057</v>
      </c>
      <c r="AP952" t="s">
        <v>2058</v>
      </c>
      <c r="AQ952" t="s">
        <v>74</v>
      </c>
      <c r="AR952" t="s">
        <v>2059</v>
      </c>
      <c r="AS952" t="s">
        <v>2060</v>
      </c>
      <c r="AT952" t="s">
        <v>16578</v>
      </c>
      <c r="AU952">
        <v>2010</v>
      </c>
      <c r="AV952">
        <v>24</v>
      </c>
      <c r="AW952" t="s">
        <v>74</v>
      </c>
      <c r="AX952" t="s">
        <v>74</v>
      </c>
      <c r="AY952" t="s">
        <v>74</v>
      </c>
      <c r="AZ952" t="s">
        <v>74</v>
      </c>
      <c r="BA952" t="s">
        <v>74</v>
      </c>
      <c r="BB952" t="s">
        <v>74</v>
      </c>
      <c r="BC952" t="s">
        <v>74</v>
      </c>
      <c r="BD952" t="s">
        <v>16579</v>
      </c>
      <c r="BE952" t="s">
        <v>16580</v>
      </c>
      <c r="BF952" t="str">
        <f>HYPERLINK("http://dx.doi.org/10.1029/2009GB003601","http://dx.doi.org/10.1029/2009GB003601")</f>
        <v>http://dx.doi.org/10.1029/2009GB003601</v>
      </c>
      <c r="BG952" t="s">
        <v>74</v>
      </c>
      <c r="BH952" t="s">
        <v>74</v>
      </c>
      <c r="BI952">
        <v>16</v>
      </c>
      <c r="BJ952" t="s">
        <v>2064</v>
      </c>
      <c r="BK952" t="s">
        <v>100</v>
      </c>
      <c r="BL952" t="s">
        <v>2065</v>
      </c>
      <c r="BM952" t="s">
        <v>16581</v>
      </c>
      <c r="BN952" t="s">
        <v>74</v>
      </c>
      <c r="BO952" t="s">
        <v>252</v>
      </c>
      <c r="BP952" t="s">
        <v>74</v>
      </c>
      <c r="BQ952" t="s">
        <v>74</v>
      </c>
      <c r="BR952" t="s">
        <v>103</v>
      </c>
      <c r="BS952" t="s">
        <v>16582</v>
      </c>
      <c r="BT952" t="str">
        <f>HYPERLINK("https%3A%2F%2Fwww.webofscience.com%2Fwos%2Fwoscc%2Ffull-record%2FWOS:000284480400001","View Full Record in Web of Science")</f>
        <v>View Full Record in Web of Science</v>
      </c>
    </row>
    <row r="953" spans="1:72" x14ac:dyDescent="0.15">
      <c r="A953" t="s">
        <v>72</v>
      </c>
      <c r="B953" t="s">
        <v>16583</v>
      </c>
      <c r="C953" t="s">
        <v>74</v>
      </c>
      <c r="D953" t="s">
        <v>74</v>
      </c>
      <c r="E953" t="s">
        <v>74</v>
      </c>
      <c r="F953" t="s">
        <v>16584</v>
      </c>
      <c r="G953" t="s">
        <v>74</v>
      </c>
      <c r="H953" t="s">
        <v>74</v>
      </c>
      <c r="I953" t="s">
        <v>16585</v>
      </c>
      <c r="J953" t="s">
        <v>229</v>
      </c>
      <c r="K953" t="s">
        <v>74</v>
      </c>
      <c r="L953" t="s">
        <v>74</v>
      </c>
      <c r="M953" t="s">
        <v>78</v>
      </c>
      <c r="N953" t="s">
        <v>79</v>
      </c>
      <c r="O953" t="s">
        <v>74</v>
      </c>
      <c r="P953" t="s">
        <v>74</v>
      </c>
      <c r="Q953" t="s">
        <v>74</v>
      </c>
      <c r="R953" t="s">
        <v>74</v>
      </c>
      <c r="S953" t="s">
        <v>74</v>
      </c>
      <c r="T953" t="s">
        <v>74</v>
      </c>
      <c r="U953" t="s">
        <v>16586</v>
      </c>
      <c r="V953" t="s">
        <v>16587</v>
      </c>
      <c r="W953" t="s">
        <v>16588</v>
      </c>
      <c r="X953" t="s">
        <v>16589</v>
      </c>
      <c r="Y953" t="s">
        <v>16590</v>
      </c>
      <c r="Z953" t="s">
        <v>16591</v>
      </c>
      <c r="AA953" t="s">
        <v>16592</v>
      </c>
      <c r="AB953" t="s">
        <v>16593</v>
      </c>
      <c r="AC953" t="s">
        <v>16594</v>
      </c>
      <c r="AD953" t="s">
        <v>74</v>
      </c>
      <c r="AE953" t="s">
        <v>16595</v>
      </c>
      <c r="AF953" t="s">
        <v>74</v>
      </c>
      <c r="AG953">
        <v>46</v>
      </c>
      <c r="AH953">
        <v>21</v>
      </c>
      <c r="AI953">
        <v>22</v>
      </c>
      <c r="AJ953">
        <v>0</v>
      </c>
      <c r="AK953">
        <v>16</v>
      </c>
      <c r="AL953" t="s">
        <v>240</v>
      </c>
      <c r="AM953" t="s">
        <v>241</v>
      </c>
      <c r="AN953" t="s">
        <v>242</v>
      </c>
      <c r="AO953" t="s">
        <v>243</v>
      </c>
      <c r="AP953" t="s">
        <v>244</v>
      </c>
      <c r="AQ953" t="s">
        <v>74</v>
      </c>
      <c r="AR953" t="s">
        <v>245</v>
      </c>
      <c r="AS953" t="s">
        <v>246</v>
      </c>
      <c r="AT953" t="s">
        <v>16578</v>
      </c>
      <c r="AU953">
        <v>2010</v>
      </c>
      <c r="AV953">
        <v>115</v>
      </c>
      <c r="AW953" t="s">
        <v>74</v>
      </c>
      <c r="AX953" t="s">
        <v>74</v>
      </c>
      <c r="AY953" t="s">
        <v>74</v>
      </c>
      <c r="AZ953" t="s">
        <v>74</v>
      </c>
      <c r="BA953" t="s">
        <v>74</v>
      </c>
      <c r="BB953" t="s">
        <v>74</v>
      </c>
      <c r="BC953" t="s">
        <v>74</v>
      </c>
      <c r="BD953" t="s">
        <v>16596</v>
      </c>
      <c r="BE953" t="s">
        <v>16597</v>
      </c>
      <c r="BF953" t="str">
        <f>HYPERLINK("http://dx.doi.org/10.1029/2010JC006152","http://dx.doi.org/10.1029/2010JC006152")</f>
        <v>http://dx.doi.org/10.1029/2010JC006152</v>
      </c>
      <c r="BG953" t="s">
        <v>74</v>
      </c>
      <c r="BH953" t="s">
        <v>74</v>
      </c>
      <c r="BI953">
        <v>15</v>
      </c>
      <c r="BJ953" t="s">
        <v>250</v>
      </c>
      <c r="BK953" t="s">
        <v>100</v>
      </c>
      <c r="BL953" t="s">
        <v>250</v>
      </c>
      <c r="BM953" t="s">
        <v>16598</v>
      </c>
      <c r="BN953" t="s">
        <v>74</v>
      </c>
      <c r="BO953" t="s">
        <v>1744</v>
      </c>
      <c r="BP953" t="s">
        <v>74</v>
      </c>
      <c r="BQ953" t="s">
        <v>74</v>
      </c>
      <c r="BR953" t="s">
        <v>103</v>
      </c>
      <c r="BS953" t="s">
        <v>16599</v>
      </c>
      <c r="BT953" t="str">
        <f>HYPERLINK("https%3A%2F%2Fwww.webofscience.com%2Fwos%2Fwoscc%2Ffull-record%2FWOS:000284483700004","View Full Record in Web of Science")</f>
        <v>View Full Record in Web of Science</v>
      </c>
    </row>
    <row r="954" spans="1:72" x14ac:dyDescent="0.15">
      <c r="A954" t="s">
        <v>72</v>
      </c>
      <c r="B954" t="s">
        <v>16600</v>
      </c>
      <c r="C954" t="s">
        <v>74</v>
      </c>
      <c r="D954" t="s">
        <v>74</v>
      </c>
      <c r="E954" t="s">
        <v>74</v>
      </c>
      <c r="F954" t="s">
        <v>16601</v>
      </c>
      <c r="G954" t="s">
        <v>74</v>
      </c>
      <c r="H954" t="s">
        <v>74</v>
      </c>
      <c r="I954" t="s">
        <v>16602</v>
      </c>
      <c r="J954" t="s">
        <v>1957</v>
      </c>
      <c r="K954" t="s">
        <v>74</v>
      </c>
      <c r="L954" t="s">
        <v>74</v>
      </c>
      <c r="M954" t="s">
        <v>78</v>
      </c>
      <c r="N954" t="s">
        <v>79</v>
      </c>
      <c r="O954" t="s">
        <v>74</v>
      </c>
      <c r="P954" t="s">
        <v>74</v>
      </c>
      <c r="Q954" t="s">
        <v>74</v>
      </c>
      <c r="R954" t="s">
        <v>74</v>
      </c>
      <c r="S954" t="s">
        <v>74</v>
      </c>
      <c r="T954" t="s">
        <v>74</v>
      </c>
      <c r="U954" t="s">
        <v>16603</v>
      </c>
      <c r="V954" t="s">
        <v>16604</v>
      </c>
      <c r="W954" t="s">
        <v>16605</v>
      </c>
      <c r="X954" t="s">
        <v>16606</v>
      </c>
      <c r="Y954" t="s">
        <v>16607</v>
      </c>
      <c r="Z954" t="s">
        <v>16608</v>
      </c>
      <c r="AA954" t="s">
        <v>16609</v>
      </c>
      <c r="AB954" t="s">
        <v>16610</v>
      </c>
      <c r="AC954" t="s">
        <v>16611</v>
      </c>
      <c r="AD954" t="s">
        <v>11264</v>
      </c>
      <c r="AE954" t="s">
        <v>16612</v>
      </c>
      <c r="AF954" t="s">
        <v>74</v>
      </c>
      <c r="AG954">
        <v>29</v>
      </c>
      <c r="AH954">
        <v>33</v>
      </c>
      <c r="AI954">
        <v>35</v>
      </c>
      <c r="AJ954">
        <v>1</v>
      </c>
      <c r="AK954">
        <v>38</v>
      </c>
      <c r="AL954" t="s">
        <v>1969</v>
      </c>
      <c r="AM954" t="s">
        <v>241</v>
      </c>
      <c r="AN954" t="s">
        <v>1970</v>
      </c>
      <c r="AO954" t="s">
        <v>1971</v>
      </c>
      <c r="AP954" t="s">
        <v>1972</v>
      </c>
      <c r="AQ954" t="s">
        <v>74</v>
      </c>
      <c r="AR954" t="s">
        <v>1957</v>
      </c>
      <c r="AS954" t="s">
        <v>1973</v>
      </c>
      <c r="AT954" t="s">
        <v>16578</v>
      </c>
      <c r="AU954">
        <v>2010</v>
      </c>
      <c r="AV954">
        <v>330</v>
      </c>
      <c r="AW954">
        <v>6007</v>
      </c>
      <c r="AX954" t="s">
        <v>74</v>
      </c>
      <c r="AY954" t="s">
        <v>74</v>
      </c>
      <c r="AZ954" t="s">
        <v>74</v>
      </c>
      <c r="BA954" t="s">
        <v>74</v>
      </c>
      <c r="BB954">
        <v>1088</v>
      </c>
      <c r="BC954">
        <v>1091</v>
      </c>
      <c r="BD954" t="s">
        <v>74</v>
      </c>
      <c r="BE954" t="s">
        <v>16613</v>
      </c>
      <c r="BF954" t="str">
        <f>HYPERLINK("http://dx.doi.org/10.1126/science.1194614","http://dx.doi.org/10.1126/science.1194614")</f>
        <v>http://dx.doi.org/10.1126/science.1194614</v>
      </c>
      <c r="BG954" t="s">
        <v>74</v>
      </c>
      <c r="BH954" t="s">
        <v>74</v>
      </c>
      <c r="BI954">
        <v>4</v>
      </c>
      <c r="BJ954" t="s">
        <v>1669</v>
      </c>
      <c r="BK954" t="s">
        <v>100</v>
      </c>
      <c r="BL954" t="s">
        <v>1670</v>
      </c>
      <c r="BM954" t="s">
        <v>16614</v>
      </c>
      <c r="BN954">
        <v>20966217</v>
      </c>
      <c r="BO954" t="s">
        <v>252</v>
      </c>
      <c r="BP954" t="s">
        <v>74</v>
      </c>
      <c r="BQ954" t="s">
        <v>74</v>
      </c>
      <c r="BR954" t="s">
        <v>103</v>
      </c>
      <c r="BS954" t="s">
        <v>16615</v>
      </c>
      <c r="BT954" t="str">
        <f>HYPERLINK("https%3A%2F%2Fwww.webofscience.com%2Fwos%2Fwoscc%2Ffull-record%2FWOS:000284374700039","View Full Record in Web of Science")</f>
        <v>View Full Record in Web of Science</v>
      </c>
    </row>
    <row r="955" spans="1:72" x14ac:dyDescent="0.15">
      <c r="A955" t="s">
        <v>72</v>
      </c>
      <c r="B955" t="s">
        <v>16616</v>
      </c>
      <c r="C955" t="s">
        <v>74</v>
      </c>
      <c r="D955" t="s">
        <v>74</v>
      </c>
      <c r="E955" t="s">
        <v>74</v>
      </c>
      <c r="F955" t="s">
        <v>16617</v>
      </c>
      <c r="G955" t="s">
        <v>74</v>
      </c>
      <c r="H955" t="s">
        <v>74</v>
      </c>
      <c r="I955" t="s">
        <v>16618</v>
      </c>
      <c r="J955" t="s">
        <v>1980</v>
      </c>
      <c r="K955" t="s">
        <v>74</v>
      </c>
      <c r="L955" t="s">
        <v>74</v>
      </c>
      <c r="M955" t="s">
        <v>78</v>
      </c>
      <c r="N955" t="s">
        <v>79</v>
      </c>
      <c r="O955" t="s">
        <v>74</v>
      </c>
      <c r="P955" t="s">
        <v>74</v>
      </c>
      <c r="Q955" t="s">
        <v>74</v>
      </c>
      <c r="R955" t="s">
        <v>74</v>
      </c>
      <c r="S955" t="s">
        <v>74</v>
      </c>
      <c r="T955" t="s">
        <v>74</v>
      </c>
      <c r="U955" t="s">
        <v>16619</v>
      </c>
      <c r="V955" t="s">
        <v>16620</v>
      </c>
      <c r="W955" t="s">
        <v>16621</v>
      </c>
      <c r="X955" t="s">
        <v>16622</v>
      </c>
      <c r="Y955" t="s">
        <v>16623</v>
      </c>
      <c r="Z955" t="s">
        <v>16624</v>
      </c>
      <c r="AA955" t="s">
        <v>16625</v>
      </c>
      <c r="AB955" t="s">
        <v>16626</v>
      </c>
      <c r="AC955" t="s">
        <v>16627</v>
      </c>
      <c r="AD955" t="s">
        <v>16628</v>
      </c>
      <c r="AE955" t="s">
        <v>16629</v>
      </c>
      <c r="AF955" t="s">
        <v>74</v>
      </c>
      <c r="AG955">
        <v>15</v>
      </c>
      <c r="AH955">
        <v>27</v>
      </c>
      <c r="AI955">
        <v>29</v>
      </c>
      <c r="AJ955">
        <v>0</v>
      </c>
      <c r="AK955">
        <v>5</v>
      </c>
      <c r="AL955" t="s">
        <v>240</v>
      </c>
      <c r="AM955" t="s">
        <v>241</v>
      </c>
      <c r="AN955" t="s">
        <v>242</v>
      </c>
      <c r="AO955" t="s">
        <v>1988</v>
      </c>
      <c r="AP955" t="s">
        <v>14255</v>
      </c>
      <c r="AQ955" t="s">
        <v>74</v>
      </c>
      <c r="AR955" t="s">
        <v>1989</v>
      </c>
      <c r="AS955" t="s">
        <v>1990</v>
      </c>
      <c r="AT955" t="s">
        <v>16630</v>
      </c>
      <c r="AU955">
        <v>2010</v>
      </c>
      <c r="AV955">
        <v>37</v>
      </c>
      <c r="AW955" t="s">
        <v>74</v>
      </c>
      <c r="AX955" t="s">
        <v>74</v>
      </c>
      <c r="AY955" t="s">
        <v>74</v>
      </c>
      <c r="AZ955" t="s">
        <v>74</v>
      </c>
      <c r="BA955" t="s">
        <v>74</v>
      </c>
      <c r="BB955" t="s">
        <v>74</v>
      </c>
      <c r="BC955" t="s">
        <v>74</v>
      </c>
      <c r="BD955" t="s">
        <v>16631</v>
      </c>
      <c r="BE955" t="s">
        <v>16632</v>
      </c>
      <c r="BF955" t="str">
        <f>HYPERLINK("http://dx.doi.org/10.1029/2010GL045255","http://dx.doi.org/10.1029/2010GL045255")</f>
        <v>http://dx.doi.org/10.1029/2010GL045255</v>
      </c>
      <c r="BG955" t="s">
        <v>74</v>
      </c>
      <c r="BH955" t="s">
        <v>74</v>
      </c>
      <c r="BI955">
        <v>5</v>
      </c>
      <c r="BJ955" t="s">
        <v>396</v>
      </c>
      <c r="BK955" t="s">
        <v>100</v>
      </c>
      <c r="BL955" t="s">
        <v>397</v>
      </c>
      <c r="BM955" t="s">
        <v>16633</v>
      </c>
      <c r="BN955" t="s">
        <v>74</v>
      </c>
      <c r="BO955" t="s">
        <v>74</v>
      </c>
      <c r="BP955" t="s">
        <v>74</v>
      </c>
      <c r="BQ955" t="s">
        <v>74</v>
      </c>
      <c r="BR955" t="s">
        <v>103</v>
      </c>
      <c r="BS955" t="s">
        <v>16634</v>
      </c>
      <c r="BT955" t="str">
        <f>HYPERLINK("https%3A%2F%2Fwww.webofscience.com%2Fwos%2Fwoscc%2Ffull-record%2FWOS:000284479300006","View Full Record in Web of Science")</f>
        <v>View Full Record in Web of Science</v>
      </c>
    </row>
    <row r="956" spans="1:72" x14ac:dyDescent="0.15">
      <c r="A956" t="s">
        <v>72</v>
      </c>
      <c r="B956" t="s">
        <v>16635</v>
      </c>
      <c r="C956" t="s">
        <v>74</v>
      </c>
      <c r="D956" t="s">
        <v>74</v>
      </c>
      <c r="E956" t="s">
        <v>74</v>
      </c>
      <c r="F956" t="s">
        <v>16636</v>
      </c>
      <c r="G956" t="s">
        <v>74</v>
      </c>
      <c r="H956" t="s">
        <v>74</v>
      </c>
      <c r="I956" t="s">
        <v>16637</v>
      </c>
      <c r="J956" t="s">
        <v>1701</v>
      </c>
      <c r="K956" t="s">
        <v>74</v>
      </c>
      <c r="L956" t="s">
        <v>74</v>
      </c>
      <c r="M956" t="s">
        <v>78</v>
      </c>
      <c r="N956" t="s">
        <v>79</v>
      </c>
      <c r="O956" t="s">
        <v>74</v>
      </c>
      <c r="P956" t="s">
        <v>74</v>
      </c>
      <c r="Q956" t="s">
        <v>74</v>
      </c>
      <c r="R956" t="s">
        <v>74</v>
      </c>
      <c r="S956" t="s">
        <v>74</v>
      </c>
      <c r="T956" t="s">
        <v>74</v>
      </c>
      <c r="U956" t="s">
        <v>16638</v>
      </c>
      <c r="V956" t="s">
        <v>16639</v>
      </c>
      <c r="W956" t="s">
        <v>16640</v>
      </c>
      <c r="X956" t="s">
        <v>16641</v>
      </c>
      <c r="Y956" t="s">
        <v>16642</v>
      </c>
      <c r="Z956" t="s">
        <v>16643</v>
      </c>
      <c r="AA956" t="s">
        <v>16644</v>
      </c>
      <c r="AB956" t="s">
        <v>16645</v>
      </c>
      <c r="AC956" t="s">
        <v>16646</v>
      </c>
      <c r="AD956" t="s">
        <v>16647</v>
      </c>
      <c r="AE956" t="s">
        <v>16648</v>
      </c>
      <c r="AF956" t="s">
        <v>74</v>
      </c>
      <c r="AG956">
        <v>67</v>
      </c>
      <c r="AH956">
        <v>21</v>
      </c>
      <c r="AI956">
        <v>25</v>
      </c>
      <c r="AJ956">
        <v>0</v>
      </c>
      <c r="AK956">
        <v>4</v>
      </c>
      <c r="AL956" t="s">
        <v>240</v>
      </c>
      <c r="AM956" t="s">
        <v>241</v>
      </c>
      <c r="AN956" t="s">
        <v>242</v>
      </c>
      <c r="AO956" t="s">
        <v>1713</v>
      </c>
      <c r="AP956" t="s">
        <v>1714</v>
      </c>
      <c r="AQ956" t="s">
        <v>74</v>
      </c>
      <c r="AR956" t="s">
        <v>1715</v>
      </c>
      <c r="AS956" t="s">
        <v>1716</v>
      </c>
      <c r="AT956" t="s">
        <v>16649</v>
      </c>
      <c r="AU956">
        <v>2010</v>
      </c>
      <c r="AV956">
        <v>115</v>
      </c>
      <c r="AW956" t="s">
        <v>74</v>
      </c>
      <c r="AX956" t="s">
        <v>74</v>
      </c>
      <c r="AY956" t="s">
        <v>74</v>
      </c>
      <c r="AZ956" t="s">
        <v>74</v>
      </c>
      <c r="BA956" t="s">
        <v>74</v>
      </c>
      <c r="BB956" t="s">
        <v>74</v>
      </c>
      <c r="BC956" t="s">
        <v>74</v>
      </c>
      <c r="BD956" t="s">
        <v>16650</v>
      </c>
      <c r="BE956" t="s">
        <v>16651</v>
      </c>
      <c r="BF956" t="str">
        <f>HYPERLINK("http://dx.doi.org/10.1029/2010JA015955","http://dx.doi.org/10.1029/2010JA015955")</f>
        <v>http://dx.doi.org/10.1029/2010JA015955</v>
      </c>
      <c r="BG956" t="s">
        <v>74</v>
      </c>
      <c r="BH956" t="s">
        <v>74</v>
      </c>
      <c r="BI956">
        <v>15</v>
      </c>
      <c r="BJ956" t="s">
        <v>373</v>
      </c>
      <c r="BK956" t="s">
        <v>100</v>
      </c>
      <c r="BL956" t="s">
        <v>373</v>
      </c>
      <c r="BM956" t="s">
        <v>16652</v>
      </c>
      <c r="BN956" t="s">
        <v>74</v>
      </c>
      <c r="BO956" t="s">
        <v>16653</v>
      </c>
      <c r="BP956" t="s">
        <v>74</v>
      </c>
      <c r="BQ956" t="s">
        <v>74</v>
      </c>
      <c r="BR956" t="s">
        <v>103</v>
      </c>
      <c r="BS956" t="s">
        <v>16654</v>
      </c>
      <c r="BT956" t="str">
        <f>HYPERLINK("https%3A%2F%2Fwww.webofscience.com%2Fwos%2Fwoscc%2Ffull-record%2FWOS:000284487700002","View Full Record in Web of Science")</f>
        <v>View Full Record in Web of Science</v>
      </c>
    </row>
    <row r="957" spans="1:72" x14ac:dyDescent="0.15">
      <c r="A957" t="s">
        <v>72</v>
      </c>
      <c r="B957" t="s">
        <v>16655</v>
      </c>
      <c r="C957" t="s">
        <v>74</v>
      </c>
      <c r="D957" t="s">
        <v>74</v>
      </c>
      <c r="E957" t="s">
        <v>74</v>
      </c>
      <c r="F957" t="s">
        <v>16656</v>
      </c>
      <c r="G957" t="s">
        <v>74</v>
      </c>
      <c r="H957" t="s">
        <v>74</v>
      </c>
      <c r="I957" t="s">
        <v>16657</v>
      </c>
      <c r="J957" t="s">
        <v>1677</v>
      </c>
      <c r="K957" t="s">
        <v>74</v>
      </c>
      <c r="L957" t="s">
        <v>74</v>
      </c>
      <c r="M957" t="s">
        <v>78</v>
      </c>
      <c r="N957" t="s">
        <v>79</v>
      </c>
      <c r="O957" t="s">
        <v>74</v>
      </c>
      <c r="P957" t="s">
        <v>74</v>
      </c>
      <c r="Q957" t="s">
        <v>74</v>
      </c>
      <c r="R957" t="s">
        <v>74</v>
      </c>
      <c r="S957" t="s">
        <v>74</v>
      </c>
      <c r="T957" t="s">
        <v>74</v>
      </c>
      <c r="U957" t="s">
        <v>16658</v>
      </c>
      <c r="V957" t="s">
        <v>16659</v>
      </c>
      <c r="W957" t="s">
        <v>16660</v>
      </c>
      <c r="X957" t="s">
        <v>16661</v>
      </c>
      <c r="Y957" t="s">
        <v>16662</v>
      </c>
      <c r="Z957" t="s">
        <v>16663</v>
      </c>
      <c r="AA957" t="s">
        <v>16664</v>
      </c>
      <c r="AB957" t="s">
        <v>16665</v>
      </c>
      <c r="AC957" t="s">
        <v>16666</v>
      </c>
      <c r="AD957" t="s">
        <v>16667</v>
      </c>
      <c r="AE957" t="s">
        <v>16668</v>
      </c>
      <c r="AF957" t="s">
        <v>74</v>
      </c>
      <c r="AG957">
        <v>35</v>
      </c>
      <c r="AH957">
        <v>15</v>
      </c>
      <c r="AI957">
        <v>16</v>
      </c>
      <c r="AJ957">
        <v>0</v>
      </c>
      <c r="AK957">
        <v>9</v>
      </c>
      <c r="AL957" t="s">
        <v>240</v>
      </c>
      <c r="AM957" t="s">
        <v>241</v>
      </c>
      <c r="AN957" t="s">
        <v>242</v>
      </c>
      <c r="AO957" t="s">
        <v>1688</v>
      </c>
      <c r="AP957" t="s">
        <v>1689</v>
      </c>
      <c r="AQ957" t="s">
        <v>74</v>
      </c>
      <c r="AR957" t="s">
        <v>1690</v>
      </c>
      <c r="AS957" t="s">
        <v>1691</v>
      </c>
      <c r="AT957" t="s">
        <v>16669</v>
      </c>
      <c r="AU957">
        <v>2010</v>
      </c>
      <c r="AV957">
        <v>115</v>
      </c>
      <c r="AW957" t="s">
        <v>74</v>
      </c>
      <c r="AX957" t="s">
        <v>74</v>
      </c>
      <c r="AY957" t="s">
        <v>74</v>
      </c>
      <c r="AZ957" t="s">
        <v>74</v>
      </c>
      <c r="BA957" t="s">
        <v>74</v>
      </c>
      <c r="BB957" t="s">
        <v>74</v>
      </c>
      <c r="BC957" t="s">
        <v>74</v>
      </c>
      <c r="BD957" t="s">
        <v>16670</v>
      </c>
      <c r="BE957" t="s">
        <v>16671</v>
      </c>
      <c r="BF957" t="str">
        <f>HYPERLINK("http://dx.doi.org/10.1029/2010JD014155","http://dx.doi.org/10.1029/2010JD014155")</f>
        <v>http://dx.doi.org/10.1029/2010JD014155</v>
      </c>
      <c r="BG957" t="s">
        <v>74</v>
      </c>
      <c r="BH957" t="s">
        <v>74</v>
      </c>
      <c r="BI957">
        <v>11</v>
      </c>
      <c r="BJ957" t="s">
        <v>603</v>
      </c>
      <c r="BK957" t="s">
        <v>100</v>
      </c>
      <c r="BL957" t="s">
        <v>603</v>
      </c>
      <c r="BM957" t="s">
        <v>16672</v>
      </c>
      <c r="BN957" t="s">
        <v>74</v>
      </c>
      <c r="BO957" t="s">
        <v>1744</v>
      </c>
      <c r="BP957" t="s">
        <v>74</v>
      </c>
      <c r="BQ957" t="s">
        <v>74</v>
      </c>
      <c r="BR957" t="s">
        <v>103</v>
      </c>
      <c r="BS957" t="s">
        <v>16673</v>
      </c>
      <c r="BT957" t="str">
        <f>HYPERLINK("https%3A%2F%2Fwww.webofscience.com%2Fwos%2Fwoscc%2Ffull-record%2FWOS:000284481100004","View Full Record in Web of Science")</f>
        <v>View Full Record in Web of Science</v>
      </c>
    </row>
    <row r="958" spans="1:72" x14ac:dyDescent="0.15">
      <c r="A958" t="s">
        <v>72</v>
      </c>
      <c r="B958" t="s">
        <v>16674</v>
      </c>
      <c r="C958" t="s">
        <v>74</v>
      </c>
      <c r="D958" t="s">
        <v>74</v>
      </c>
      <c r="E958" t="s">
        <v>74</v>
      </c>
      <c r="F958" t="s">
        <v>16675</v>
      </c>
      <c r="G958" t="s">
        <v>74</v>
      </c>
      <c r="H958" t="s">
        <v>74</v>
      </c>
      <c r="I958" t="s">
        <v>16676</v>
      </c>
      <c r="J958" t="s">
        <v>1649</v>
      </c>
      <c r="K958" t="s">
        <v>74</v>
      </c>
      <c r="L958" t="s">
        <v>74</v>
      </c>
      <c r="M958" t="s">
        <v>78</v>
      </c>
      <c r="N958" t="s">
        <v>79</v>
      </c>
      <c r="O958" t="s">
        <v>74</v>
      </c>
      <c r="P958" t="s">
        <v>74</v>
      </c>
      <c r="Q958" t="s">
        <v>74</v>
      </c>
      <c r="R958" t="s">
        <v>74</v>
      </c>
      <c r="S958" t="s">
        <v>74</v>
      </c>
      <c r="T958" t="s">
        <v>74</v>
      </c>
      <c r="U958" t="s">
        <v>16677</v>
      </c>
      <c r="V958" t="s">
        <v>16678</v>
      </c>
      <c r="W958" t="s">
        <v>16679</v>
      </c>
      <c r="X958" t="s">
        <v>16680</v>
      </c>
      <c r="Y958" t="s">
        <v>16681</v>
      </c>
      <c r="Z958" t="s">
        <v>16682</v>
      </c>
      <c r="AA958" t="s">
        <v>16683</v>
      </c>
      <c r="AB958" t="s">
        <v>16684</v>
      </c>
      <c r="AC958" t="s">
        <v>16685</v>
      </c>
      <c r="AD958" t="s">
        <v>16686</v>
      </c>
      <c r="AE958" t="s">
        <v>16687</v>
      </c>
      <c r="AF958" t="s">
        <v>74</v>
      </c>
      <c r="AG958">
        <v>71</v>
      </c>
      <c r="AH958">
        <v>52</v>
      </c>
      <c r="AI958">
        <v>57</v>
      </c>
      <c r="AJ958">
        <v>1</v>
      </c>
      <c r="AK958">
        <v>17</v>
      </c>
      <c r="AL958" t="s">
        <v>1661</v>
      </c>
      <c r="AM958" t="s">
        <v>1662</v>
      </c>
      <c r="AN958" t="s">
        <v>1760</v>
      </c>
      <c r="AO958" t="s">
        <v>1664</v>
      </c>
      <c r="AP958" t="s">
        <v>74</v>
      </c>
      <c r="AQ958" t="s">
        <v>74</v>
      </c>
      <c r="AR958" t="s">
        <v>1649</v>
      </c>
      <c r="AS958" t="s">
        <v>1665</v>
      </c>
      <c r="AT958" t="s">
        <v>16669</v>
      </c>
      <c r="AU958">
        <v>2010</v>
      </c>
      <c r="AV958">
        <v>5</v>
      </c>
      <c r="AW958">
        <v>11</v>
      </c>
      <c r="AX958" t="s">
        <v>74</v>
      </c>
      <c r="AY958" t="s">
        <v>74</v>
      </c>
      <c r="AZ958" t="s">
        <v>74</v>
      </c>
      <c r="BA958" t="s">
        <v>74</v>
      </c>
      <c r="BB958" t="s">
        <v>74</v>
      </c>
      <c r="BC958" t="s">
        <v>74</v>
      </c>
      <c r="BD958" t="s">
        <v>16688</v>
      </c>
      <c r="BE958" t="s">
        <v>16689</v>
      </c>
      <c r="BF958" t="str">
        <f>HYPERLINK("http://dx.doi.org/10.1371/journal.pone.0014008","http://dx.doi.org/10.1371/journal.pone.0014008")</f>
        <v>http://dx.doi.org/10.1371/journal.pone.0014008</v>
      </c>
      <c r="BG958" t="s">
        <v>74</v>
      </c>
      <c r="BH958" t="s">
        <v>74</v>
      </c>
      <c r="BI958">
        <v>9</v>
      </c>
      <c r="BJ958" t="s">
        <v>1669</v>
      </c>
      <c r="BK958" t="s">
        <v>100</v>
      </c>
      <c r="BL958" t="s">
        <v>1670</v>
      </c>
      <c r="BM958" t="s">
        <v>16690</v>
      </c>
      <c r="BN958">
        <v>21103355</v>
      </c>
      <c r="BO958" t="s">
        <v>1765</v>
      </c>
      <c r="BP958" t="s">
        <v>74</v>
      </c>
      <c r="BQ958" t="s">
        <v>74</v>
      </c>
      <c r="BR958" t="s">
        <v>103</v>
      </c>
      <c r="BS958" t="s">
        <v>16691</v>
      </c>
      <c r="BT958" t="str">
        <f>HYPERLINK("https%3A%2F%2Fwww.webofscience.com%2Fwos%2Fwoscc%2Ffull-record%2FWOS:000284257400012","View Full Record in Web of Science")</f>
        <v>View Full Record in Web of Science</v>
      </c>
    </row>
    <row r="959" spans="1:72" x14ac:dyDescent="0.15">
      <c r="A959" t="s">
        <v>72</v>
      </c>
      <c r="B959" t="s">
        <v>16692</v>
      </c>
      <c r="C959" t="s">
        <v>74</v>
      </c>
      <c r="D959" t="s">
        <v>74</v>
      </c>
      <c r="E959" t="s">
        <v>74</v>
      </c>
      <c r="F959" t="s">
        <v>16693</v>
      </c>
      <c r="G959" t="s">
        <v>74</v>
      </c>
      <c r="H959" t="s">
        <v>74</v>
      </c>
      <c r="I959" t="s">
        <v>16694</v>
      </c>
      <c r="J959" t="s">
        <v>16695</v>
      </c>
      <c r="K959" t="s">
        <v>74</v>
      </c>
      <c r="L959" t="s">
        <v>74</v>
      </c>
      <c r="M959" t="s">
        <v>78</v>
      </c>
      <c r="N959" t="s">
        <v>79</v>
      </c>
      <c r="O959" t="s">
        <v>74</v>
      </c>
      <c r="P959" t="s">
        <v>74</v>
      </c>
      <c r="Q959" t="s">
        <v>74</v>
      </c>
      <c r="R959" t="s">
        <v>74</v>
      </c>
      <c r="S959" t="s">
        <v>74</v>
      </c>
      <c r="T959" t="s">
        <v>16696</v>
      </c>
      <c r="U959" t="s">
        <v>16697</v>
      </c>
      <c r="V959" t="s">
        <v>16698</v>
      </c>
      <c r="W959" t="s">
        <v>16699</v>
      </c>
      <c r="X959" t="s">
        <v>16700</v>
      </c>
      <c r="Y959" t="s">
        <v>16701</v>
      </c>
      <c r="Z959" t="s">
        <v>16702</v>
      </c>
      <c r="AA959" t="s">
        <v>74</v>
      </c>
      <c r="AB959" t="s">
        <v>74</v>
      </c>
      <c r="AC959" t="s">
        <v>16703</v>
      </c>
      <c r="AD959" t="s">
        <v>16703</v>
      </c>
      <c r="AE959" t="s">
        <v>16704</v>
      </c>
      <c r="AF959" t="s">
        <v>74</v>
      </c>
      <c r="AG959">
        <v>34</v>
      </c>
      <c r="AH959">
        <v>1</v>
      </c>
      <c r="AI959">
        <v>1</v>
      </c>
      <c r="AJ959">
        <v>0</v>
      </c>
      <c r="AK959">
        <v>3</v>
      </c>
      <c r="AL959" t="s">
        <v>16705</v>
      </c>
      <c r="AM959" t="s">
        <v>16706</v>
      </c>
      <c r="AN959" t="s">
        <v>16707</v>
      </c>
      <c r="AO959" t="s">
        <v>16708</v>
      </c>
      <c r="AP959" t="s">
        <v>74</v>
      </c>
      <c r="AQ959" t="s">
        <v>74</v>
      </c>
      <c r="AR959" t="s">
        <v>16709</v>
      </c>
      <c r="AS959" t="s">
        <v>16710</v>
      </c>
      <c r="AT959" t="s">
        <v>16711</v>
      </c>
      <c r="AU959">
        <v>2010</v>
      </c>
      <c r="AV959">
        <v>9</v>
      </c>
      <c r="AW959">
        <v>46</v>
      </c>
      <c r="AX959" t="s">
        <v>74</v>
      </c>
      <c r="AY959" t="s">
        <v>74</v>
      </c>
      <c r="AZ959" t="s">
        <v>74</v>
      </c>
      <c r="BA959" t="s">
        <v>74</v>
      </c>
      <c r="BB959">
        <v>7915</v>
      </c>
      <c r="BC959">
        <v>7921</v>
      </c>
      <c r="BD959" t="s">
        <v>74</v>
      </c>
      <c r="BE959" t="s">
        <v>74</v>
      </c>
      <c r="BF959" t="s">
        <v>74</v>
      </c>
      <c r="BG959" t="s">
        <v>74</v>
      </c>
      <c r="BH959" t="s">
        <v>74</v>
      </c>
      <c r="BI959">
        <v>7</v>
      </c>
      <c r="BJ959" t="s">
        <v>302</v>
      </c>
      <c r="BK959" t="s">
        <v>100</v>
      </c>
      <c r="BL959" t="s">
        <v>302</v>
      </c>
      <c r="BM959" t="s">
        <v>16712</v>
      </c>
      <c r="BN959" t="s">
        <v>74</v>
      </c>
      <c r="BO959" t="s">
        <v>74</v>
      </c>
      <c r="BP959" t="s">
        <v>74</v>
      </c>
      <c r="BQ959" t="s">
        <v>74</v>
      </c>
      <c r="BR959" t="s">
        <v>103</v>
      </c>
      <c r="BS959" t="s">
        <v>16713</v>
      </c>
      <c r="BT959" t="str">
        <f>HYPERLINK("https%3A%2F%2Fwww.webofscience.com%2Fwos%2Fwoscc%2Ffull-record%2FWOS:000284481800021","View Full Record in Web of Science")</f>
        <v>View Full Record in Web of Science</v>
      </c>
    </row>
    <row r="960" spans="1:72" x14ac:dyDescent="0.15">
      <c r="A960" t="s">
        <v>72</v>
      </c>
      <c r="B960" t="s">
        <v>16714</v>
      </c>
      <c r="C960" t="s">
        <v>74</v>
      </c>
      <c r="D960" t="s">
        <v>74</v>
      </c>
      <c r="E960" t="s">
        <v>74</v>
      </c>
      <c r="F960" t="s">
        <v>16715</v>
      </c>
      <c r="G960" t="s">
        <v>74</v>
      </c>
      <c r="H960" t="s">
        <v>74</v>
      </c>
      <c r="I960" t="s">
        <v>16716</v>
      </c>
      <c r="J960" t="s">
        <v>754</v>
      </c>
      <c r="K960" t="s">
        <v>74</v>
      </c>
      <c r="L960" t="s">
        <v>74</v>
      </c>
      <c r="M960" t="s">
        <v>78</v>
      </c>
      <c r="N960" t="s">
        <v>79</v>
      </c>
      <c r="O960" t="s">
        <v>74</v>
      </c>
      <c r="P960" t="s">
        <v>74</v>
      </c>
      <c r="Q960" t="s">
        <v>74</v>
      </c>
      <c r="R960" t="s">
        <v>74</v>
      </c>
      <c r="S960" t="s">
        <v>74</v>
      </c>
      <c r="T960" t="s">
        <v>16717</v>
      </c>
      <c r="U960" t="s">
        <v>16718</v>
      </c>
      <c r="V960" t="s">
        <v>16719</v>
      </c>
      <c r="W960" t="s">
        <v>16720</v>
      </c>
      <c r="X960" t="s">
        <v>16721</v>
      </c>
      <c r="Y960" t="s">
        <v>16722</v>
      </c>
      <c r="Z960" t="s">
        <v>16723</v>
      </c>
      <c r="AA960" t="s">
        <v>74</v>
      </c>
      <c r="AB960" t="s">
        <v>16724</v>
      </c>
      <c r="AC960" t="s">
        <v>16725</v>
      </c>
      <c r="AD960" t="s">
        <v>16726</v>
      </c>
      <c r="AE960" t="s">
        <v>16727</v>
      </c>
      <c r="AF960" t="s">
        <v>74</v>
      </c>
      <c r="AG960">
        <v>110</v>
      </c>
      <c r="AH960">
        <v>33</v>
      </c>
      <c r="AI960">
        <v>37</v>
      </c>
      <c r="AJ960">
        <v>0</v>
      </c>
      <c r="AK960">
        <v>24</v>
      </c>
      <c r="AL960" t="s">
        <v>767</v>
      </c>
      <c r="AM960" t="s">
        <v>640</v>
      </c>
      <c r="AN960" t="s">
        <v>768</v>
      </c>
      <c r="AO960" t="s">
        <v>769</v>
      </c>
      <c r="AP960" t="s">
        <v>770</v>
      </c>
      <c r="AQ960" t="s">
        <v>74</v>
      </c>
      <c r="AR960" t="s">
        <v>771</v>
      </c>
      <c r="AS960" t="s">
        <v>772</v>
      </c>
      <c r="AT960" t="s">
        <v>16711</v>
      </c>
      <c r="AU960">
        <v>2010</v>
      </c>
      <c r="AV960">
        <v>300</v>
      </c>
      <c r="AW960" t="s">
        <v>2089</v>
      </c>
      <c r="AX960" t="s">
        <v>74</v>
      </c>
      <c r="AY960" t="s">
        <v>74</v>
      </c>
      <c r="AZ960" t="s">
        <v>74</v>
      </c>
      <c r="BA960" t="s">
        <v>74</v>
      </c>
      <c r="BB960">
        <v>85</v>
      </c>
      <c r="BC960">
        <v>100</v>
      </c>
      <c r="BD960" t="s">
        <v>74</v>
      </c>
      <c r="BE960" t="s">
        <v>16728</v>
      </c>
      <c r="BF960" t="str">
        <f>HYPERLINK("http://dx.doi.org/10.1016/j.epsl.2010.09.040","http://dx.doi.org/10.1016/j.epsl.2010.09.040")</f>
        <v>http://dx.doi.org/10.1016/j.epsl.2010.09.040</v>
      </c>
      <c r="BG960" t="s">
        <v>74</v>
      </c>
      <c r="BH960" t="s">
        <v>74</v>
      </c>
      <c r="BI960">
        <v>16</v>
      </c>
      <c r="BJ960" t="s">
        <v>774</v>
      </c>
      <c r="BK960" t="s">
        <v>100</v>
      </c>
      <c r="BL960" t="s">
        <v>774</v>
      </c>
      <c r="BM960" t="s">
        <v>16729</v>
      </c>
      <c r="BN960" t="s">
        <v>74</v>
      </c>
      <c r="BO960" t="s">
        <v>74</v>
      </c>
      <c r="BP960" t="s">
        <v>74</v>
      </c>
      <c r="BQ960" t="s">
        <v>74</v>
      </c>
      <c r="BR960" t="s">
        <v>103</v>
      </c>
      <c r="BS960" t="s">
        <v>16730</v>
      </c>
      <c r="BT960" t="str">
        <f>HYPERLINK("https%3A%2F%2Fwww.webofscience.com%2Fwos%2Fwoscc%2Ffull-record%2FWOS:000285129200010","View Full Record in Web of Science")</f>
        <v>View Full Record in Web of Science</v>
      </c>
    </row>
    <row r="961" spans="1:72" x14ac:dyDescent="0.15">
      <c r="A961" t="s">
        <v>72</v>
      </c>
      <c r="B961" t="s">
        <v>16731</v>
      </c>
      <c r="C961" t="s">
        <v>74</v>
      </c>
      <c r="D961" t="s">
        <v>74</v>
      </c>
      <c r="E961" t="s">
        <v>74</v>
      </c>
      <c r="F961" t="s">
        <v>16732</v>
      </c>
      <c r="G961" t="s">
        <v>74</v>
      </c>
      <c r="H961" t="s">
        <v>74</v>
      </c>
      <c r="I961" t="s">
        <v>16733</v>
      </c>
      <c r="J961" t="s">
        <v>16734</v>
      </c>
      <c r="K961" t="s">
        <v>74</v>
      </c>
      <c r="L961" t="s">
        <v>74</v>
      </c>
      <c r="M961" t="s">
        <v>78</v>
      </c>
      <c r="N961" t="s">
        <v>79</v>
      </c>
      <c r="O961" t="s">
        <v>74</v>
      </c>
      <c r="P961" t="s">
        <v>74</v>
      </c>
      <c r="Q961" t="s">
        <v>74</v>
      </c>
      <c r="R961" t="s">
        <v>74</v>
      </c>
      <c r="S961" t="s">
        <v>74</v>
      </c>
      <c r="T961" t="s">
        <v>74</v>
      </c>
      <c r="U961" t="s">
        <v>16735</v>
      </c>
      <c r="V961" t="s">
        <v>16736</v>
      </c>
      <c r="W961" t="s">
        <v>16737</v>
      </c>
      <c r="X961" t="s">
        <v>16738</v>
      </c>
      <c r="Y961" t="s">
        <v>16739</v>
      </c>
      <c r="Z961" t="s">
        <v>16740</v>
      </c>
      <c r="AA961" t="s">
        <v>16741</v>
      </c>
      <c r="AB961" t="s">
        <v>16742</v>
      </c>
      <c r="AC961" t="s">
        <v>16743</v>
      </c>
      <c r="AD961" t="s">
        <v>16744</v>
      </c>
      <c r="AE961" t="s">
        <v>16745</v>
      </c>
      <c r="AF961" t="s">
        <v>74</v>
      </c>
      <c r="AG961">
        <v>50</v>
      </c>
      <c r="AH961">
        <v>36</v>
      </c>
      <c r="AI961">
        <v>45</v>
      </c>
      <c r="AJ961">
        <v>4</v>
      </c>
      <c r="AK961">
        <v>66</v>
      </c>
      <c r="AL961" t="s">
        <v>5744</v>
      </c>
      <c r="AM961" t="s">
        <v>241</v>
      </c>
      <c r="AN961" t="s">
        <v>5745</v>
      </c>
      <c r="AO961" t="s">
        <v>16746</v>
      </c>
      <c r="AP961" t="s">
        <v>16747</v>
      </c>
      <c r="AQ961" t="s">
        <v>74</v>
      </c>
      <c r="AR961" t="s">
        <v>16748</v>
      </c>
      <c r="AS961" t="s">
        <v>16749</v>
      </c>
      <c r="AT961" t="s">
        <v>16711</v>
      </c>
      <c r="AU961">
        <v>2010</v>
      </c>
      <c r="AV961">
        <v>44</v>
      </c>
      <c r="AW961">
        <v>22</v>
      </c>
      <c r="AX961" t="s">
        <v>74</v>
      </c>
      <c r="AY961" t="s">
        <v>74</v>
      </c>
      <c r="AZ961" t="s">
        <v>74</v>
      </c>
      <c r="BA961" t="s">
        <v>74</v>
      </c>
      <c r="BB961">
        <v>8422</v>
      </c>
      <c r="BC961">
        <v>8428</v>
      </c>
      <c r="BD961" t="s">
        <v>74</v>
      </c>
      <c r="BE961" t="s">
        <v>16750</v>
      </c>
      <c r="BF961" t="str">
        <f>HYPERLINK("http://dx.doi.org/10.1021/es102127h","http://dx.doi.org/10.1021/es102127h")</f>
        <v>http://dx.doi.org/10.1021/es102127h</v>
      </c>
      <c r="BG961" t="s">
        <v>74</v>
      </c>
      <c r="BH961" t="s">
        <v>74</v>
      </c>
      <c r="BI961">
        <v>7</v>
      </c>
      <c r="BJ961" t="s">
        <v>12411</v>
      </c>
      <c r="BK961" t="s">
        <v>100</v>
      </c>
      <c r="BL961" t="s">
        <v>12412</v>
      </c>
      <c r="BM961" t="s">
        <v>16751</v>
      </c>
      <c r="BN961">
        <v>20977270</v>
      </c>
      <c r="BO961" t="s">
        <v>74</v>
      </c>
      <c r="BP961" t="s">
        <v>74</v>
      </c>
      <c r="BQ961" t="s">
        <v>74</v>
      </c>
      <c r="BR961" t="s">
        <v>103</v>
      </c>
      <c r="BS961" t="s">
        <v>16752</v>
      </c>
      <c r="BT961" t="str">
        <f>HYPERLINK("https%3A%2F%2Fwww.webofscience.com%2Fwos%2Fwoscc%2Ffull-record%2FWOS:000284248300012","View Full Record in Web of Science")</f>
        <v>View Full Record in Web of Science</v>
      </c>
    </row>
    <row r="962" spans="1:72" x14ac:dyDescent="0.15">
      <c r="A962" t="s">
        <v>72</v>
      </c>
      <c r="B962" t="s">
        <v>16753</v>
      </c>
      <c r="C962" t="s">
        <v>74</v>
      </c>
      <c r="D962" t="s">
        <v>74</v>
      </c>
      <c r="E962" t="s">
        <v>74</v>
      </c>
      <c r="F962" t="s">
        <v>16754</v>
      </c>
      <c r="G962" t="s">
        <v>74</v>
      </c>
      <c r="H962" t="s">
        <v>74</v>
      </c>
      <c r="I962" t="s">
        <v>16755</v>
      </c>
      <c r="J962" t="s">
        <v>1884</v>
      </c>
      <c r="K962" t="s">
        <v>74</v>
      </c>
      <c r="L962" t="s">
        <v>74</v>
      </c>
      <c r="M962" t="s">
        <v>78</v>
      </c>
      <c r="N962" t="s">
        <v>79</v>
      </c>
      <c r="O962" t="s">
        <v>74</v>
      </c>
      <c r="P962" t="s">
        <v>74</v>
      </c>
      <c r="Q962" t="s">
        <v>74</v>
      </c>
      <c r="R962" t="s">
        <v>74</v>
      </c>
      <c r="S962" t="s">
        <v>74</v>
      </c>
      <c r="T962" t="s">
        <v>74</v>
      </c>
      <c r="U962" t="s">
        <v>16756</v>
      </c>
      <c r="V962" t="s">
        <v>16757</v>
      </c>
      <c r="W962" t="s">
        <v>16758</v>
      </c>
      <c r="X962" t="s">
        <v>16759</v>
      </c>
      <c r="Y962" t="s">
        <v>16760</v>
      </c>
      <c r="Z962" t="s">
        <v>16761</v>
      </c>
      <c r="AA962" t="s">
        <v>16762</v>
      </c>
      <c r="AB962" t="s">
        <v>16763</v>
      </c>
      <c r="AC962" t="s">
        <v>16764</v>
      </c>
      <c r="AD962" t="s">
        <v>16765</v>
      </c>
      <c r="AE962" t="s">
        <v>16766</v>
      </c>
      <c r="AF962" t="s">
        <v>74</v>
      </c>
      <c r="AG962">
        <v>63</v>
      </c>
      <c r="AH962">
        <v>19</v>
      </c>
      <c r="AI962">
        <v>22</v>
      </c>
      <c r="AJ962">
        <v>3</v>
      </c>
      <c r="AK962">
        <v>86</v>
      </c>
      <c r="AL962" t="s">
        <v>718</v>
      </c>
      <c r="AM962" t="s">
        <v>719</v>
      </c>
      <c r="AN962" t="s">
        <v>720</v>
      </c>
      <c r="AO962" t="s">
        <v>1894</v>
      </c>
      <c r="AP962" t="s">
        <v>1895</v>
      </c>
      <c r="AQ962" t="s">
        <v>74</v>
      </c>
      <c r="AR962" t="s">
        <v>1896</v>
      </c>
      <c r="AS962" t="s">
        <v>1897</v>
      </c>
      <c r="AT962" t="s">
        <v>16711</v>
      </c>
      <c r="AU962">
        <v>2010</v>
      </c>
      <c r="AV962">
        <v>74</v>
      </c>
      <c r="AW962">
        <v>22</v>
      </c>
      <c r="AX962" t="s">
        <v>74</v>
      </c>
      <c r="AY962" t="s">
        <v>74</v>
      </c>
      <c r="AZ962" t="s">
        <v>74</v>
      </c>
      <c r="BA962" t="s">
        <v>74</v>
      </c>
      <c r="BB962">
        <v>6485</v>
      </c>
      <c r="BC962">
        <v>6498</v>
      </c>
      <c r="BD962" t="s">
        <v>74</v>
      </c>
      <c r="BE962" t="s">
        <v>16767</v>
      </c>
      <c r="BF962" t="str">
        <f>HYPERLINK("http://dx.doi.org/10.1016/j.gca.2010.08.019","http://dx.doi.org/10.1016/j.gca.2010.08.019")</f>
        <v>http://dx.doi.org/10.1016/j.gca.2010.08.019</v>
      </c>
      <c r="BG962" t="s">
        <v>74</v>
      </c>
      <c r="BH962" t="s">
        <v>74</v>
      </c>
      <c r="BI962">
        <v>14</v>
      </c>
      <c r="BJ962" t="s">
        <v>774</v>
      </c>
      <c r="BK962" t="s">
        <v>100</v>
      </c>
      <c r="BL962" t="s">
        <v>774</v>
      </c>
      <c r="BM962" t="s">
        <v>16768</v>
      </c>
      <c r="BN962" t="s">
        <v>74</v>
      </c>
      <c r="BO962" t="s">
        <v>74</v>
      </c>
      <c r="BP962" t="s">
        <v>74</v>
      </c>
      <c r="BQ962" t="s">
        <v>74</v>
      </c>
      <c r="BR962" t="s">
        <v>103</v>
      </c>
      <c r="BS962" t="s">
        <v>16769</v>
      </c>
      <c r="BT962" t="str">
        <f>HYPERLINK("https%3A%2F%2Fwww.webofscience.com%2Fwos%2Fwoscc%2Ffull-record%2FWOS:000284077400015","View Full Record in Web of Science")</f>
        <v>View Full Record in Web of Science</v>
      </c>
    </row>
    <row r="963" spans="1:72" x14ac:dyDescent="0.15">
      <c r="A963" t="s">
        <v>72</v>
      </c>
      <c r="B963" t="s">
        <v>16770</v>
      </c>
      <c r="C963" t="s">
        <v>74</v>
      </c>
      <c r="D963" t="s">
        <v>74</v>
      </c>
      <c r="E963" t="s">
        <v>74</v>
      </c>
      <c r="F963" t="s">
        <v>16771</v>
      </c>
      <c r="G963" t="s">
        <v>74</v>
      </c>
      <c r="H963" t="s">
        <v>74</v>
      </c>
      <c r="I963" t="s">
        <v>16772</v>
      </c>
      <c r="J963" t="s">
        <v>1006</v>
      </c>
      <c r="K963" t="s">
        <v>74</v>
      </c>
      <c r="L963" t="s">
        <v>74</v>
      </c>
      <c r="M963" t="s">
        <v>78</v>
      </c>
      <c r="N963" t="s">
        <v>79</v>
      </c>
      <c r="O963" t="s">
        <v>74</v>
      </c>
      <c r="P963" t="s">
        <v>74</v>
      </c>
      <c r="Q963" t="s">
        <v>74</v>
      </c>
      <c r="R963" t="s">
        <v>74</v>
      </c>
      <c r="S963" t="s">
        <v>74</v>
      </c>
      <c r="T963" t="s">
        <v>74</v>
      </c>
      <c r="U963" t="s">
        <v>16773</v>
      </c>
      <c r="V963" t="s">
        <v>16774</v>
      </c>
      <c r="W963" t="s">
        <v>7733</v>
      </c>
      <c r="X963" t="s">
        <v>1386</v>
      </c>
      <c r="Y963" t="s">
        <v>16775</v>
      </c>
      <c r="Z963" t="s">
        <v>1926</v>
      </c>
      <c r="AA963" t="s">
        <v>1927</v>
      </c>
      <c r="AB963" t="s">
        <v>16776</v>
      </c>
      <c r="AC963" t="s">
        <v>16777</v>
      </c>
      <c r="AD963" t="s">
        <v>6849</v>
      </c>
      <c r="AE963" t="s">
        <v>16778</v>
      </c>
      <c r="AF963" t="s">
        <v>74</v>
      </c>
      <c r="AG963">
        <v>45</v>
      </c>
      <c r="AH963">
        <v>96</v>
      </c>
      <c r="AI963">
        <v>103</v>
      </c>
      <c r="AJ963">
        <v>0</v>
      </c>
      <c r="AK963">
        <v>26</v>
      </c>
      <c r="AL963" t="s">
        <v>1018</v>
      </c>
      <c r="AM963" t="s">
        <v>1019</v>
      </c>
      <c r="AN963" t="s">
        <v>1020</v>
      </c>
      <c r="AO963" t="s">
        <v>1021</v>
      </c>
      <c r="AP963" t="s">
        <v>1022</v>
      </c>
      <c r="AQ963" t="s">
        <v>74</v>
      </c>
      <c r="AR963" t="s">
        <v>1023</v>
      </c>
      <c r="AS963" t="s">
        <v>1024</v>
      </c>
      <c r="AT963" t="s">
        <v>16711</v>
      </c>
      <c r="AU963">
        <v>2010</v>
      </c>
      <c r="AV963">
        <v>23</v>
      </c>
      <c r="AW963">
        <v>22</v>
      </c>
      <c r="AX963" t="s">
        <v>74</v>
      </c>
      <c r="AY963" t="s">
        <v>74</v>
      </c>
      <c r="AZ963" t="s">
        <v>74</v>
      </c>
      <c r="BA963" t="s">
        <v>74</v>
      </c>
      <c r="BB963">
        <v>6074</v>
      </c>
      <c r="BC963">
        <v>6081</v>
      </c>
      <c r="BD963" t="s">
        <v>74</v>
      </c>
      <c r="BE963" t="s">
        <v>16779</v>
      </c>
      <c r="BF963" t="str">
        <f>HYPERLINK("http://dx.doi.org/10.1175/2010JCLI3654.1","http://dx.doi.org/10.1175/2010JCLI3654.1")</f>
        <v>http://dx.doi.org/10.1175/2010JCLI3654.1</v>
      </c>
      <c r="BG963" t="s">
        <v>74</v>
      </c>
      <c r="BH963" t="s">
        <v>74</v>
      </c>
      <c r="BI963">
        <v>8</v>
      </c>
      <c r="BJ963" t="s">
        <v>603</v>
      </c>
      <c r="BK963" t="s">
        <v>100</v>
      </c>
      <c r="BL963" t="s">
        <v>603</v>
      </c>
      <c r="BM963" t="s">
        <v>16780</v>
      </c>
      <c r="BN963" t="s">
        <v>74</v>
      </c>
      <c r="BO963" t="s">
        <v>1391</v>
      </c>
      <c r="BP963" t="s">
        <v>74</v>
      </c>
      <c r="BQ963" t="s">
        <v>74</v>
      </c>
      <c r="BR963" t="s">
        <v>103</v>
      </c>
      <c r="BS963" t="s">
        <v>16781</v>
      </c>
      <c r="BT963" t="str">
        <f>HYPERLINK("https%3A%2F%2Fwww.webofscience.com%2Fwos%2Fwoscc%2Ffull-record%2FWOS:000285227600012","View Full Record in Web of Science")</f>
        <v>View Full Record in Web of Science</v>
      </c>
    </row>
    <row r="964" spans="1:72" x14ac:dyDescent="0.15">
      <c r="A964" t="s">
        <v>72</v>
      </c>
      <c r="B964" t="s">
        <v>16782</v>
      </c>
      <c r="C964" t="s">
        <v>74</v>
      </c>
      <c r="D964" t="s">
        <v>74</v>
      </c>
      <c r="E964" t="s">
        <v>74</v>
      </c>
      <c r="F964" t="s">
        <v>16783</v>
      </c>
      <c r="G964" t="s">
        <v>74</v>
      </c>
      <c r="H964" t="s">
        <v>74</v>
      </c>
      <c r="I964" t="s">
        <v>16784</v>
      </c>
      <c r="J964" t="s">
        <v>1625</v>
      </c>
      <c r="K964" t="s">
        <v>74</v>
      </c>
      <c r="L964" t="s">
        <v>74</v>
      </c>
      <c r="M964" t="s">
        <v>78</v>
      </c>
      <c r="N964" t="s">
        <v>79</v>
      </c>
      <c r="O964" t="s">
        <v>74</v>
      </c>
      <c r="P964" t="s">
        <v>74</v>
      </c>
      <c r="Q964" t="s">
        <v>74</v>
      </c>
      <c r="R964" t="s">
        <v>74</v>
      </c>
      <c r="S964" t="s">
        <v>74</v>
      </c>
      <c r="T964" t="s">
        <v>16785</v>
      </c>
      <c r="U964" t="s">
        <v>16786</v>
      </c>
      <c r="V964" t="s">
        <v>16787</v>
      </c>
      <c r="W964" t="s">
        <v>16788</v>
      </c>
      <c r="X964" t="s">
        <v>16789</v>
      </c>
      <c r="Y964" t="s">
        <v>16790</v>
      </c>
      <c r="Z964" t="s">
        <v>10956</v>
      </c>
      <c r="AA964" t="s">
        <v>16791</v>
      </c>
      <c r="AB964" t="s">
        <v>16792</v>
      </c>
      <c r="AC964" t="s">
        <v>16793</v>
      </c>
      <c r="AD964" t="s">
        <v>16793</v>
      </c>
      <c r="AE964" t="s">
        <v>16794</v>
      </c>
      <c r="AF964" t="s">
        <v>74</v>
      </c>
      <c r="AG964">
        <v>68</v>
      </c>
      <c r="AH964">
        <v>23</v>
      </c>
      <c r="AI964">
        <v>29</v>
      </c>
      <c r="AJ964">
        <v>0</v>
      </c>
      <c r="AK964">
        <v>31</v>
      </c>
      <c r="AL964" t="s">
        <v>767</v>
      </c>
      <c r="AM964" t="s">
        <v>640</v>
      </c>
      <c r="AN964" t="s">
        <v>768</v>
      </c>
      <c r="AO964" t="s">
        <v>1638</v>
      </c>
      <c r="AP964" t="s">
        <v>1639</v>
      </c>
      <c r="AQ964" t="s">
        <v>74</v>
      </c>
      <c r="AR964" t="s">
        <v>1640</v>
      </c>
      <c r="AS964" t="s">
        <v>1641</v>
      </c>
      <c r="AT964" t="s">
        <v>16711</v>
      </c>
      <c r="AU964">
        <v>2010</v>
      </c>
      <c r="AV964">
        <v>395</v>
      </c>
      <c r="AW964" t="s">
        <v>2089</v>
      </c>
      <c r="AX964" t="s">
        <v>74</v>
      </c>
      <c r="AY964" t="s">
        <v>74</v>
      </c>
      <c r="AZ964" t="s">
        <v>74</v>
      </c>
      <c r="BA964" t="s">
        <v>74</v>
      </c>
      <c r="BB964">
        <v>1</v>
      </c>
      <c r="BC964">
        <v>9</v>
      </c>
      <c r="BD964" t="s">
        <v>74</v>
      </c>
      <c r="BE964" t="s">
        <v>16795</v>
      </c>
      <c r="BF964" t="str">
        <f>HYPERLINK("http://dx.doi.org/10.1016/j.jembe.2010.08.015","http://dx.doi.org/10.1016/j.jembe.2010.08.015")</f>
        <v>http://dx.doi.org/10.1016/j.jembe.2010.08.015</v>
      </c>
      <c r="BG964" t="s">
        <v>74</v>
      </c>
      <c r="BH964" t="s">
        <v>74</v>
      </c>
      <c r="BI964">
        <v>9</v>
      </c>
      <c r="BJ964" t="s">
        <v>346</v>
      </c>
      <c r="BK964" t="s">
        <v>100</v>
      </c>
      <c r="BL964" t="s">
        <v>347</v>
      </c>
      <c r="BM964" t="s">
        <v>16796</v>
      </c>
      <c r="BN964" t="s">
        <v>74</v>
      </c>
      <c r="BO964" t="s">
        <v>74</v>
      </c>
      <c r="BP964" t="s">
        <v>74</v>
      </c>
      <c r="BQ964" t="s">
        <v>74</v>
      </c>
      <c r="BR964" t="s">
        <v>103</v>
      </c>
      <c r="BS964" t="s">
        <v>16797</v>
      </c>
      <c r="BT964" t="str">
        <f>HYPERLINK("https%3A%2F%2Fwww.webofscience.com%2Fwos%2Fwoscc%2Ffull-record%2FWOS:000284513500001","View Full Record in Web of Science")</f>
        <v>View Full Record in Web of Science</v>
      </c>
    </row>
    <row r="965" spans="1:72" x14ac:dyDescent="0.15">
      <c r="A965" t="s">
        <v>72</v>
      </c>
      <c r="B965" t="s">
        <v>16798</v>
      </c>
      <c r="C965" t="s">
        <v>74</v>
      </c>
      <c r="D965" t="s">
        <v>74</v>
      </c>
      <c r="E965" t="s">
        <v>74</v>
      </c>
      <c r="F965" t="s">
        <v>16799</v>
      </c>
      <c r="G965" t="s">
        <v>74</v>
      </c>
      <c r="H965" t="s">
        <v>74</v>
      </c>
      <c r="I965" t="s">
        <v>16800</v>
      </c>
      <c r="J965" t="s">
        <v>1625</v>
      </c>
      <c r="K965" t="s">
        <v>74</v>
      </c>
      <c r="L965" t="s">
        <v>74</v>
      </c>
      <c r="M965" t="s">
        <v>78</v>
      </c>
      <c r="N965" t="s">
        <v>79</v>
      </c>
      <c r="O965" t="s">
        <v>74</v>
      </c>
      <c r="P965" t="s">
        <v>74</v>
      </c>
      <c r="Q965" t="s">
        <v>74</v>
      </c>
      <c r="R965" t="s">
        <v>74</v>
      </c>
      <c r="S965" t="s">
        <v>74</v>
      </c>
      <c r="T965" t="s">
        <v>16801</v>
      </c>
      <c r="U965" t="s">
        <v>16802</v>
      </c>
      <c r="V965" t="s">
        <v>16803</v>
      </c>
      <c r="W965" t="s">
        <v>16804</v>
      </c>
      <c r="X965" t="s">
        <v>405</v>
      </c>
      <c r="Y965" t="s">
        <v>16805</v>
      </c>
      <c r="Z965" t="s">
        <v>16806</v>
      </c>
      <c r="AA965" t="s">
        <v>16807</v>
      </c>
      <c r="AB965" t="s">
        <v>16808</v>
      </c>
      <c r="AC965" t="s">
        <v>16809</v>
      </c>
      <c r="AD965" t="s">
        <v>16810</v>
      </c>
      <c r="AE965" t="s">
        <v>16811</v>
      </c>
      <c r="AF965" t="s">
        <v>74</v>
      </c>
      <c r="AG965">
        <v>61</v>
      </c>
      <c r="AH965">
        <v>67</v>
      </c>
      <c r="AI965">
        <v>70</v>
      </c>
      <c r="AJ965">
        <v>2</v>
      </c>
      <c r="AK965">
        <v>88</v>
      </c>
      <c r="AL965" t="s">
        <v>639</v>
      </c>
      <c r="AM965" t="s">
        <v>640</v>
      </c>
      <c r="AN965" t="s">
        <v>641</v>
      </c>
      <c r="AO965" t="s">
        <v>1638</v>
      </c>
      <c r="AP965" t="s">
        <v>74</v>
      </c>
      <c r="AQ965" t="s">
        <v>74</v>
      </c>
      <c r="AR965" t="s">
        <v>1640</v>
      </c>
      <c r="AS965" t="s">
        <v>1641</v>
      </c>
      <c r="AT965" t="s">
        <v>16711</v>
      </c>
      <c r="AU965">
        <v>2010</v>
      </c>
      <c r="AV965">
        <v>395</v>
      </c>
      <c r="AW965" t="s">
        <v>2089</v>
      </c>
      <c r="AX965" t="s">
        <v>74</v>
      </c>
      <c r="AY965" t="s">
        <v>74</v>
      </c>
      <c r="AZ965" t="s">
        <v>74</v>
      </c>
      <c r="BA965" t="s">
        <v>74</v>
      </c>
      <c r="BB965">
        <v>135</v>
      </c>
      <c r="BC965">
        <v>146</v>
      </c>
      <c r="BD965" t="s">
        <v>74</v>
      </c>
      <c r="BE965" t="s">
        <v>16812</v>
      </c>
      <c r="BF965" t="str">
        <f>HYPERLINK("http://dx.doi.org/10.1016/j.jembe.2010.08.027","http://dx.doi.org/10.1016/j.jembe.2010.08.027")</f>
        <v>http://dx.doi.org/10.1016/j.jembe.2010.08.027</v>
      </c>
      <c r="BG965" t="s">
        <v>74</v>
      </c>
      <c r="BH965" t="s">
        <v>74</v>
      </c>
      <c r="BI965">
        <v>12</v>
      </c>
      <c r="BJ965" t="s">
        <v>346</v>
      </c>
      <c r="BK965" t="s">
        <v>100</v>
      </c>
      <c r="BL965" t="s">
        <v>347</v>
      </c>
      <c r="BM965" t="s">
        <v>16796</v>
      </c>
      <c r="BN965" t="s">
        <v>74</v>
      </c>
      <c r="BO965" t="s">
        <v>74</v>
      </c>
      <c r="BP965" t="s">
        <v>74</v>
      </c>
      <c r="BQ965" t="s">
        <v>74</v>
      </c>
      <c r="BR965" t="s">
        <v>103</v>
      </c>
      <c r="BS965" t="s">
        <v>16813</v>
      </c>
      <c r="BT965" t="str">
        <f>HYPERLINK("https%3A%2F%2Fwww.webofscience.com%2Fwos%2Fwoscc%2Ffull-record%2FWOS:000284513500018","View Full Record in Web of Science")</f>
        <v>View Full Record in Web of Science</v>
      </c>
    </row>
    <row r="966" spans="1:72" x14ac:dyDescent="0.15">
      <c r="A966" t="s">
        <v>72</v>
      </c>
      <c r="B966" t="s">
        <v>16814</v>
      </c>
      <c r="C966" t="s">
        <v>74</v>
      </c>
      <c r="D966" t="s">
        <v>74</v>
      </c>
      <c r="E966" t="s">
        <v>74</v>
      </c>
      <c r="F966" t="s">
        <v>16815</v>
      </c>
      <c r="G966" t="s">
        <v>74</v>
      </c>
      <c r="H966" t="s">
        <v>74</v>
      </c>
      <c r="I966" t="s">
        <v>16816</v>
      </c>
      <c r="J966" t="s">
        <v>16817</v>
      </c>
      <c r="K966" t="s">
        <v>74</v>
      </c>
      <c r="L966" t="s">
        <v>74</v>
      </c>
      <c r="M966" t="s">
        <v>78</v>
      </c>
      <c r="N966" t="s">
        <v>79</v>
      </c>
      <c r="O966" t="s">
        <v>74</v>
      </c>
      <c r="P966" t="s">
        <v>74</v>
      </c>
      <c r="Q966" t="s">
        <v>74</v>
      </c>
      <c r="R966" t="s">
        <v>74</v>
      </c>
      <c r="S966" t="s">
        <v>74</v>
      </c>
      <c r="T966" t="s">
        <v>16818</v>
      </c>
      <c r="U966" t="s">
        <v>16819</v>
      </c>
      <c r="V966" t="s">
        <v>16820</v>
      </c>
      <c r="W966" t="s">
        <v>16821</v>
      </c>
      <c r="X966" t="s">
        <v>16822</v>
      </c>
      <c r="Y966" t="s">
        <v>16823</v>
      </c>
      <c r="Z966" t="s">
        <v>16824</v>
      </c>
      <c r="AA966" t="s">
        <v>16825</v>
      </c>
      <c r="AB966" t="s">
        <v>16826</v>
      </c>
      <c r="AC966" t="s">
        <v>16827</v>
      </c>
      <c r="AD966" t="s">
        <v>16828</v>
      </c>
      <c r="AE966" t="s">
        <v>16829</v>
      </c>
      <c r="AF966" t="s">
        <v>74</v>
      </c>
      <c r="AG966">
        <v>28</v>
      </c>
      <c r="AH966">
        <v>28</v>
      </c>
      <c r="AI966">
        <v>29</v>
      </c>
      <c r="AJ966">
        <v>2</v>
      </c>
      <c r="AK966">
        <v>43</v>
      </c>
      <c r="AL966" t="s">
        <v>639</v>
      </c>
      <c r="AM966" t="s">
        <v>640</v>
      </c>
      <c r="AN966" t="s">
        <v>641</v>
      </c>
      <c r="AO966" t="s">
        <v>16830</v>
      </c>
      <c r="AP966" t="s">
        <v>16831</v>
      </c>
      <c r="AQ966" t="s">
        <v>74</v>
      </c>
      <c r="AR966" t="s">
        <v>16832</v>
      </c>
      <c r="AS966" t="s">
        <v>16833</v>
      </c>
      <c r="AT966" t="s">
        <v>16711</v>
      </c>
      <c r="AU966">
        <v>2010</v>
      </c>
      <c r="AV966">
        <v>183</v>
      </c>
      <c r="AW966" t="s">
        <v>4840</v>
      </c>
      <c r="AX966" t="s">
        <v>74</v>
      </c>
      <c r="AY966" t="s">
        <v>74</v>
      </c>
      <c r="AZ966" t="s">
        <v>74</v>
      </c>
      <c r="BA966" t="s">
        <v>74</v>
      </c>
      <c r="BB966">
        <v>434</v>
      </c>
      <c r="BC966">
        <v>440</v>
      </c>
      <c r="BD966" t="s">
        <v>74</v>
      </c>
      <c r="BE966" t="s">
        <v>16834</v>
      </c>
      <c r="BF966" t="str">
        <f>HYPERLINK("http://dx.doi.org/10.1016/j.jhazmat.2010.07.043","http://dx.doi.org/10.1016/j.jhazmat.2010.07.043")</f>
        <v>http://dx.doi.org/10.1016/j.jhazmat.2010.07.043</v>
      </c>
      <c r="BG966" t="s">
        <v>74</v>
      </c>
      <c r="BH966" t="s">
        <v>74</v>
      </c>
      <c r="BI966">
        <v>7</v>
      </c>
      <c r="BJ966" t="s">
        <v>12411</v>
      </c>
      <c r="BK966" t="s">
        <v>100</v>
      </c>
      <c r="BL966" t="s">
        <v>12412</v>
      </c>
      <c r="BM966" t="s">
        <v>16835</v>
      </c>
      <c r="BN966">
        <v>20688431</v>
      </c>
      <c r="BO966" t="s">
        <v>74</v>
      </c>
      <c r="BP966" t="s">
        <v>74</v>
      </c>
      <c r="BQ966" t="s">
        <v>74</v>
      </c>
      <c r="BR966" t="s">
        <v>103</v>
      </c>
      <c r="BS966" t="s">
        <v>16836</v>
      </c>
      <c r="BT966" t="str">
        <f>HYPERLINK("https%3A%2F%2Fwww.webofscience.com%2Fwos%2Fwoscc%2Ffull-record%2FWOS:000282607600055","View Full Record in Web of Science")</f>
        <v>View Full Record in Web of Science</v>
      </c>
    </row>
    <row r="967" spans="1:72" x14ac:dyDescent="0.15">
      <c r="A967" t="s">
        <v>72</v>
      </c>
      <c r="B967" t="s">
        <v>16837</v>
      </c>
      <c r="C967" t="s">
        <v>74</v>
      </c>
      <c r="D967" t="s">
        <v>74</v>
      </c>
      <c r="E967" t="s">
        <v>74</v>
      </c>
      <c r="F967" t="s">
        <v>16838</v>
      </c>
      <c r="G967" t="s">
        <v>74</v>
      </c>
      <c r="H967" t="s">
        <v>74</v>
      </c>
      <c r="I967" t="s">
        <v>16839</v>
      </c>
      <c r="J967" t="s">
        <v>1161</v>
      </c>
      <c r="K967" t="s">
        <v>74</v>
      </c>
      <c r="L967" t="s">
        <v>74</v>
      </c>
      <c r="M967" t="s">
        <v>78</v>
      </c>
      <c r="N967" t="s">
        <v>79</v>
      </c>
      <c r="O967" t="s">
        <v>74</v>
      </c>
      <c r="P967" t="s">
        <v>74</v>
      </c>
      <c r="Q967" t="s">
        <v>74</v>
      </c>
      <c r="R967" t="s">
        <v>74</v>
      </c>
      <c r="S967" t="s">
        <v>74</v>
      </c>
      <c r="T967" t="s">
        <v>16840</v>
      </c>
      <c r="U967" t="s">
        <v>16841</v>
      </c>
      <c r="V967" t="s">
        <v>16842</v>
      </c>
      <c r="W967" t="s">
        <v>16843</v>
      </c>
      <c r="X967" t="s">
        <v>14380</v>
      </c>
      <c r="Y967" t="s">
        <v>16844</v>
      </c>
      <c r="Z967" t="s">
        <v>16845</v>
      </c>
      <c r="AA967" t="s">
        <v>74</v>
      </c>
      <c r="AB967" t="s">
        <v>16846</v>
      </c>
      <c r="AC967" t="s">
        <v>16847</v>
      </c>
      <c r="AD967" t="s">
        <v>16847</v>
      </c>
      <c r="AE967" t="s">
        <v>16848</v>
      </c>
      <c r="AF967" t="s">
        <v>74</v>
      </c>
      <c r="AG967">
        <v>60</v>
      </c>
      <c r="AH967">
        <v>19</v>
      </c>
      <c r="AI967">
        <v>20</v>
      </c>
      <c r="AJ967">
        <v>0</v>
      </c>
      <c r="AK967">
        <v>13</v>
      </c>
      <c r="AL967" t="s">
        <v>718</v>
      </c>
      <c r="AM967" t="s">
        <v>719</v>
      </c>
      <c r="AN967" t="s">
        <v>720</v>
      </c>
      <c r="AO967" t="s">
        <v>1174</v>
      </c>
      <c r="AP967" t="s">
        <v>74</v>
      </c>
      <c r="AQ967" t="s">
        <v>74</v>
      </c>
      <c r="AR967" t="s">
        <v>1175</v>
      </c>
      <c r="AS967" t="s">
        <v>1176</v>
      </c>
      <c r="AT967" t="s">
        <v>16711</v>
      </c>
      <c r="AU967">
        <v>2010</v>
      </c>
      <c r="AV967">
        <v>30</v>
      </c>
      <c r="AW967">
        <v>2</v>
      </c>
      <c r="AX967" t="s">
        <v>74</v>
      </c>
      <c r="AY967" t="s">
        <v>74</v>
      </c>
      <c r="AZ967" t="s">
        <v>74</v>
      </c>
      <c r="BA967" t="s">
        <v>74</v>
      </c>
      <c r="BB967">
        <v>65</v>
      </c>
      <c r="BC967">
        <v>70</v>
      </c>
      <c r="BD967" t="s">
        <v>74</v>
      </c>
      <c r="BE967" t="s">
        <v>16849</v>
      </c>
      <c r="BF967" t="str">
        <f>HYPERLINK("http://dx.doi.org/10.1016/j.jsames.2010.04.004","http://dx.doi.org/10.1016/j.jsames.2010.04.004")</f>
        <v>http://dx.doi.org/10.1016/j.jsames.2010.04.004</v>
      </c>
      <c r="BG967" t="s">
        <v>74</v>
      </c>
      <c r="BH967" t="s">
        <v>74</v>
      </c>
      <c r="BI967">
        <v>6</v>
      </c>
      <c r="BJ967" t="s">
        <v>396</v>
      </c>
      <c r="BK967" t="s">
        <v>100</v>
      </c>
      <c r="BL967" t="s">
        <v>397</v>
      </c>
      <c r="BM967" t="s">
        <v>16850</v>
      </c>
      <c r="BN967" t="s">
        <v>74</v>
      </c>
      <c r="BO967" t="s">
        <v>726</v>
      </c>
      <c r="BP967" t="s">
        <v>74</v>
      </c>
      <c r="BQ967" t="s">
        <v>74</v>
      </c>
      <c r="BR967" t="s">
        <v>103</v>
      </c>
      <c r="BS967" t="s">
        <v>16851</v>
      </c>
      <c r="BT967" t="str">
        <f>HYPERLINK("https%3A%2F%2Fwww.webofscience.com%2Fwos%2Fwoscc%2Ffull-record%2FWOS:000285372800001","View Full Record in Web of Science")</f>
        <v>View Full Record in Web of Science</v>
      </c>
    </row>
    <row r="968" spans="1:72" x14ac:dyDescent="0.15">
      <c r="A968" t="s">
        <v>72</v>
      </c>
      <c r="B968" t="s">
        <v>16852</v>
      </c>
      <c r="C968" t="s">
        <v>74</v>
      </c>
      <c r="D968" t="s">
        <v>74</v>
      </c>
      <c r="E968" t="s">
        <v>74</v>
      </c>
      <c r="F968" t="s">
        <v>16853</v>
      </c>
      <c r="G968" t="s">
        <v>74</v>
      </c>
      <c r="H968" t="s">
        <v>74</v>
      </c>
      <c r="I968" t="s">
        <v>16854</v>
      </c>
      <c r="J968" t="s">
        <v>1980</v>
      </c>
      <c r="K968" t="s">
        <v>74</v>
      </c>
      <c r="L968" t="s">
        <v>74</v>
      </c>
      <c r="M968" t="s">
        <v>78</v>
      </c>
      <c r="N968" t="s">
        <v>79</v>
      </c>
      <c r="O968" t="s">
        <v>74</v>
      </c>
      <c r="P968" t="s">
        <v>74</v>
      </c>
      <c r="Q968" t="s">
        <v>74</v>
      </c>
      <c r="R968" t="s">
        <v>74</v>
      </c>
      <c r="S968" t="s">
        <v>74</v>
      </c>
      <c r="T968" t="s">
        <v>74</v>
      </c>
      <c r="U968" t="s">
        <v>16855</v>
      </c>
      <c r="V968" t="s">
        <v>16856</v>
      </c>
      <c r="W968" t="s">
        <v>16857</v>
      </c>
      <c r="X968" t="s">
        <v>16858</v>
      </c>
      <c r="Y968" t="s">
        <v>16859</v>
      </c>
      <c r="Z968" t="s">
        <v>74</v>
      </c>
      <c r="AA968" t="s">
        <v>74</v>
      </c>
      <c r="AB968" t="s">
        <v>16860</v>
      </c>
      <c r="AC968" t="s">
        <v>74</v>
      </c>
      <c r="AD968" t="s">
        <v>74</v>
      </c>
      <c r="AE968" t="s">
        <v>74</v>
      </c>
      <c r="AF968" t="s">
        <v>74</v>
      </c>
      <c r="AG968">
        <v>17</v>
      </c>
      <c r="AH968">
        <v>36</v>
      </c>
      <c r="AI968">
        <v>38</v>
      </c>
      <c r="AJ968">
        <v>0</v>
      </c>
      <c r="AK968">
        <v>11</v>
      </c>
      <c r="AL968" t="s">
        <v>240</v>
      </c>
      <c r="AM968" t="s">
        <v>241</v>
      </c>
      <c r="AN968" t="s">
        <v>242</v>
      </c>
      <c r="AO968" t="s">
        <v>1988</v>
      </c>
      <c r="AP968" t="s">
        <v>14255</v>
      </c>
      <c r="AQ968" t="s">
        <v>74</v>
      </c>
      <c r="AR968" t="s">
        <v>1989</v>
      </c>
      <c r="AS968" t="s">
        <v>1990</v>
      </c>
      <c r="AT968" t="s">
        <v>16861</v>
      </c>
      <c r="AU968">
        <v>2010</v>
      </c>
      <c r="AV968">
        <v>37</v>
      </c>
      <c r="AW968" t="s">
        <v>74</v>
      </c>
      <c r="AX968" t="s">
        <v>74</v>
      </c>
      <c r="AY968" t="s">
        <v>74</v>
      </c>
      <c r="AZ968" t="s">
        <v>74</v>
      </c>
      <c r="BA968" t="s">
        <v>74</v>
      </c>
      <c r="BB968" t="s">
        <v>74</v>
      </c>
      <c r="BC968" t="s">
        <v>74</v>
      </c>
      <c r="BD968" t="s">
        <v>16862</v>
      </c>
      <c r="BE968" t="s">
        <v>16863</v>
      </c>
      <c r="BF968" t="str">
        <f>HYPERLINK("http://dx.doi.org/10.1029/2010GL045117","http://dx.doi.org/10.1029/2010GL045117")</f>
        <v>http://dx.doi.org/10.1029/2010GL045117</v>
      </c>
      <c r="BG968" t="s">
        <v>74</v>
      </c>
      <c r="BH968" t="s">
        <v>74</v>
      </c>
      <c r="BI968">
        <v>5</v>
      </c>
      <c r="BJ968" t="s">
        <v>396</v>
      </c>
      <c r="BK968" t="s">
        <v>100</v>
      </c>
      <c r="BL968" t="s">
        <v>397</v>
      </c>
      <c r="BM968" t="s">
        <v>16864</v>
      </c>
      <c r="BN968" t="s">
        <v>74</v>
      </c>
      <c r="BO968" t="s">
        <v>252</v>
      </c>
      <c r="BP968" t="s">
        <v>74</v>
      </c>
      <c r="BQ968" t="s">
        <v>74</v>
      </c>
      <c r="BR968" t="s">
        <v>103</v>
      </c>
      <c r="BS968" t="s">
        <v>16865</v>
      </c>
      <c r="BT968" t="str">
        <f>HYPERLINK("https%3A%2F%2Fwww.webofscience.com%2Fwos%2Fwoscc%2Ffull-record%2FWOS:000284218200004","View Full Record in Web of Science")</f>
        <v>View Full Record in Web of Science</v>
      </c>
    </row>
    <row r="969" spans="1:72" x14ac:dyDescent="0.15">
      <c r="A969" t="s">
        <v>72</v>
      </c>
      <c r="B969" t="s">
        <v>16866</v>
      </c>
      <c r="C969" t="s">
        <v>74</v>
      </c>
      <c r="D969" t="s">
        <v>74</v>
      </c>
      <c r="E969" t="s">
        <v>74</v>
      </c>
      <c r="F969" t="s">
        <v>16867</v>
      </c>
      <c r="G969" t="s">
        <v>74</v>
      </c>
      <c r="H969" t="s">
        <v>74</v>
      </c>
      <c r="I969" t="s">
        <v>16868</v>
      </c>
      <c r="J969" t="s">
        <v>16869</v>
      </c>
      <c r="K969" t="s">
        <v>74</v>
      </c>
      <c r="L969" t="s">
        <v>74</v>
      </c>
      <c r="M969" t="s">
        <v>78</v>
      </c>
      <c r="N969" t="s">
        <v>79</v>
      </c>
      <c r="O969" t="s">
        <v>74</v>
      </c>
      <c r="P969" t="s">
        <v>74</v>
      </c>
      <c r="Q969" t="s">
        <v>74</v>
      </c>
      <c r="R969" t="s">
        <v>74</v>
      </c>
      <c r="S969" t="s">
        <v>74</v>
      </c>
      <c r="T969" t="s">
        <v>74</v>
      </c>
      <c r="U969" t="s">
        <v>16870</v>
      </c>
      <c r="V969" t="s">
        <v>16871</v>
      </c>
      <c r="W969" t="s">
        <v>16872</v>
      </c>
      <c r="X969" t="s">
        <v>16873</v>
      </c>
      <c r="Y969" t="s">
        <v>16874</v>
      </c>
      <c r="Z969" t="s">
        <v>16875</v>
      </c>
      <c r="AA969" t="s">
        <v>16683</v>
      </c>
      <c r="AB969" t="s">
        <v>16876</v>
      </c>
      <c r="AC969" t="s">
        <v>16877</v>
      </c>
      <c r="AD969" t="s">
        <v>16878</v>
      </c>
      <c r="AE969" t="s">
        <v>16879</v>
      </c>
      <c r="AF969" t="s">
        <v>74</v>
      </c>
      <c r="AG969">
        <v>73</v>
      </c>
      <c r="AH969">
        <v>46</v>
      </c>
      <c r="AI969">
        <v>53</v>
      </c>
      <c r="AJ969">
        <v>0</v>
      </c>
      <c r="AK969">
        <v>10</v>
      </c>
      <c r="AL969" t="s">
        <v>16880</v>
      </c>
      <c r="AM969" t="s">
        <v>15831</v>
      </c>
      <c r="AN969" t="s">
        <v>16881</v>
      </c>
      <c r="AO969" t="s">
        <v>16882</v>
      </c>
      <c r="AP969" t="s">
        <v>16883</v>
      </c>
      <c r="AQ969" t="s">
        <v>74</v>
      </c>
      <c r="AR969" t="s">
        <v>16884</v>
      </c>
      <c r="AS969" t="s">
        <v>16885</v>
      </c>
      <c r="AT969" t="s">
        <v>16886</v>
      </c>
      <c r="AU969">
        <v>2010</v>
      </c>
      <c r="AV969">
        <v>285</v>
      </c>
      <c r="AW969">
        <v>46</v>
      </c>
      <c r="AX969" t="s">
        <v>74</v>
      </c>
      <c r="AY969" t="s">
        <v>74</v>
      </c>
      <c r="AZ969" t="s">
        <v>74</v>
      </c>
      <c r="BA969" t="s">
        <v>74</v>
      </c>
      <c r="BB969">
        <v>35889</v>
      </c>
      <c r="BC969">
        <v>35899</v>
      </c>
      <c r="BD969" t="s">
        <v>74</v>
      </c>
      <c r="BE969" t="s">
        <v>16887</v>
      </c>
      <c r="BF969" t="str">
        <f>HYPERLINK("http://dx.doi.org/10.1074/jbc.M110.150623","http://dx.doi.org/10.1074/jbc.M110.150623")</f>
        <v>http://dx.doi.org/10.1074/jbc.M110.150623</v>
      </c>
      <c r="BG969" t="s">
        <v>74</v>
      </c>
      <c r="BH969" t="s">
        <v>74</v>
      </c>
      <c r="BI969">
        <v>11</v>
      </c>
      <c r="BJ969" t="s">
        <v>11548</v>
      </c>
      <c r="BK969" t="s">
        <v>100</v>
      </c>
      <c r="BL969" t="s">
        <v>11548</v>
      </c>
      <c r="BM969" t="s">
        <v>16888</v>
      </c>
      <c r="BN969">
        <v>20833722</v>
      </c>
      <c r="BO969" t="s">
        <v>726</v>
      </c>
      <c r="BP969" t="s">
        <v>74</v>
      </c>
      <c r="BQ969" t="s">
        <v>74</v>
      </c>
      <c r="BR969" t="s">
        <v>103</v>
      </c>
      <c r="BS969" t="s">
        <v>16889</v>
      </c>
      <c r="BT969" t="str">
        <f>HYPERLINK("https%3A%2F%2Fwww.webofscience.com%2Fwos%2Fwoscc%2Ffull-record%2FWOS:000283845300066","View Full Record in Web of Science")</f>
        <v>View Full Record in Web of Science</v>
      </c>
    </row>
    <row r="970" spans="1:72" x14ac:dyDescent="0.15">
      <c r="A970" t="s">
        <v>72</v>
      </c>
      <c r="B970" t="s">
        <v>16890</v>
      </c>
      <c r="C970" t="s">
        <v>74</v>
      </c>
      <c r="D970" t="s">
        <v>74</v>
      </c>
      <c r="E970" t="s">
        <v>74</v>
      </c>
      <c r="F970" t="s">
        <v>16891</v>
      </c>
      <c r="G970" t="s">
        <v>74</v>
      </c>
      <c r="H970" t="s">
        <v>74</v>
      </c>
      <c r="I970" t="s">
        <v>16892</v>
      </c>
      <c r="J970" t="s">
        <v>16893</v>
      </c>
      <c r="K970" t="s">
        <v>74</v>
      </c>
      <c r="L970" t="s">
        <v>74</v>
      </c>
      <c r="M970" t="s">
        <v>78</v>
      </c>
      <c r="N970" t="s">
        <v>79</v>
      </c>
      <c r="O970" t="s">
        <v>74</v>
      </c>
      <c r="P970" t="s">
        <v>74</v>
      </c>
      <c r="Q970" t="s">
        <v>74</v>
      </c>
      <c r="R970" t="s">
        <v>74</v>
      </c>
      <c r="S970" t="s">
        <v>74</v>
      </c>
      <c r="T970" t="s">
        <v>74</v>
      </c>
      <c r="U970" t="s">
        <v>16894</v>
      </c>
      <c r="V970" t="s">
        <v>16895</v>
      </c>
      <c r="W970" t="s">
        <v>16896</v>
      </c>
      <c r="X970" t="s">
        <v>16897</v>
      </c>
      <c r="Y970" t="s">
        <v>16898</v>
      </c>
      <c r="Z970" t="s">
        <v>74</v>
      </c>
      <c r="AA970" t="s">
        <v>16899</v>
      </c>
      <c r="AB970" t="s">
        <v>16900</v>
      </c>
      <c r="AC970" t="s">
        <v>16901</v>
      </c>
      <c r="AD970" t="s">
        <v>16902</v>
      </c>
      <c r="AE970" t="s">
        <v>16903</v>
      </c>
      <c r="AF970" t="s">
        <v>74</v>
      </c>
      <c r="AG970">
        <v>35</v>
      </c>
      <c r="AH970">
        <v>27</v>
      </c>
      <c r="AI970">
        <v>27</v>
      </c>
      <c r="AJ970">
        <v>0</v>
      </c>
      <c r="AK970">
        <v>7</v>
      </c>
      <c r="AL970" t="s">
        <v>1842</v>
      </c>
      <c r="AM970" t="s">
        <v>1843</v>
      </c>
      <c r="AN970" t="s">
        <v>1844</v>
      </c>
      <c r="AO970" t="s">
        <v>16904</v>
      </c>
      <c r="AP970" t="s">
        <v>16905</v>
      </c>
      <c r="AQ970" t="s">
        <v>74</v>
      </c>
      <c r="AR970" t="s">
        <v>16906</v>
      </c>
      <c r="AS970" t="s">
        <v>16907</v>
      </c>
      <c r="AT970" t="s">
        <v>16886</v>
      </c>
      <c r="AU970">
        <v>2010</v>
      </c>
      <c r="AV970">
        <v>82</v>
      </c>
      <c r="AW970">
        <v>5</v>
      </c>
      <c r="AX970">
        <v>2</v>
      </c>
      <c r="AY970" t="s">
        <v>74</v>
      </c>
      <c r="AZ970" t="s">
        <v>74</v>
      </c>
      <c r="BA970" t="s">
        <v>74</v>
      </c>
      <c r="BB970" t="s">
        <v>74</v>
      </c>
      <c r="BC970" t="s">
        <v>74</v>
      </c>
      <c r="BD970">
        <v>56311</v>
      </c>
      <c r="BE970" t="s">
        <v>16908</v>
      </c>
      <c r="BF970" t="str">
        <f>HYPERLINK("http://dx.doi.org/10.1103/PhysRevE.82.056311","http://dx.doi.org/10.1103/PhysRevE.82.056311")</f>
        <v>http://dx.doi.org/10.1103/PhysRevE.82.056311</v>
      </c>
      <c r="BG970" t="s">
        <v>74</v>
      </c>
      <c r="BH970" t="s">
        <v>74</v>
      </c>
      <c r="BI970">
        <v>6</v>
      </c>
      <c r="BJ970" t="s">
        <v>16909</v>
      </c>
      <c r="BK970" t="s">
        <v>100</v>
      </c>
      <c r="BL970" t="s">
        <v>2454</v>
      </c>
      <c r="BM970" t="s">
        <v>16910</v>
      </c>
      <c r="BN970">
        <v>21230580</v>
      </c>
      <c r="BO970" t="s">
        <v>138</v>
      </c>
      <c r="BP970" t="s">
        <v>74</v>
      </c>
      <c r="BQ970" t="s">
        <v>74</v>
      </c>
      <c r="BR970" t="s">
        <v>103</v>
      </c>
      <c r="BS970" t="s">
        <v>16911</v>
      </c>
      <c r="BT970" t="str">
        <f>HYPERLINK("https%3A%2F%2Fwww.webofscience.com%2Fwos%2Fwoscc%2Ffull-record%2FWOS:000284147100005","View Full Record in Web of Science")</f>
        <v>View Full Record in Web of Science</v>
      </c>
    </row>
    <row r="971" spans="1:72" x14ac:dyDescent="0.15">
      <c r="A971" t="s">
        <v>72</v>
      </c>
      <c r="B971" t="s">
        <v>16912</v>
      </c>
      <c r="C971" t="s">
        <v>74</v>
      </c>
      <c r="D971" t="s">
        <v>74</v>
      </c>
      <c r="E971" t="s">
        <v>74</v>
      </c>
      <c r="F971" t="s">
        <v>16913</v>
      </c>
      <c r="G971" t="s">
        <v>74</v>
      </c>
      <c r="H971" t="s">
        <v>74</v>
      </c>
      <c r="I971" t="s">
        <v>16914</v>
      </c>
      <c r="J971" t="s">
        <v>16915</v>
      </c>
      <c r="K971" t="s">
        <v>74</v>
      </c>
      <c r="L971" t="s">
        <v>74</v>
      </c>
      <c r="M971" t="s">
        <v>78</v>
      </c>
      <c r="N971" t="s">
        <v>79</v>
      </c>
      <c r="O971" t="s">
        <v>74</v>
      </c>
      <c r="P971" t="s">
        <v>74</v>
      </c>
      <c r="Q971" t="s">
        <v>74</v>
      </c>
      <c r="R971" t="s">
        <v>74</v>
      </c>
      <c r="S971" t="s">
        <v>74</v>
      </c>
      <c r="T971" t="s">
        <v>74</v>
      </c>
      <c r="U971" t="s">
        <v>16916</v>
      </c>
      <c r="V971" t="s">
        <v>16917</v>
      </c>
      <c r="W971" t="s">
        <v>16918</v>
      </c>
      <c r="X971" t="s">
        <v>16919</v>
      </c>
      <c r="Y971" t="s">
        <v>16920</v>
      </c>
      <c r="Z971" t="s">
        <v>14776</v>
      </c>
      <c r="AA971" t="s">
        <v>16921</v>
      </c>
      <c r="AB971" t="s">
        <v>16922</v>
      </c>
      <c r="AC971" t="s">
        <v>16923</v>
      </c>
      <c r="AD971" t="s">
        <v>16924</v>
      </c>
      <c r="AE971" t="s">
        <v>16925</v>
      </c>
      <c r="AF971" t="s">
        <v>74</v>
      </c>
      <c r="AG971">
        <v>47</v>
      </c>
      <c r="AH971">
        <v>22</v>
      </c>
      <c r="AI971">
        <v>25</v>
      </c>
      <c r="AJ971">
        <v>2</v>
      </c>
      <c r="AK971">
        <v>27</v>
      </c>
      <c r="AL971" t="s">
        <v>240</v>
      </c>
      <c r="AM971" t="s">
        <v>241</v>
      </c>
      <c r="AN971" t="s">
        <v>242</v>
      </c>
      <c r="AO971" t="s">
        <v>16926</v>
      </c>
      <c r="AP971" t="s">
        <v>16927</v>
      </c>
      <c r="AQ971" t="s">
        <v>74</v>
      </c>
      <c r="AR971" t="s">
        <v>16928</v>
      </c>
      <c r="AS971" t="s">
        <v>16929</v>
      </c>
      <c r="AT971" t="s">
        <v>16930</v>
      </c>
      <c r="AU971">
        <v>2010</v>
      </c>
      <c r="AV971">
        <v>115</v>
      </c>
      <c r="AW971" t="s">
        <v>74</v>
      </c>
      <c r="AX971" t="s">
        <v>74</v>
      </c>
      <c r="AY971" t="s">
        <v>74</v>
      </c>
      <c r="AZ971" t="s">
        <v>74</v>
      </c>
      <c r="BA971" t="s">
        <v>74</v>
      </c>
      <c r="BB971" t="s">
        <v>74</v>
      </c>
      <c r="BC971" t="s">
        <v>74</v>
      </c>
      <c r="BD971" t="s">
        <v>16931</v>
      </c>
      <c r="BE971" t="s">
        <v>16932</v>
      </c>
      <c r="BF971" t="str">
        <f>HYPERLINK("http://dx.doi.org/10.1029/2010JG001384","http://dx.doi.org/10.1029/2010JG001384")</f>
        <v>http://dx.doi.org/10.1029/2010JG001384</v>
      </c>
      <c r="BG971" t="s">
        <v>74</v>
      </c>
      <c r="BH971" t="s">
        <v>74</v>
      </c>
      <c r="BI971">
        <v>10</v>
      </c>
      <c r="BJ971" t="s">
        <v>16933</v>
      </c>
      <c r="BK971" t="s">
        <v>100</v>
      </c>
      <c r="BL971" t="s">
        <v>4388</v>
      </c>
      <c r="BM971" t="s">
        <v>16934</v>
      </c>
      <c r="BN971" t="s">
        <v>74</v>
      </c>
      <c r="BO971" t="s">
        <v>252</v>
      </c>
      <c r="BP971" t="s">
        <v>74</v>
      </c>
      <c r="BQ971" t="s">
        <v>74</v>
      </c>
      <c r="BR971" t="s">
        <v>103</v>
      </c>
      <c r="BS971" t="s">
        <v>16935</v>
      </c>
      <c r="BT971" t="str">
        <f>HYPERLINK("https%3A%2F%2Fwww.webofscience.com%2Fwos%2Fwoscc%2Ffull-record%2FWOS:000284220800004","View Full Record in Web of Science")</f>
        <v>View Full Record in Web of Science</v>
      </c>
    </row>
    <row r="972" spans="1:72" x14ac:dyDescent="0.15">
      <c r="A972" t="s">
        <v>72</v>
      </c>
      <c r="B972" t="s">
        <v>16936</v>
      </c>
      <c r="C972" t="s">
        <v>74</v>
      </c>
      <c r="D972" t="s">
        <v>74</v>
      </c>
      <c r="E972" t="s">
        <v>74</v>
      </c>
      <c r="F972" t="s">
        <v>16937</v>
      </c>
      <c r="G972" t="s">
        <v>74</v>
      </c>
      <c r="H972" t="s">
        <v>74</v>
      </c>
      <c r="I972" t="s">
        <v>16938</v>
      </c>
      <c r="J972" t="s">
        <v>13500</v>
      </c>
      <c r="K972" t="s">
        <v>74</v>
      </c>
      <c r="L972" t="s">
        <v>74</v>
      </c>
      <c r="M972" t="s">
        <v>78</v>
      </c>
      <c r="N972" t="s">
        <v>79</v>
      </c>
      <c r="O972" t="s">
        <v>74</v>
      </c>
      <c r="P972" t="s">
        <v>74</v>
      </c>
      <c r="Q972" t="s">
        <v>74</v>
      </c>
      <c r="R972" t="s">
        <v>74</v>
      </c>
      <c r="S972" t="s">
        <v>74</v>
      </c>
      <c r="T972" t="s">
        <v>74</v>
      </c>
      <c r="U972" t="s">
        <v>16939</v>
      </c>
      <c r="V972" t="s">
        <v>16940</v>
      </c>
      <c r="W972" t="s">
        <v>16941</v>
      </c>
      <c r="X972" t="s">
        <v>16942</v>
      </c>
      <c r="Y972" t="s">
        <v>16943</v>
      </c>
      <c r="Z972" t="s">
        <v>16944</v>
      </c>
      <c r="AA972" t="s">
        <v>16945</v>
      </c>
      <c r="AB972" t="s">
        <v>16946</v>
      </c>
      <c r="AC972" t="s">
        <v>16947</v>
      </c>
      <c r="AD972" t="s">
        <v>5033</v>
      </c>
      <c r="AE972" t="s">
        <v>16948</v>
      </c>
      <c r="AF972" t="s">
        <v>74</v>
      </c>
      <c r="AG972">
        <v>55</v>
      </c>
      <c r="AH972">
        <v>20</v>
      </c>
      <c r="AI972">
        <v>25</v>
      </c>
      <c r="AJ972">
        <v>0</v>
      </c>
      <c r="AK972">
        <v>11</v>
      </c>
      <c r="AL972" t="s">
        <v>240</v>
      </c>
      <c r="AM972" t="s">
        <v>241</v>
      </c>
      <c r="AN972" t="s">
        <v>242</v>
      </c>
      <c r="AO972" t="s">
        <v>13511</v>
      </c>
      <c r="AP972" t="s">
        <v>13512</v>
      </c>
      <c r="AQ972" t="s">
        <v>74</v>
      </c>
      <c r="AR972" t="s">
        <v>13513</v>
      </c>
      <c r="AS972" t="s">
        <v>13514</v>
      </c>
      <c r="AT972" t="s">
        <v>16930</v>
      </c>
      <c r="AU972">
        <v>2010</v>
      </c>
      <c r="AV972">
        <v>115</v>
      </c>
      <c r="AW972" t="s">
        <v>74</v>
      </c>
      <c r="AX972" t="s">
        <v>74</v>
      </c>
      <c r="AY972" t="s">
        <v>74</v>
      </c>
      <c r="AZ972" t="s">
        <v>74</v>
      </c>
      <c r="BA972" t="s">
        <v>74</v>
      </c>
      <c r="BB972" t="s">
        <v>74</v>
      </c>
      <c r="BC972" t="s">
        <v>74</v>
      </c>
      <c r="BD972" t="s">
        <v>16949</v>
      </c>
      <c r="BE972" t="s">
        <v>16950</v>
      </c>
      <c r="BF972" t="str">
        <f>HYPERLINK("http://dx.doi.org/10.1029/2009JB007081","http://dx.doi.org/10.1029/2009JB007081")</f>
        <v>http://dx.doi.org/10.1029/2009JB007081</v>
      </c>
      <c r="BG972" t="s">
        <v>74</v>
      </c>
      <c r="BH972" t="s">
        <v>74</v>
      </c>
      <c r="BI972">
        <v>13</v>
      </c>
      <c r="BJ972" t="s">
        <v>774</v>
      </c>
      <c r="BK972" t="s">
        <v>100</v>
      </c>
      <c r="BL972" t="s">
        <v>774</v>
      </c>
      <c r="BM972" t="s">
        <v>16951</v>
      </c>
      <c r="BN972" t="s">
        <v>74</v>
      </c>
      <c r="BO972" t="s">
        <v>74</v>
      </c>
      <c r="BP972" t="s">
        <v>74</v>
      </c>
      <c r="BQ972" t="s">
        <v>74</v>
      </c>
      <c r="BR972" t="s">
        <v>103</v>
      </c>
      <c r="BS972" t="s">
        <v>16952</v>
      </c>
      <c r="BT972" t="str">
        <f>HYPERLINK("https%3A%2F%2Fwww.webofscience.com%2Fwos%2Fwoscc%2Ffull-record%2FWOS:000284223300001","View Full Record in Web of Science")</f>
        <v>View Full Record in Web of Science</v>
      </c>
    </row>
    <row r="973" spans="1:72" x14ac:dyDescent="0.15">
      <c r="A973" t="s">
        <v>72</v>
      </c>
      <c r="B973" t="s">
        <v>16953</v>
      </c>
      <c r="C973" t="s">
        <v>74</v>
      </c>
      <c r="D973" t="s">
        <v>74</v>
      </c>
      <c r="E973" t="s">
        <v>74</v>
      </c>
      <c r="F973" t="s">
        <v>16954</v>
      </c>
      <c r="G973" t="s">
        <v>74</v>
      </c>
      <c r="H973" t="s">
        <v>74</v>
      </c>
      <c r="I973" t="s">
        <v>16955</v>
      </c>
      <c r="J973" t="s">
        <v>1701</v>
      </c>
      <c r="K973" t="s">
        <v>74</v>
      </c>
      <c r="L973" t="s">
        <v>74</v>
      </c>
      <c r="M973" t="s">
        <v>78</v>
      </c>
      <c r="N973" t="s">
        <v>79</v>
      </c>
      <c r="O973" t="s">
        <v>74</v>
      </c>
      <c r="P973" t="s">
        <v>74</v>
      </c>
      <c r="Q973" t="s">
        <v>74</v>
      </c>
      <c r="R973" t="s">
        <v>74</v>
      </c>
      <c r="S973" t="s">
        <v>74</v>
      </c>
      <c r="T973" t="s">
        <v>74</v>
      </c>
      <c r="U973" t="s">
        <v>16956</v>
      </c>
      <c r="V973" t="s">
        <v>16957</v>
      </c>
      <c r="W973" t="s">
        <v>16958</v>
      </c>
      <c r="X973" t="s">
        <v>16959</v>
      </c>
      <c r="Y973" t="s">
        <v>16960</v>
      </c>
      <c r="Z973" t="s">
        <v>16961</v>
      </c>
      <c r="AA973" t="s">
        <v>16962</v>
      </c>
      <c r="AB973" t="s">
        <v>16963</v>
      </c>
      <c r="AC973" t="s">
        <v>16964</v>
      </c>
      <c r="AD973" t="s">
        <v>16965</v>
      </c>
      <c r="AE973" t="s">
        <v>16966</v>
      </c>
      <c r="AF973" t="s">
        <v>74</v>
      </c>
      <c r="AG973">
        <v>50</v>
      </c>
      <c r="AH973">
        <v>30</v>
      </c>
      <c r="AI973">
        <v>31</v>
      </c>
      <c r="AJ973">
        <v>0</v>
      </c>
      <c r="AK973">
        <v>3</v>
      </c>
      <c r="AL973" t="s">
        <v>240</v>
      </c>
      <c r="AM973" t="s">
        <v>241</v>
      </c>
      <c r="AN973" t="s">
        <v>242</v>
      </c>
      <c r="AO973" t="s">
        <v>1713</v>
      </c>
      <c r="AP973" t="s">
        <v>1714</v>
      </c>
      <c r="AQ973" t="s">
        <v>74</v>
      </c>
      <c r="AR973" t="s">
        <v>1715</v>
      </c>
      <c r="AS973" t="s">
        <v>1716</v>
      </c>
      <c r="AT973" t="s">
        <v>16930</v>
      </c>
      <c r="AU973">
        <v>2010</v>
      </c>
      <c r="AV973">
        <v>115</v>
      </c>
      <c r="AW973" t="s">
        <v>74</v>
      </c>
      <c r="AX973" t="s">
        <v>74</v>
      </c>
      <c r="AY973" t="s">
        <v>74</v>
      </c>
      <c r="AZ973" t="s">
        <v>74</v>
      </c>
      <c r="BA973" t="s">
        <v>74</v>
      </c>
      <c r="BB973" t="s">
        <v>74</v>
      </c>
      <c r="BC973" t="s">
        <v>74</v>
      </c>
      <c r="BD973" t="s">
        <v>16967</v>
      </c>
      <c r="BE973" t="s">
        <v>16968</v>
      </c>
      <c r="BF973" t="str">
        <f>HYPERLINK("http://dx.doi.org/10.1029/2010JA015446","http://dx.doi.org/10.1029/2010JA015446")</f>
        <v>http://dx.doi.org/10.1029/2010JA015446</v>
      </c>
      <c r="BG973" t="s">
        <v>74</v>
      </c>
      <c r="BH973" t="s">
        <v>74</v>
      </c>
      <c r="BI973">
        <v>18</v>
      </c>
      <c r="BJ973" t="s">
        <v>373</v>
      </c>
      <c r="BK973" t="s">
        <v>100</v>
      </c>
      <c r="BL973" t="s">
        <v>373</v>
      </c>
      <c r="BM973" t="s">
        <v>16969</v>
      </c>
      <c r="BN973" t="s">
        <v>74</v>
      </c>
      <c r="BO973" t="s">
        <v>9686</v>
      </c>
      <c r="BP973" t="s">
        <v>74</v>
      </c>
      <c r="BQ973" t="s">
        <v>74</v>
      </c>
      <c r="BR973" t="s">
        <v>103</v>
      </c>
      <c r="BS973" t="s">
        <v>16970</v>
      </c>
      <c r="BT973" t="str">
        <f>HYPERLINK("https%3A%2F%2Fwww.webofscience.com%2Fwos%2Fwoscc%2Ffull-record%2FWOS:000284224700001","View Full Record in Web of Science")</f>
        <v>View Full Record in Web of Science</v>
      </c>
    </row>
    <row r="974" spans="1:72" x14ac:dyDescent="0.15">
      <c r="A974" t="s">
        <v>72</v>
      </c>
      <c r="B974" t="s">
        <v>16971</v>
      </c>
      <c r="C974" t="s">
        <v>74</v>
      </c>
      <c r="D974" t="s">
        <v>74</v>
      </c>
      <c r="E974" t="s">
        <v>74</v>
      </c>
      <c r="F974" t="s">
        <v>16972</v>
      </c>
      <c r="G974" t="s">
        <v>74</v>
      </c>
      <c r="H974" t="s">
        <v>74</v>
      </c>
      <c r="I974" t="s">
        <v>16973</v>
      </c>
      <c r="J974" t="s">
        <v>14057</v>
      </c>
      <c r="K974" t="s">
        <v>74</v>
      </c>
      <c r="L974" t="s">
        <v>74</v>
      </c>
      <c r="M974" t="s">
        <v>78</v>
      </c>
      <c r="N974" t="s">
        <v>79</v>
      </c>
      <c r="O974" t="s">
        <v>74</v>
      </c>
      <c r="P974" t="s">
        <v>74</v>
      </c>
      <c r="Q974" t="s">
        <v>74</v>
      </c>
      <c r="R974" t="s">
        <v>74</v>
      </c>
      <c r="S974" t="s">
        <v>74</v>
      </c>
      <c r="T974" t="s">
        <v>16974</v>
      </c>
      <c r="U974" t="s">
        <v>16975</v>
      </c>
      <c r="V974" t="s">
        <v>16976</v>
      </c>
      <c r="W974" t="s">
        <v>16977</v>
      </c>
      <c r="X974" t="s">
        <v>16978</v>
      </c>
      <c r="Y974" t="s">
        <v>16979</v>
      </c>
      <c r="Z974" t="s">
        <v>16980</v>
      </c>
      <c r="AA974" t="s">
        <v>16981</v>
      </c>
      <c r="AB974" t="s">
        <v>16982</v>
      </c>
      <c r="AC974" t="s">
        <v>16983</v>
      </c>
      <c r="AD974" t="s">
        <v>5033</v>
      </c>
      <c r="AE974" t="s">
        <v>16984</v>
      </c>
      <c r="AF974" t="s">
        <v>74</v>
      </c>
      <c r="AG974">
        <v>69</v>
      </c>
      <c r="AH974">
        <v>20</v>
      </c>
      <c r="AI974">
        <v>21</v>
      </c>
      <c r="AJ974">
        <v>0</v>
      </c>
      <c r="AK974">
        <v>15</v>
      </c>
      <c r="AL974" t="s">
        <v>240</v>
      </c>
      <c r="AM974" t="s">
        <v>241</v>
      </c>
      <c r="AN974" t="s">
        <v>242</v>
      </c>
      <c r="AO974" t="s">
        <v>74</v>
      </c>
      <c r="AP974" t="s">
        <v>14070</v>
      </c>
      <c r="AQ974" t="s">
        <v>74</v>
      </c>
      <c r="AR974" t="s">
        <v>14071</v>
      </c>
      <c r="AS974" t="s">
        <v>14072</v>
      </c>
      <c r="AT974" t="s">
        <v>16985</v>
      </c>
      <c r="AU974">
        <v>2010</v>
      </c>
      <c r="AV974">
        <v>11</v>
      </c>
      <c r="AW974" t="s">
        <v>74</v>
      </c>
      <c r="AX974" t="s">
        <v>74</v>
      </c>
      <c r="AY974" t="s">
        <v>74</v>
      </c>
      <c r="AZ974" t="s">
        <v>74</v>
      </c>
      <c r="BA974" t="s">
        <v>74</v>
      </c>
      <c r="BB974" t="s">
        <v>74</v>
      </c>
      <c r="BC974" t="s">
        <v>74</v>
      </c>
      <c r="BD974" t="s">
        <v>16986</v>
      </c>
      <c r="BE974" t="s">
        <v>16987</v>
      </c>
      <c r="BF974" t="str">
        <f>HYPERLINK("http://dx.doi.org/10.1029/2010GC003276","http://dx.doi.org/10.1029/2010GC003276")</f>
        <v>http://dx.doi.org/10.1029/2010GC003276</v>
      </c>
      <c r="BG974" t="s">
        <v>74</v>
      </c>
      <c r="BH974" t="s">
        <v>74</v>
      </c>
      <c r="BI974">
        <v>23</v>
      </c>
      <c r="BJ974" t="s">
        <v>774</v>
      </c>
      <c r="BK974" t="s">
        <v>100</v>
      </c>
      <c r="BL974" t="s">
        <v>774</v>
      </c>
      <c r="BM974" t="s">
        <v>16988</v>
      </c>
      <c r="BN974" t="s">
        <v>74</v>
      </c>
      <c r="BO974" t="s">
        <v>1696</v>
      </c>
      <c r="BP974" t="s">
        <v>74</v>
      </c>
      <c r="BQ974" t="s">
        <v>74</v>
      </c>
      <c r="BR974" t="s">
        <v>103</v>
      </c>
      <c r="BS974" t="s">
        <v>16989</v>
      </c>
      <c r="BT974" t="str">
        <f>HYPERLINK("https%3A%2F%2Fwww.webofscience.com%2Fwos%2Fwoscc%2Ffull-record%2FWOS:000284217200001","View Full Record in Web of Science")</f>
        <v>View Full Record in Web of Science</v>
      </c>
    </row>
    <row r="975" spans="1:72" x14ac:dyDescent="0.15">
      <c r="A975" t="s">
        <v>72</v>
      </c>
      <c r="B975" t="s">
        <v>16990</v>
      </c>
      <c r="C975" t="s">
        <v>74</v>
      </c>
      <c r="D975" t="s">
        <v>74</v>
      </c>
      <c r="E975" t="s">
        <v>74</v>
      </c>
      <c r="F975" t="s">
        <v>16991</v>
      </c>
      <c r="G975" t="s">
        <v>74</v>
      </c>
      <c r="H975" t="s">
        <v>74</v>
      </c>
      <c r="I975" t="s">
        <v>16992</v>
      </c>
      <c r="J975" t="s">
        <v>1980</v>
      </c>
      <c r="K975" t="s">
        <v>74</v>
      </c>
      <c r="L975" t="s">
        <v>74</v>
      </c>
      <c r="M975" t="s">
        <v>78</v>
      </c>
      <c r="N975" t="s">
        <v>79</v>
      </c>
      <c r="O975" t="s">
        <v>74</v>
      </c>
      <c r="P975" t="s">
        <v>74</v>
      </c>
      <c r="Q975" t="s">
        <v>74</v>
      </c>
      <c r="R975" t="s">
        <v>74</v>
      </c>
      <c r="S975" t="s">
        <v>74</v>
      </c>
      <c r="T975" t="s">
        <v>74</v>
      </c>
      <c r="U975" t="s">
        <v>16993</v>
      </c>
      <c r="V975" t="s">
        <v>16994</v>
      </c>
      <c r="W975" t="s">
        <v>16995</v>
      </c>
      <c r="X975" t="s">
        <v>16996</v>
      </c>
      <c r="Y975" t="s">
        <v>16997</v>
      </c>
      <c r="Z975" t="s">
        <v>74</v>
      </c>
      <c r="AA975" t="s">
        <v>16998</v>
      </c>
      <c r="AB975" t="s">
        <v>16999</v>
      </c>
      <c r="AC975" t="s">
        <v>74</v>
      </c>
      <c r="AD975" t="s">
        <v>74</v>
      </c>
      <c r="AE975" t="s">
        <v>74</v>
      </c>
      <c r="AF975" t="s">
        <v>74</v>
      </c>
      <c r="AG975">
        <v>28</v>
      </c>
      <c r="AH975">
        <v>57</v>
      </c>
      <c r="AI975">
        <v>60</v>
      </c>
      <c r="AJ975">
        <v>0</v>
      </c>
      <c r="AK975">
        <v>18</v>
      </c>
      <c r="AL975" t="s">
        <v>240</v>
      </c>
      <c r="AM975" t="s">
        <v>241</v>
      </c>
      <c r="AN975" t="s">
        <v>242</v>
      </c>
      <c r="AO975" t="s">
        <v>1988</v>
      </c>
      <c r="AP975" t="s">
        <v>74</v>
      </c>
      <c r="AQ975" t="s">
        <v>74</v>
      </c>
      <c r="AR975" t="s">
        <v>1989</v>
      </c>
      <c r="AS975" t="s">
        <v>1990</v>
      </c>
      <c r="AT975" t="s">
        <v>16985</v>
      </c>
      <c r="AU975">
        <v>2010</v>
      </c>
      <c r="AV975">
        <v>37</v>
      </c>
      <c r="AW975" t="s">
        <v>74</v>
      </c>
      <c r="AX975" t="s">
        <v>74</v>
      </c>
      <c r="AY975" t="s">
        <v>74</v>
      </c>
      <c r="AZ975" t="s">
        <v>74</v>
      </c>
      <c r="BA975" t="s">
        <v>74</v>
      </c>
      <c r="BB975" t="s">
        <v>74</v>
      </c>
      <c r="BC975" t="s">
        <v>74</v>
      </c>
      <c r="BD975" t="s">
        <v>17000</v>
      </c>
      <c r="BE975" t="s">
        <v>17001</v>
      </c>
      <c r="BF975" t="str">
        <f>HYPERLINK("http://dx.doi.org/10.1029/2010GL045184","http://dx.doi.org/10.1029/2010GL045184")</f>
        <v>http://dx.doi.org/10.1029/2010GL045184</v>
      </c>
      <c r="BG975" t="s">
        <v>74</v>
      </c>
      <c r="BH975" t="s">
        <v>74</v>
      </c>
      <c r="BI975">
        <v>5</v>
      </c>
      <c r="BJ975" t="s">
        <v>396</v>
      </c>
      <c r="BK975" t="s">
        <v>100</v>
      </c>
      <c r="BL975" t="s">
        <v>397</v>
      </c>
      <c r="BM975" t="s">
        <v>17002</v>
      </c>
      <c r="BN975" t="s">
        <v>74</v>
      </c>
      <c r="BO975" t="s">
        <v>726</v>
      </c>
      <c r="BP975" t="s">
        <v>74</v>
      </c>
      <c r="BQ975" t="s">
        <v>74</v>
      </c>
      <c r="BR975" t="s">
        <v>103</v>
      </c>
      <c r="BS975" t="s">
        <v>17003</v>
      </c>
      <c r="BT975" t="str">
        <f>HYPERLINK("https%3A%2F%2Fwww.webofscience.com%2Fwos%2Fwoscc%2Ffull-record%2FWOS:000284217600005","View Full Record in Web of Science")</f>
        <v>View Full Record in Web of Science</v>
      </c>
    </row>
    <row r="976" spans="1:72" x14ac:dyDescent="0.15">
      <c r="A976" t="s">
        <v>72</v>
      </c>
      <c r="B976" t="s">
        <v>17004</v>
      </c>
      <c r="C976" t="s">
        <v>74</v>
      </c>
      <c r="D976" t="s">
        <v>74</v>
      </c>
      <c r="E976" t="s">
        <v>74</v>
      </c>
      <c r="F976" t="s">
        <v>17005</v>
      </c>
      <c r="G976" t="s">
        <v>74</v>
      </c>
      <c r="H976" t="s">
        <v>74</v>
      </c>
      <c r="I976" t="s">
        <v>17006</v>
      </c>
      <c r="J976" t="s">
        <v>229</v>
      </c>
      <c r="K976" t="s">
        <v>74</v>
      </c>
      <c r="L976" t="s">
        <v>74</v>
      </c>
      <c r="M976" t="s">
        <v>78</v>
      </c>
      <c r="N976" t="s">
        <v>79</v>
      </c>
      <c r="O976" t="s">
        <v>74</v>
      </c>
      <c r="P976" t="s">
        <v>74</v>
      </c>
      <c r="Q976" t="s">
        <v>74</v>
      </c>
      <c r="R976" t="s">
        <v>74</v>
      </c>
      <c r="S976" t="s">
        <v>74</v>
      </c>
      <c r="T976" t="s">
        <v>74</v>
      </c>
      <c r="U976" t="s">
        <v>17007</v>
      </c>
      <c r="V976" t="s">
        <v>17008</v>
      </c>
      <c r="W976" t="s">
        <v>17009</v>
      </c>
      <c r="X976" t="s">
        <v>17010</v>
      </c>
      <c r="Y976" t="s">
        <v>17011</v>
      </c>
      <c r="Z976" t="s">
        <v>11782</v>
      </c>
      <c r="AA976" t="s">
        <v>17012</v>
      </c>
      <c r="AB976" t="s">
        <v>17013</v>
      </c>
      <c r="AC976" t="s">
        <v>17014</v>
      </c>
      <c r="AD976" t="s">
        <v>17015</v>
      </c>
      <c r="AE976" t="s">
        <v>17016</v>
      </c>
      <c r="AF976" t="s">
        <v>74</v>
      </c>
      <c r="AG976">
        <v>38</v>
      </c>
      <c r="AH976">
        <v>23</v>
      </c>
      <c r="AI976">
        <v>26</v>
      </c>
      <c r="AJ976">
        <v>0</v>
      </c>
      <c r="AK976">
        <v>9</v>
      </c>
      <c r="AL976" t="s">
        <v>240</v>
      </c>
      <c r="AM976" t="s">
        <v>241</v>
      </c>
      <c r="AN976" t="s">
        <v>242</v>
      </c>
      <c r="AO976" t="s">
        <v>243</v>
      </c>
      <c r="AP976" t="s">
        <v>244</v>
      </c>
      <c r="AQ976" t="s">
        <v>74</v>
      </c>
      <c r="AR976" t="s">
        <v>245</v>
      </c>
      <c r="AS976" t="s">
        <v>246</v>
      </c>
      <c r="AT976" t="s">
        <v>16985</v>
      </c>
      <c r="AU976">
        <v>2010</v>
      </c>
      <c r="AV976">
        <v>115</v>
      </c>
      <c r="AW976" t="s">
        <v>74</v>
      </c>
      <c r="AX976" t="s">
        <v>74</v>
      </c>
      <c r="AY976" t="s">
        <v>74</v>
      </c>
      <c r="AZ976" t="s">
        <v>74</v>
      </c>
      <c r="BA976" t="s">
        <v>74</v>
      </c>
      <c r="BB976" t="s">
        <v>74</v>
      </c>
      <c r="BC976" t="s">
        <v>74</v>
      </c>
      <c r="BD976" t="s">
        <v>17017</v>
      </c>
      <c r="BE976" t="s">
        <v>17018</v>
      </c>
      <c r="BF976" t="str">
        <f>HYPERLINK("http://dx.doi.org/10.1029/2010JC006249","http://dx.doi.org/10.1029/2010JC006249")</f>
        <v>http://dx.doi.org/10.1029/2010JC006249</v>
      </c>
      <c r="BG976" t="s">
        <v>74</v>
      </c>
      <c r="BH976" t="s">
        <v>74</v>
      </c>
      <c r="BI976">
        <v>11</v>
      </c>
      <c r="BJ976" t="s">
        <v>250</v>
      </c>
      <c r="BK976" t="s">
        <v>100</v>
      </c>
      <c r="BL976" t="s">
        <v>250</v>
      </c>
      <c r="BM976" t="s">
        <v>17019</v>
      </c>
      <c r="BN976" t="s">
        <v>74</v>
      </c>
      <c r="BO976" t="s">
        <v>17020</v>
      </c>
      <c r="BP976" t="s">
        <v>74</v>
      </c>
      <c r="BQ976" t="s">
        <v>74</v>
      </c>
      <c r="BR976" t="s">
        <v>103</v>
      </c>
      <c r="BS976" t="s">
        <v>17021</v>
      </c>
      <c r="BT976" t="str">
        <f>HYPERLINK("https%3A%2F%2Fwww.webofscience.com%2Fwos%2Fwoscc%2Ffull-record%2FWOS:000284221800003","View Full Record in Web of Science")</f>
        <v>View Full Record in Web of Science</v>
      </c>
    </row>
    <row r="977" spans="1:72" x14ac:dyDescent="0.15">
      <c r="A977" t="s">
        <v>72</v>
      </c>
      <c r="B977" t="s">
        <v>17022</v>
      </c>
      <c r="C977" t="s">
        <v>74</v>
      </c>
      <c r="D977" t="s">
        <v>74</v>
      </c>
      <c r="E977" t="s">
        <v>74</v>
      </c>
      <c r="F977" t="s">
        <v>17023</v>
      </c>
      <c r="G977" t="s">
        <v>74</v>
      </c>
      <c r="H977" t="s">
        <v>74</v>
      </c>
      <c r="I977" t="s">
        <v>17024</v>
      </c>
      <c r="J977" t="s">
        <v>14057</v>
      </c>
      <c r="K977" t="s">
        <v>74</v>
      </c>
      <c r="L977" t="s">
        <v>74</v>
      </c>
      <c r="M977" t="s">
        <v>78</v>
      </c>
      <c r="N977" t="s">
        <v>79</v>
      </c>
      <c r="O977" t="s">
        <v>74</v>
      </c>
      <c r="P977" t="s">
        <v>74</v>
      </c>
      <c r="Q977" t="s">
        <v>74</v>
      </c>
      <c r="R977" t="s">
        <v>74</v>
      </c>
      <c r="S977" t="s">
        <v>74</v>
      </c>
      <c r="T977" t="s">
        <v>17025</v>
      </c>
      <c r="U977" t="s">
        <v>17026</v>
      </c>
      <c r="V977" t="s">
        <v>17027</v>
      </c>
      <c r="W977" t="s">
        <v>17028</v>
      </c>
      <c r="X977" t="s">
        <v>17029</v>
      </c>
      <c r="Y977" t="s">
        <v>17030</v>
      </c>
      <c r="Z977" t="s">
        <v>17031</v>
      </c>
      <c r="AA977" t="s">
        <v>17032</v>
      </c>
      <c r="AB977" t="s">
        <v>17033</v>
      </c>
      <c r="AC977" t="s">
        <v>17034</v>
      </c>
      <c r="AD977" t="s">
        <v>17035</v>
      </c>
      <c r="AE977" t="s">
        <v>17036</v>
      </c>
      <c r="AF977" t="s">
        <v>74</v>
      </c>
      <c r="AG977">
        <v>78</v>
      </c>
      <c r="AH977">
        <v>9</v>
      </c>
      <c r="AI977">
        <v>11</v>
      </c>
      <c r="AJ977">
        <v>0</v>
      </c>
      <c r="AK977">
        <v>14</v>
      </c>
      <c r="AL977" t="s">
        <v>240</v>
      </c>
      <c r="AM977" t="s">
        <v>241</v>
      </c>
      <c r="AN977" t="s">
        <v>242</v>
      </c>
      <c r="AO977" t="s">
        <v>74</v>
      </c>
      <c r="AP977" t="s">
        <v>14070</v>
      </c>
      <c r="AQ977" t="s">
        <v>74</v>
      </c>
      <c r="AR977" t="s">
        <v>14071</v>
      </c>
      <c r="AS977" t="s">
        <v>14072</v>
      </c>
      <c r="AT977" t="s">
        <v>17037</v>
      </c>
      <c r="AU977">
        <v>2010</v>
      </c>
      <c r="AV977">
        <v>11</v>
      </c>
      <c r="AW977" t="s">
        <v>74</v>
      </c>
      <c r="AX977" t="s">
        <v>74</v>
      </c>
      <c r="AY977" t="s">
        <v>74</v>
      </c>
      <c r="AZ977" t="s">
        <v>74</v>
      </c>
      <c r="BA977" t="s">
        <v>74</v>
      </c>
      <c r="BB977" t="s">
        <v>74</v>
      </c>
      <c r="BC977" t="s">
        <v>74</v>
      </c>
      <c r="BD977" t="s">
        <v>17038</v>
      </c>
      <c r="BE977" t="s">
        <v>17039</v>
      </c>
      <c r="BF977" t="str">
        <f>HYPERLINK("http://dx.doi.org/10.1029/2010GC003236","http://dx.doi.org/10.1029/2010GC003236")</f>
        <v>http://dx.doi.org/10.1029/2010GC003236</v>
      </c>
      <c r="BG977" t="s">
        <v>74</v>
      </c>
      <c r="BH977" t="s">
        <v>74</v>
      </c>
      <c r="BI977">
        <v>25</v>
      </c>
      <c r="BJ977" t="s">
        <v>774</v>
      </c>
      <c r="BK977" t="s">
        <v>100</v>
      </c>
      <c r="BL977" t="s">
        <v>774</v>
      </c>
      <c r="BM977" t="s">
        <v>17040</v>
      </c>
      <c r="BN977" t="s">
        <v>74</v>
      </c>
      <c r="BO977" t="s">
        <v>9686</v>
      </c>
      <c r="BP977" t="s">
        <v>74</v>
      </c>
      <c r="BQ977" t="s">
        <v>74</v>
      </c>
      <c r="BR977" t="s">
        <v>103</v>
      </c>
      <c r="BS977" t="s">
        <v>17041</v>
      </c>
      <c r="BT977" t="str">
        <f>HYPERLINK("https%3A%2F%2Fwww.webofscience.com%2Fwos%2Fwoscc%2Ffull-record%2FWOS:000284216500002","View Full Record in Web of Science")</f>
        <v>View Full Record in Web of Science</v>
      </c>
    </row>
    <row r="978" spans="1:72" x14ac:dyDescent="0.15">
      <c r="A978" t="s">
        <v>72</v>
      </c>
      <c r="B978" t="s">
        <v>17042</v>
      </c>
      <c r="C978" t="s">
        <v>74</v>
      </c>
      <c r="D978" t="s">
        <v>74</v>
      </c>
      <c r="E978" t="s">
        <v>74</v>
      </c>
      <c r="F978" t="s">
        <v>17043</v>
      </c>
      <c r="G978" t="s">
        <v>74</v>
      </c>
      <c r="H978" t="s">
        <v>74</v>
      </c>
      <c r="I978" t="s">
        <v>17044</v>
      </c>
      <c r="J978" t="s">
        <v>17045</v>
      </c>
      <c r="K978" t="s">
        <v>74</v>
      </c>
      <c r="L978" t="s">
        <v>74</v>
      </c>
      <c r="M978" t="s">
        <v>78</v>
      </c>
      <c r="N978" t="s">
        <v>79</v>
      </c>
      <c r="O978" t="s">
        <v>74</v>
      </c>
      <c r="P978" t="s">
        <v>74</v>
      </c>
      <c r="Q978" t="s">
        <v>74</v>
      </c>
      <c r="R978" t="s">
        <v>74</v>
      </c>
      <c r="S978" t="s">
        <v>74</v>
      </c>
      <c r="T978" t="s">
        <v>17046</v>
      </c>
      <c r="U978" t="s">
        <v>17047</v>
      </c>
      <c r="V978" t="s">
        <v>17048</v>
      </c>
      <c r="W978" t="s">
        <v>17049</v>
      </c>
      <c r="X978" t="s">
        <v>17050</v>
      </c>
      <c r="Y978" t="s">
        <v>17051</v>
      </c>
      <c r="Z978" t="s">
        <v>17052</v>
      </c>
      <c r="AA978" t="s">
        <v>17053</v>
      </c>
      <c r="AB978" t="s">
        <v>74</v>
      </c>
      <c r="AC978" t="s">
        <v>17054</v>
      </c>
      <c r="AD978" t="s">
        <v>17055</v>
      </c>
      <c r="AE978" t="s">
        <v>17056</v>
      </c>
      <c r="AF978" t="s">
        <v>74</v>
      </c>
      <c r="AG978">
        <v>90</v>
      </c>
      <c r="AH978">
        <v>41</v>
      </c>
      <c r="AI978">
        <v>44</v>
      </c>
      <c r="AJ978">
        <v>0</v>
      </c>
      <c r="AK978">
        <v>7</v>
      </c>
      <c r="AL978" t="s">
        <v>718</v>
      </c>
      <c r="AM978" t="s">
        <v>719</v>
      </c>
      <c r="AN978" t="s">
        <v>720</v>
      </c>
      <c r="AO978" t="s">
        <v>17057</v>
      </c>
      <c r="AP978" t="s">
        <v>74</v>
      </c>
      <c r="AQ978" t="s">
        <v>74</v>
      </c>
      <c r="AR978" t="s">
        <v>17058</v>
      </c>
      <c r="AS978" t="s">
        <v>17059</v>
      </c>
      <c r="AT978" t="s">
        <v>17037</v>
      </c>
      <c r="AU978">
        <v>2010</v>
      </c>
      <c r="AV978">
        <v>39</v>
      </c>
      <c r="AW978">
        <v>6</v>
      </c>
      <c r="AX978" t="s">
        <v>74</v>
      </c>
      <c r="AY978" t="s">
        <v>74</v>
      </c>
      <c r="AZ978" t="s">
        <v>967</v>
      </c>
      <c r="BA978" t="s">
        <v>74</v>
      </c>
      <c r="BB978">
        <v>551</v>
      </c>
      <c r="BC978">
        <v>564</v>
      </c>
      <c r="BD978" t="s">
        <v>74</v>
      </c>
      <c r="BE978" t="s">
        <v>17060</v>
      </c>
      <c r="BF978" t="str">
        <f>HYPERLINK("http://dx.doi.org/10.1016/j.jseaes.2010.04.028","http://dx.doi.org/10.1016/j.jseaes.2010.04.028")</f>
        <v>http://dx.doi.org/10.1016/j.jseaes.2010.04.028</v>
      </c>
      <c r="BG978" t="s">
        <v>74</v>
      </c>
      <c r="BH978" t="s">
        <v>74</v>
      </c>
      <c r="BI978">
        <v>14</v>
      </c>
      <c r="BJ978" t="s">
        <v>396</v>
      </c>
      <c r="BK978" t="s">
        <v>100</v>
      </c>
      <c r="BL978" t="s">
        <v>397</v>
      </c>
      <c r="BM978" t="s">
        <v>17061</v>
      </c>
      <c r="BN978" t="s">
        <v>74</v>
      </c>
      <c r="BO978" t="s">
        <v>74</v>
      </c>
      <c r="BP978" t="s">
        <v>74</v>
      </c>
      <c r="BQ978" t="s">
        <v>74</v>
      </c>
      <c r="BR978" t="s">
        <v>103</v>
      </c>
      <c r="BS978" t="s">
        <v>17062</v>
      </c>
      <c r="BT978" t="str">
        <f>HYPERLINK("https%3A%2F%2Fwww.webofscience.com%2Fwos%2Fwoscc%2Ffull-record%2FWOS:000286571000006","View Full Record in Web of Science")</f>
        <v>View Full Record in Web of Science</v>
      </c>
    </row>
    <row r="979" spans="1:72" x14ac:dyDescent="0.15">
      <c r="A979" t="s">
        <v>72</v>
      </c>
      <c r="B979" t="s">
        <v>17063</v>
      </c>
      <c r="C979" t="s">
        <v>74</v>
      </c>
      <c r="D979" t="s">
        <v>74</v>
      </c>
      <c r="E979" t="s">
        <v>74</v>
      </c>
      <c r="F979" t="s">
        <v>17064</v>
      </c>
      <c r="G979" t="s">
        <v>74</v>
      </c>
      <c r="H979" t="s">
        <v>74</v>
      </c>
      <c r="I979" t="s">
        <v>17065</v>
      </c>
      <c r="J979" t="s">
        <v>14143</v>
      </c>
      <c r="K979" t="s">
        <v>74</v>
      </c>
      <c r="L979" t="s">
        <v>74</v>
      </c>
      <c r="M979" t="s">
        <v>78</v>
      </c>
      <c r="N979" t="s">
        <v>79</v>
      </c>
      <c r="O979" t="s">
        <v>74</v>
      </c>
      <c r="P979" t="s">
        <v>74</v>
      </c>
      <c r="Q979" t="s">
        <v>74</v>
      </c>
      <c r="R979" t="s">
        <v>74</v>
      </c>
      <c r="S979" t="s">
        <v>74</v>
      </c>
      <c r="T979" t="s">
        <v>74</v>
      </c>
      <c r="U979" t="s">
        <v>17066</v>
      </c>
      <c r="V979" t="s">
        <v>17067</v>
      </c>
      <c r="W979" t="s">
        <v>17068</v>
      </c>
      <c r="X979" t="s">
        <v>17069</v>
      </c>
      <c r="Y979" t="s">
        <v>17070</v>
      </c>
      <c r="Z979" t="s">
        <v>17071</v>
      </c>
      <c r="AA979" t="s">
        <v>17072</v>
      </c>
      <c r="AB979" t="s">
        <v>17073</v>
      </c>
      <c r="AC979" t="s">
        <v>17074</v>
      </c>
      <c r="AD979" t="s">
        <v>17075</v>
      </c>
      <c r="AE979" t="s">
        <v>17076</v>
      </c>
      <c r="AF979" t="s">
        <v>74</v>
      </c>
      <c r="AG979">
        <v>54</v>
      </c>
      <c r="AH979">
        <v>24</v>
      </c>
      <c r="AI979">
        <v>24</v>
      </c>
      <c r="AJ979">
        <v>1</v>
      </c>
      <c r="AK979">
        <v>37</v>
      </c>
      <c r="AL979" t="s">
        <v>240</v>
      </c>
      <c r="AM979" t="s">
        <v>241</v>
      </c>
      <c r="AN979" t="s">
        <v>242</v>
      </c>
      <c r="AO979" t="s">
        <v>14153</v>
      </c>
      <c r="AP979" t="s">
        <v>14154</v>
      </c>
      <c r="AQ979" t="s">
        <v>74</v>
      </c>
      <c r="AR979" t="s">
        <v>14155</v>
      </c>
      <c r="AS979" t="s">
        <v>14156</v>
      </c>
      <c r="AT979" t="s">
        <v>17077</v>
      </c>
      <c r="AU979">
        <v>2010</v>
      </c>
      <c r="AV979">
        <v>115</v>
      </c>
      <c r="AW979" t="s">
        <v>74</v>
      </c>
      <c r="AX979" t="s">
        <v>74</v>
      </c>
      <c r="AY979" t="s">
        <v>74</v>
      </c>
      <c r="AZ979" t="s">
        <v>74</v>
      </c>
      <c r="BA979" t="s">
        <v>74</v>
      </c>
      <c r="BB979" t="s">
        <v>74</v>
      </c>
      <c r="BC979" t="s">
        <v>74</v>
      </c>
      <c r="BD979" t="s">
        <v>17078</v>
      </c>
      <c r="BE979" t="s">
        <v>17079</v>
      </c>
      <c r="BF979" t="str">
        <f>HYPERLINK("http://dx.doi.org/10.1029/2009JF001602","http://dx.doi.org/10.1029/2009JF001602")</f>
        <v>http://dx.doi.org/10.1029/2009JF001602</v>
      </c>
      <c r="BG979" t="s">
        <v>74</v>
      </c>
      <c r="BH979" t="s">
        <v>74</v>
      </c>
      <c r="BI979">
        <v>16</v>
      </c>
      <c r="BJ979" t="s">
        <v>396</v>
      </c>
      <c r="BK979" t="s">
        <v>100</v>
      </c>
      <c r="BL979" t="s">
        <v>397</v>
      </c>
      <c r="BM979" t="s">
        <v>17080</v>
      </c>
      <c r="BN979" t="s">
        <v>74</v>
      </c>
      <c r="BO979" t="s">
        <v>1744</v>
      </c>
      <c r="BP979" t="s">
        <v>74</v>
      </c>
      <c r="BQ979" t="s">
        <v>74</v>
      </c>
      <c r="BR979" t="s">
        <v>103</v>
      </c>
      <c r="BS979" t="s">
        <v>17081</v>
      </c>
      <c r="BT979" t="str">
        <f>HYPERLINK("https%3A%2F%2Fwww.webofscience.com%2Fwos%2Fwoscc%2Ffull-record%2FWOS:000283946400002","View Full Record in Web of Science")</f>
        <v>View Full Record in Web of Science</v>
      </c>
    </row>
    <row r="980" spans="1:72" x14ac:dyDescent="0.15">
      <c r="A980" t="s">
        <v>72</v>
      </c>
      <c r="B980" t="s">
        <v>17082</v>
      </c>
      <c r="C980" t="s">
        <v>74</v>
      </c>
      <c r="D980" t="s">
        <v>74</v>
      </c>
      <c r="E980" t="s">
        <v>74</v>
      </c>
      <c r="F980" t="s">
        <v>17083</v>
      </c>
      <c r="G980" t="s">
        <v>74</v>
      </c>
      <c r="H980" t="s">
        <v>74</v>
      </c>
      <c r="I980" t="s">
        <v>17084</v>
      </c>
      <c r="J980" t="s">
        <v>229</v>
      </c>
      <c r="K980" t="s">
        <v>74</v>
      </c>
      <c r="L980" t="s">
        <v>74</v>
      </c>
      <c r="M980" t="s">
        <v>78</v>
      </c>
      <c r="N980" t="s">
        <v>79</v>
      </c>
      <c r="O980" t="s">
        <v>74</v>
      </c>
      <c r="P980" t="s">
        <v>74</v>
      </c>
      <c r="Q980" t="s">
        <v>74</v>
      </c>
      <c r="R980" t="s">
        <v>74</v>
      </c>
      <c r="S980" t="s">
        <v>74</v>
      </c>
      <c r="T980" t="s">
        <v>74</v>
      </c>
      <c r="U980" t="s">
        <v>17085</v>
      </c>
      <c r="V980" t="s">
        <v>17086</v>
      </c>
      <c r="W980" t="s">
        <v>17087</v>
      </c>
      <c r="X980" t="s">
        <v>16622</v>
      </c>
      <c r="Y980" t="s">
        <v>17088</v>
      </c>
      <c r="Z980" t="s">
        <v>17089</v>
      </c>
      <c r="AA980" t="s">
        <v>74</v>
      </c>
      <c r="AB980" t="s">
        <v>17090</v>
      </c>
      <c r="AC980" t="s">
        <v>17091</v>
      </c>
      <c r="AD980" t="s">
        <v>17092</v>
      </c>
      <c r="AE980" t="s">
        <v>17093</v>
      </c>
      <c r="AF980" t="s">
        <v>74</v>
      </c>
      <c r="AG980">
        <v>93</v>
      </c>
      <c r="AH980">
        <v>110</v>
      </c>
      <c r="AI980">
        <v>118</v>
      </c>
      <c r="AJ980">
        <v>0</v>
      </c>
      <c r="AK980">
        <v>20</v>
      </c>
      <c r="AL980" t="s">
        <v>240</v>
      </c>
      <c r="AM980" t="s">
        <v>241</v>
      </c>
      <c r="AN980" t="s">
        <v>242</v>
      </c>
      <c r="AO980" t="s">
        <v>243</v>
      </c>
      <c r="AP980" t="s">
        <v>244</v>
      </c>
      <c r="AQ980" t="s">
        <v>74</v>
      </c>
      <c r="AR980" t="s">
        <v>245</v>
      </c>
      <c r="AS980" t="s">
        <v>246</v>
      </c>
      <c r="AT980" t="s">
        <v>17077</v>
      </c>
      <c r="AU980">
        <v>2010</v>
      </c>
      <c r="AV980">
        <v>115</v>
      </c>
      <c r="AW980" t="s">
        <v>74</v>
      </c>
      <c r="AX980" t="s">
        <v>74</v>
      </c>
      <c r="AY980" t="s">
        <v>74</v>
      </c>
      <c r="AZ980" t="s">
        <v>74</v>
      </c>
      <c r="BA980" t="s">
        <v>74</v>
      </c>
      <c r="BB980" t="s">
        <v>74</v>
      </c>
      <c r="BC980" t="s">
        <v>74</v>
      </c>
      <c r="BD980" t="s">
        <v>17094</v>
      </c>
      <c r="BE980" t="s">
        <v>17095</v>
      </c>
      <c r="BF980" t="str">
        <f>HYPERLINK("http://dx.doi.org/10.1029/2010JC006243","http://dx.doi.org/10.1029/2010JC006243")</f>
        <v>http://dx.doi.org/10.1029/2010JC006243</v>
      </c>
      <c r="BG980" t="s">
        <v>74</v>
      </c>
      <c r="BH980" t="s">
        <v>74</v>
      </c>
      <c r="BI980">
        <v>29</v>
      </c>
      <c r="BJ980" t="s">
        <v>250</v>
      </c>
      <c r="BK980" t="s">
        <v>100</v>
      </c>
      <c r="BL980" t="s">
        <v>250</v>
      </c>
      <c r="BM980" t="s">
        <v>17096</v>
      </c>
      <c r="BN980" t="s">
        <v>74</v>
      </c>
      <c r="BO980" t="s">
        <v>74</v>
      </c>
      <c r="BP980" t="s">
        <v>74</v>
      </c>
      <c r="BQ980" t="s">
        <v>74</v>
      </c>
      <c r="BR980" t="s">
        <v>103</v>
      </c>
      <c r="BS980" t="s">
        <v>17097</v>
      </c>
      <c r="BT980" t="str">
        <f>HYPERLINK("https%3A%2F%2Fwww.webofscience.com%2Fwos%2Fwoscc%2Ffull-record%2FWOS:000283947400002","View Full Record in Web of Science")</f>
        <v>View Full Record in Web of Science</v>
      </c>
    </row>
    <row r="981" spans="1:72" x14ac:dyDescent="0.15">
      <c r="A981" t="s">
        <v>72</v>
      </c>
      <c r="B981" t="s">
        <v>17098</v>
      </c>
      <c r="C981" t="s">
        <v>74</v>
      </c>
      <c r="D981" t="s">
        <v>74</v>
      </c>
      <c r="E981" t="s">
        <v>74</v>
      </c>
      <c r="F981" t="s">
        <v>17099</v>
      </c>
      <c r="G981" t="s">
        <v>74</v>
      </c>
      <c r="H981" t="s">
        <v>74</v>
      </c>
      <c r="I981" t="s">
        <v>17100</v>
      </c>
      <c r="J981" t="s">
        <v>1677</v>
      </c>
      <c r="K981" t="s">
        <v>74</v>
      </c>
      <c r="L981" t="s">
        <v>74</v>
      </c>
      <c r="M981" t="s">
        <v>78</v>
      </c>
      <c r="N981" t="s">
        <v>79</v>
      </c>
      <c r="O981" t="s">
        <v>74</v>
      </c>
      <c r="P981" t="s">
        <v>74</v>
      </c>
      <c r="Q981" t="s">
        <v>74</v>
      </c>
      <c r="R981" t="s">
        <v>74</v>
      </c>
      <c r="S981" t="s">
        <v>74</v>
      </c>
      <c r="T981" t="s">
        <v>74</v>
      </c>
      <c r="U981" t="s">
        <v>17101</v>
      </c>
      <c r="V981" t="s">
        <v>17102</v>
      </c>
      <c r="W981" t="s">
        <v>17103</v>
      </c>
      <c r="X981" t="s">
        <v>17104</v>
      </c>
      <c r="Y981" t="s">
        <v>17105</v>
      </c>
      <c r="Z981" t="s">
        <v>17106</v>
      </c>
      <c r="AA981" t="s">
        <v>17107</v>
      </c>
      <c r="AB981" t="s">
        <v>17108</v>
      </c>
      <c r="AC981" t="s">
        <v>17109</v>
      </c>
      <c r="AD981" t="s">
        <v>17110</v>
      </c>
      <c r="AE981" t="s">
        <v>17111</v>
      </c>
      <c r="AF981" t="s">
        <v>74</v>
      </c>
      <c r="AG981">
        <v>55</v>
      </c>
      <c r="AH981">
        <v>31</v>
      </c>
      <c r="AI981">
        <v>32</v>
      </c>
      <c r="AJ981">
        <v>0</v>
      </c>
      <c r="AK981">
        <v>27</v>
      </c>
      <c r="AL981" t="s">
        <v>240</v>
      </c>
      <c r="AM981" t="s">
        <v>241</v>
      </c>
      <c r="AN981" t="s">
        <v>242</v>
      </c>
      <c r="AO981" t="s">
        <v>1688</v>
      </c>
      <c r="AP981" t="s">
        <v>1689</v>
      </c>
      <c r="AQ981" t="s">
        <v>74</v>
      </c>
      <c r="AR981" t="s">
        <v>1690</v>
      </c>
      <c r="AS981" t="s">
        <v>1691</v>
      </c>
      <c r="AT981" t="s">
        <v>17112</v>
      </c>
      <c r="AU981">
        <v>2010</v>
      </c>
      <c r="AV981">
        <v>115</v>
      </c>
      <c r="AW981" t="s">
        <v>74</v>
      </c>
      <c r="AX981" t="s">
        <v>74</v>
      </c>
      <c r="AY981" t="s">
        <v>74</v>
      </c>
      <c r="AZ981" t="s">
        <v>74</v>
      </c>
      <c r="BA981" t="s">
        <v>74</v>
      </c>
      <c r="BB981" t="s">
        <v>74</v>
      </c>
      <c r="BC981" t="s">
        <v>74</v>
      </c>
      <c r="BD981" t="s">
        <v>17113</v>
      </c>
      <c r="BE981" t="s">
        <v>17114</v>
      </c>
      <c r="BF981" t="str">
        <f>HYPERLINK("http://dx.doi.org/10.1029/2009JD013577","http://dx.doi.org/10.1029/2009JD013577")</f>
        <v>http://dx.doi.org/10.1029/2009JD013577</v>
      </c>
      <c r="BG981" t="s">
        <v>74</v>
      </c>
      <c r="BH981" t="s">
        <v>74</v>
      </c>
      <c r="BI981">
        <v>21</v>
      </c>
      <c r="BJ981" t="s">
        <v>603</v>
      </c>
      <c r="BK981" t="s">
        <v>100</v>
      </c>
      <c r="BL981" t="s">
        <v>603</v>
      </c>
      <c r="BM981" t="s">
        <v>17115</v>
      </c>
      <c r="BN981" t="s">
        <v>74</v>
      </c>
      <c r="BO981" t="s">
        <v>17116</v>
      </c>
      <c r="BP981" t="s">
        <v>74</v>
      </c>
      <c r="BQ981" t="s">
        <v>74</v>
      </c>
      <c r="BR981" t="s">
        <v>103</v>
      </c>
      <c r="BS981" t="s">
        <v>17117</v>
      </c>
      <c r="BT981" t="str">
        <f>HYPERLINK("https%3A%2F%2Fwww.webofscience.com%2Fwos%2Fwoscc%2Ffull-record%2FWOS:000283945500005","View Full Record in Web of Science")</f>
        <v>View Full Record in Web of Science</v>
      </c>
    </row>
    <row r="982" spans="1:72" x14ac:dyDescent="0.15">
      <c r="A982" t="s">
        <v>72</v>
      </c>
      <c r="B982" t="s">
        <v>17118</v>
      </c>
      <c r="C982" t="s">
        <v>74</v>
      </c>
      <c r="D982" t="s">
        <v>74</v>
      </c>
      <c r="E982" t="s">
        <v>74</v>
      </c>
      <c r="F982" t="s">
        <v>17119</v>
      </c>
      <c r="G982" t="s">
        <v>74</v>
      </c>
      <c r="H982" t="s">
        <v>74</v>
      </c>
      <c r="I982" t="s">
        <v>17120</v>
      </c>
      <c r="J982" t="s">
        <v>1677</v>
      </c>
      <c r="K982" t="s">
        <v>74</v>
      </c>
      <c r="L982" t="s">
        <v>74</v>
      </c>
      <c r="M982" t="s">
        <v>78</v>
      </c>
      <c r="N982" t="s">
        <v>79</v>
      </c>
      <c r="O982" t="s">
        <v>74</v>
      </c>
      <c r="P982" t="s">
        <v>74</v>
      </c>
      <c r="Q982" t="s">
        <v>74</v>
      </c>
      <c r="R982" t="s">
        <v>74</v>
      </c>
      <c r="S982" t="s">
        <v>74</v>
      </c>
      <c r="T982" t="s">
        <v>74</v>
      </c>
      <c r="U982" t="s">
        <v>17121</v>
      </c>
      <c r="V982" t="s">
        <v>17122</v>
      </c>
      <c r="W982" t="s">
        <v>17123</v>
      </c>
      <c r="X982" t="s">
        <v>17124</v>
      </c>
      <c r="Y982" t="s">
        <v>17105</v>
      </c>
      <c r="Z982" t="s">
        <v>17106</v>
      </c>
      <c r="AA982" t="s">
        <v>17125</v>
      </c>
      <c r="AB982" t="s">
        <v>17126</v>
      </c>
      <c r="AC982" t="s">
        <v>17127</v>
      </c>
      <c r="AD982" t="s">
        <v>17128</v>
      </c>
      <c r="AE982" t="s">
        <v>17129</v>
      </c>
      <c r="AF982" t="s">
        <v>74</v>
      </c>
      <c r="AG982">
        <v>44</v>
      </c>
      <c r="AH982">
        <v>53</v>
      </c>
      <c r="AI982">
        <v>53</v>
      </c>
      <c r="AJ982">
        <v>1</v>
      </c>
      <c r="AK982">
        <v>24</v>
      </c>
      <c r="AL982" t="s">
        <v>240</v>
      </c>
      <c r="AM982" t="s">
        <v>241</v>
      </c>
      <c r="AN982" t="s">
        <v>242</v>
      </c>
      <c r="AO982" t="s">
        <v>1688</v>
      </c>
      <c r="AP982" t="s">
        <v>1689</v>
      </c>
      <c r="AQ982" t="s">
        <v>74</v>
      </c>
      <c r="AR982" t="s">
        <v>1690</v>
      </c>
      <c r="AS982" t="s">
        <v>1691</v>
      </c>
      <c r="AT982" t="s">
        <v>17130</v>
      </c>
      <c r="AU982">
        <v>2010</v>
      </c>
      <c r="AV982">
        <v>115</v>
      </c>
      <c r="AW982" t="s">
        <v>74</v>
      </c>
      <c r="AX982" t="s">
        <v>74</v>
      </c>
      <c r="AY982" t="s">
        <v>74</v>
      </c>
      <c r="AZ982" t="s">
        <v>74</v>
      </c>
      <c r="BA982" t="s">
        <v>74</v>
      </c>
      <c r="BB982" t="s">
        <v>74</v>
      </c>
      <c r="BC982" t="s">
        <v>74</v>
      </c>
      <c r="BD982" t="s">
        <v>17131</v>
      </c>
      <c r="BE982" t="s">
        <v>17132</v>
      </c>
      <c r="BF982" t="str">
        <f>HYPERLINK("http://dx.doi.org/10.1029/2010JD013857","http://dx.doi.org/10.1029/2010JD013857")</f>
        <v>http://dx.doi.org/10.1029/2010JD013857</v>
      </c>
      <c r="BG982" t="s">
        <v>74</v>
      </c>
      <c r="BH982" t="s">
        <v>74</v>
      </c>
      <c r="BI982">
        <v>23</v>
      </c>
      <c r="BJ982" t="s">
        <v>603</v>
      </c>
      <c r="BK982" t="s">
        <v>100</v>
      </c>
      <c r="BL982" t="s">
        <v>603</v>
      </c>
      <c r="BM982" t="s">
        <v>17133</v>
      </c>
      <c r="BN982" t="s">
        <v>74</v>
      </c>
      <c r="BO982" t="s">
        <v>515</v>
      </c>
      <c r="BP982" t="s">
        <v>74</v>
      </c>
      <c r="BQ982" t="s">
        <v>74</v>
      </c>
      <c r="BR982" t="s">
        <v>103</v>
      </c>
      <c r="BS982" t="s">
        <v>17134</v>
      </c>
      <c r="BT982" t="str">
        <f>HYPERLINK("https%3A%2F%2Fwww.webofscience.com%2Fwos%2Fwoscc%2Ffull-record%2FWOS:000283944800004","View Full Record in Web of Science")</f>
        <v>View Full Record in Web of Science</v>
      </c>
    </row>
    <row r="983" spans="1:72" x14ac:dyDescent="0.15">
      <c r="A983" t="s">
        <v>72</v>
      </c>
      <c r="B983" t="s">
        <v>17135</v>
      </c>
      <c r="C983" t="s">
        <v>74</v>
      </c>
      <c r="D983" t="s">
        <v>74</v>
      </c>
      <c r="E983" t="s">
        <v>74</v>
      </c>
      <c r="F983" t="s">
        <v>17136</v>
      </c>
      <c r="G983" t="s">
        <v>74</v>
      </c>
      <c r="H983" t="s">
        <v>74</v>
      </c>
      <c r="I983" t="s">
        <v>17137</v>
      </c>
      <c r="J983" t="s">
        <v>13500</v>
      </c>
      <c r="K983" t="s">
        <v>74</v>
      </c>
      <c r="L983" t="s">
        <v>74</v>
      </c>
      <c r="M983" t="s">
        <v>78</v>
      </c>
      <c r="N983" t="s">
        <v>79</v>
      </c>
      <c r="O983" t="s">
        <v>74</v>
      </c>
      <c r="P983" t="s">
        <v>74</v>
      </c>
      <c r="Q983" t="s">
        <v>74</v>
      </c>
      <c r="R983" t="s">
        <v>74</v>
      </c>
      <c r="S983" t="s">
        <v>74</v>
      </c>
      <c r="T983" t="s">
        <v>74</v>
      </c>
      <c r="U983" t="s">
        <v>17138</v>
      </c>
      <c r="V983" t="s">
        <v>17139</v>
      </c>
      <c r="W983" t="s">
        <v>17140</v>
      </c>
      <c r="X983" t="s">
        <v>17141</v>
      </c>
      <c r="Y983" t="s">
        <v>17142</v>
      </c>
      <c r="Z983" t="s">
        <v>17143</v>
      </c>
      <c r="AA983" t="s">
        <v>17144</v>
      </c>
      <c r="AB983" t="s">
        <v>17145</v>
      </c>
      <c r="AC983" t="s">
        <v>17146</v>
      </c>
      <c r="AD983" t="s">
        <v>17147</v>
      </c>
      <c r="AE983" t="s">
        <v>17148</v>
      </c>
      <c r="AF983" t="s">
        <v>74</v>
      </c>
      <c r="AG983">
        <v>68</v>
      </c>
      <c r="AH983">
        <v>43</v>
      </c>
      <c r="AI983">
        <v>51</v>
      </c>
      <c r="AJ983">
        <v>1</v>
      </c>
      <c r="AK983">
        <v>42</v>
      </c>
      <c r="AL983" t="s">
        <v>240</v>
      </c>
      <c r="AM983" t="s">
        <v>241</v>
      </c>
      <c r="AN983" t="s">
        <v>242</v>
      </c>
      <c r="AO983" t="s">
        <v>13511</v>
      </c>
      <c r="AP983" t="s">
        <v>13512</v>
      </c>
      <c r="AQ983" t="s">
        <v>74</v>
      </c>
      <c r="AR983" t="s">
        <v>13513</v>
      </c>
      <c r="AS983" t="s">
        <v>13514</v>
      </c>
      <c r="AT983" t="s">
        <v>17130</v>
      </c>
      <c r="AU983">
        <v>2010</v>
      </c>
      <c r="AV983">
        <v>115</v>
      </c>
      <c r="AW983" t="s">
        <v>74</v>
      </c>
      <c r="AX983" t="s">
        <v>74</v>
      </c>
      <c r="AY983" t="s">
        <v>74</v>
      </c>
      <c r="AZ983" t="s">
        <v>74</v>
      </c>
      <c r="BA983" t="s">
        <v>74</v>
      </c>
      <c r="BB983" t="s">
        <v>74</v>
      </c>
      <c r="BC983" t="s">
        <v>74</v>
      </c>
      <c r="BD983" t="s">
        <v>17149</v>
      </c>
      <c r="BE983" t="s">
        <v>17150</v>
      </c>
      <c r="BF983" t="str">
        <f>HYPERLINK("http://dx.doi.org/10.1029/2010JB007456","http://dx.doi.org/10.1029/2010JB007456")</f>
        <v>http://dx.doi.org/10.1029/2010JB007456</v>
      </c>
      <c r="BG983" t="s">
        <v>74</v>
      </c>
      <c r="BH983" t="s">
        <v>74</v>
      </c>
      <c r="BI983">
        <v>16</v>
      </c>
      <c r="BJ983" t="s">
        <v>774</v>
      </c>
      <c r="BK983" t="s">
        <v>100</v>
      </c>
      <c r="BL983" t="s">
        <v>774</v>
      </c>
      <c r="BM983" t="s">
        <v>17151</v>
      </c>
      <c r="BN983" t="s">
        <v>74</v>
      </c>
      <c r="BO983" t="s">
        <v>726</v>
      </c>
      <c r="BP983" t="s">
        <v>74</v>
      </c>
      <c r="BQ983" t="s">
        <v>74</v>
      </c>
      <c r="BR983" t="s">
        <v>103</v>
      </c>
      <c r="BS983" t="s">
        <v>17152</v>
      </c>
      <c r="BT983" t="str">
        <f>HYPERLINK("https%3A%2F%2Fwww.webofscience.com%2Fwos%2Fwoscc%2Ffull-record%2FWOS:000283948900002","View Full Record in Web of Science")</f>
        <v>View Full Record in Web of Science</v>
      </c>
    </row>
    <row r="984" spans="1:72" x14ac:dyDescent="0.15">
      <c r="A984" t="s">
        <v>72</v>
      </c>
      <c r="B984" t="s">
        <v>17153</v>
      </c>
      <c r="C984" t="s">
        <v>74</v>
      </c>
      <c r="D984" t="s">
        <v>74</v>
      </c>
      <c r="E984" t="s">
        <v>74</v>
      </c>
      <c r="F984" t="s">
        <v>17154</v>
      </c>
      <c r="G984" t="s">
        <v>74</v>
      </c>
      <c r="H984" t="s">
        <v>74</v>
      </c>
      <c r="I984" t="s">
        <v>17155</v>
      </c>
      <c r="J984" t="s">
        <v>1980</v>
      </c>
      <c r="K984" t="s">
        <v>74</v>
      </c>
      <c r="L984" t="s">
        <v>74</v>
      </c>
      <c r="M984" t="s">
        <v>78</v>
      </c>
      <c r="N984" t="s">
        <v>79</v>
      </c>
      <c r="O984" t="s">
        <v>74</v>
      </c>
      <c r="P984" t="s">
        <v>74</v>
      </c>
      <c r="Q984" t="s">
        <v>74</v>
      </c>
      <c r="R984" t="s">
        <v>74</v>
      </c>
      <c r="S984" t="s">
        <v>74</v>
      </c>
      <c r="T984" t="s">
        <v>74</v>
      </c>
      <c r="U984" t="s">
        <v>17156</v>
      </c>
      <c r="V984" t="s">
        <v>17157</v>
      </c>
      <c r="W984" t="s">
        <v>17158</v>
      </c>
      <c r="X984" t="s">
        <v>17159</v>
      </c>
      <c r="Y984" t="s">
        <v>17160</v>
      </c>
      <c r="Z984" t="s">
        <v>17161</v>
      </c>
      <c r="AA984" t="s">
        <v>17162</v>
      </c>
      <c r="AB984" t="s">
        <v>17163</v>
      </c>
      <c r="AC984" t="s">
        <v>17164</v>
      </c>
      <c r="AD984" t="s">
        <v>17165</v>
      </c>
      <c r="AE984" t="s">
        <v>17166</v>
      </c>
      <c r="AF984" t="s">
        <v>74</v>
      </c>
      <c r="AG984">
        <v>26</v>
      </c>
      <c r="AH984">
        <v>39</v>
      </c>
      <c r="AI984">
        <v>48</v>
      </c>
      <c r="AJ984">
        <v>1</v>
      </c>
      <c r="AK984">
        <v>22</v>
      </c>
      <c r="AL984" t="s">
        <v>240</v>
      </c>
      <c r="AM984" t="s">
        <v>241</v>
      </c>
      <c r="AN984" t="s">
        <v>242</v>
      </c>
      <c r="AO984" t="s">
        <v>1988</v>
      </c>
      <c r="AP984" t="s">
        <v>74</v>
      </c>
      <c r="AQ984" t="s">
        <v>74</v>
      </c>
      <c r="AR984" t="s">
        <v>1989</v>
      </c>
      <c r="AS984" t="s">
        <v>1990</v>
      </c>
      <c r="AT984" t="s">
        <v>17167</v>
      </c>
      <c r="AU984">
        <v>2010</v>
      </c>
      <c r="AV984">
        <v>37</v>
      </c>
      <c r="AW984" t="s">
        <v>74</v>
      </c>
      <c r="AX984" t="s">
        <v>74</v>
      </c>
      <c r="AY984" t="s">
        <v>74</v>
      </c>
      <c r="AZ984" t="s">
        <v>74</v>
      </c>
      <c r="BA984" t="s">
        <v>74</v>
      </c>
      <c r="BB984" t="s">
        <v>74</v>
      </c>
      <c r="BC984" t="s">
        <v>74</v>
      </c>
      <c r="BD984" t="s">
        <v>17168</v>
      </c>
      <c r="BE984" t="s">
        <v>17169</v>
      </c>
      <c r="BF984" t="str">
        <f>HYPERLINK("http://dx.doi.org/10.1029/2010GL044921","http://dx.doi.org/10.1029/2010GL044921")</f>
        <v>http://dx.doi.org/10.1029/2010GL044921</v>
      </c>
      <c r="BG984" t="s">
        <v>74</v>
      </c>
      <c r="BH984" t="s">
        <v>74</v>
      </c>
      <c r="BI984">
        <v>5</v>
      </c>
      <c r="BJ984" t="s">
        <v>396</v>
      </c>
      <c r="BK984" t="s">
        <v>100</v>
      </c>
      <c r="BL984" t="s">
        <v>397</v>
      </c>
      <c r="BM984" t="s">
        <v>17170</v>
      </c>
      <c r="BN984" t="s">
        <v>74</v>
      </c>
      <c r="BO984" t="s">
        <v>16653</v>
      </c>
      <c r="BP984" t="s">
        <v>74</v>
      </c>
      <c r="BQ984" t="s">
        <v>74</v>
      </c>
      <c r="BR984" t="s">
        <v>103</v>
      </c>
      <c r="BS984" t="s">
        <v>17171</v>
      </c>
      <c r="BT984" t="str">
        <f>HYPERLINK("https%3A%2F%2Fwww.webofscience.com%2Fwos%2Fwoscc%2Ffull-record%2FWOS:000283941700007","View Full Record in Web of Science")</f>
        <v>View Full Record in Web of Science</v>
      </c>
    </row>
    <row r="985" spans="1:72" x14ac:dyDescent="0.15">
      <c r="A985" t="s">
        <v>72</v>
      </c>
      <c r="B985" t="s">
        <v>17172</v>
      </c>
      <c r="C985" t="s">
        <v>74</v>
      </c>
      <c r="D985" t="s">
        <v>74</v>
      </c>
      <c r="E985" t="s">
        <v>74</v>
      </c>
      <c r="F985" t="s">
        <v>17173</v>
      </c>
      <c r="G985" t="s">
        <v>74</v>
      </c>
      <c r="H985" t="s">
        <v>74</v>
      </c>
      <c r="I985" t="s">
        <v>17174</v>
      </c>
      <c r="J985" t="s">
        <v>1649</v>
      </c>
      <c r="K985" t="s">
        <v>74</v>
      </c>
      <c r="L985" t="s">
        <v>74</v>
      </c>
      <c r="M985" t="s">
        <v>78</v>
      </c>
      <c r="N985" t="s">
        <v>79</v>
      </c>
      <c r="O985" t="s">
        <v>74</v>
      </c>
      <c r="P985" t="s">
        <v>74</v>
      </c>
      <c r="Q985" t="s">
        <v>74</v>
      </c>
      <c r="R985" t="s">
        <v>74</v>
      </c>
      <c r="S985" t="s">
        <v>74</v>
      </c>
      <c r="T985" t="s">
        <v>74</v>
      </c>
      <c r="U985" t="s">
        <v>17175</v>
      </c>
      <c r="V985" t="s">
        <v>17176</v>
      </c>
      <c r="W985" t="s">
        <v>17177</v>
      </c>
      <c r="X985" t="s">
        <v>17178</v>
      </c>
      <c r="Y985" t="s">
        <v>17179</v>
      </c>
      <c r="Z985" t="s">
        <v>17180</v>
      </c>
      <c r="AA985" t="s">
        <v>17181</v>
      </c>
      <c r="AB985" t="s">
        <v>17182</v>
      </c>
      <c r="AC985" t="s">
        <v>17183</v>
      </c>
      <c r="AD985" t="s">
        <v>17184</v>
      </c>
      <c r="AE985" t="s">
        <v>17185</v>
      </c>
      <c r="AF985" t="s">
        <v>74</v>
      </c>
      <c r="AG985">
        <v>99</v>
      </c>
      <c r="AH985">
        <v>51</v>
      </c>
      <c r="AI985">
        <v>58</v>
      </c>
      <c r="AJ985">
        <v>0</v>
      </c>
      <c r="AK985">
        <v>36</v>
      </c>
      <c r="AL985" t="s">
        <v>1661</v>
      </c>
      <c r="AM985" t="s">
        <v>1662</v>
      </c>
      <c r="AN985" t="s">
        <v>1760</v>
      </c>
      <c r="AO985" t="s">
        <v>1664</v>
      </c>
      <c r="AP985" t="s">
        <v>74</v>
      </c>
      <c r="AQ985" t="s">
        <v>74</v>
      </c>
      <c r="AR985" t="s">
        <v>1649</v>
      </c>
      <c r="AS985" t="s">
        <v>1665</v>
      </c>
      <c r="AT985" t="s">
        <v>17167</v>
      </c>
      <c r="AU985">
        <v>2010</v>
      </c>
      <c r="AV985">
        <v>5</v>
      </c>
      <c r="AW985">
        <v>11</v>
      </c>
      <c r="AX985" t="s">
        <v>74</v>
      </c>
      <c r="AY985" t="s">
        <v>74</v>
      </c>
      <c r="AZ985" t="s">
        <v>74</v>
      </c>
      <c r="BA985" t="s">
        <v>74</v>
      </c>
      <c r="BB985" t="s">
        <v>74</v>
      </c>
      <c r="BC985" t="s">
        <v>74</v>
      </c>
      <c r="BD985" t="s">
        <v>17186</v>
      </c>
      <c r="BE985" t="s">
        <v>17187</v>
      </c>
      <c r="BF985" t="str">
        <f>HYPERLINK("http://dx.doi.org/10.1371/journal.pone.0013816","http://dx.doi.org/10.1371/journal.pone.0013816")</f>
        <v>http://dx.doi.org/10.1371/journal.pone.0013816</v>
      </c>
      <c r="BG985" t="s">
        <v>74</v>
      </c>
      <c r="BH985" t="s">
        <v>74</v>
      </c>
      <c r="BI985">
        <v>14</v>
      </c>
      <c r="BJ985" t="s">
        <v>1669</v>
      </c>
      <c r="BK985" t="s">
        <v>100</v>
      </c>
      <c r="BL985" t="s">
        <v>1670</v>
      </c>
      <c r="BM985" t="s">
        <v>17188</v>
      </c>
      <c r="BN985">
        <v>21072199</v>
      </c>
      <c r="BO985" t="s">
        <v>1672</v>
      </c>
      <c r="BP985" t="s">
        <v>74</v>
      </c>
      <c r="BQ985" t="s">
        <v>74</v>
      </c>
      <c r="BR985" t="s">
        <v>103</v>
      </c>
      <c r="BS985" t="s">
        <v>17189</v>
      </c>
      <c r="BT985" t="str">
        <f>HYPERLINK("https%3A%2F%2Fwww.webofscience.com%2Fwos%2Fwoscc%2Ffull-record%2FWOS:000283780800014","View Full Record in Web of Science")</f>
        <v>View Full Record in Web of Science</v>
      </c>
    </row>
    <row r="986" spans="1:72" x14ac:dyDescent="0.15">
      <c r="A986" t="s">
        <v>72</v>
      </c>
      <c r="B986" t="s">
        <v>17190</v>
      </c>
      <c r="C986" t="s">
        <v>74</v>
      </c>
      <c r="D986" t="s">
        <v>74</v>
      </c>
      <c r="E986" t="s">
        <v>74</v>
      </c>
      <c r="F986" t="s">
        <v>17191</v>
      </c>
      <c r="G986" t="s">
        <v>74</v>
      </c>
      <c r="H986" t="s">
        <v>74</v>
      </c>
      <c r="I986" t="s">
        <v>17192</v>
      </c>
      <c r="J986" t="s">
        <v>17193</v>
      </c>
      <c r="K986" t="s">
        <v>74</v>
      </c>
      <c r="L986" t="s">
        <v>74</v>
      </c>
      <c r="M986" t="s">
        <v>78</v>
      </c>
      <c r="N986" t="s">
        <v>79</v>
      </c>
      <c r="O986" t="s">
        <v>74</v>
      </c>
      <c r="P986" t="s">
        <v>74</v>
      </c>
      <c r="Q986" t="s">
        <v>74</v>
      </c>
      <c r="R986" t="s">
        <v>74</v>
      </c>
      <c r="S986" t="s">
        <v>74</v>
      </c>
      <c r="T986" t="s">
        <v>17194</v>
      </c>
      <c r="U986" t="s">
        <v>17195</v>
      </c>
      <c r="V986" t="s">
        <v>17196</v>
      </c>
      <c r="W986" t="s">
        <v>17197</v>
      </c>
      <c r="X986" t="s">
        <v>631</v>
      </c>
      <c r="Y986" t="s">
        <v>17198</v>
      </c>
      <c r="Z986" t="s">
        <v>17199</v>
      </c>
      <c r="AA986" t="s">
        <v>17200</v>
      </c>
      <c r="AB986" t="s">
        <v>17201</v>
      </c>
      <c r="AC986" t="s">
        <v>17202</v>
      </c>
      <c r="AD986" t="s">
        <v>17202</v>
      </c>
      <c r="AE986" t="s">
        <v>17203</v>
      </c>
      <c r="AF986" t="s">
        <v>74</v>
      </c>
      <c r="AG986">
        <v>43</v>
      </c>
      <c r="AH986">
        <v>1</v>
      </c>
      <c r="AI986">
        <v>1</v>
      </c>
      <c r="AJ986">
        <v>0</v>
      </c>
      <c r="AK986">
        <v>4</v>
      </c>
      <c r="AL986" t="s">
        <v>17204</v>
      </c>
      <c r="AM986" t="s">
        <v>17205</v>
      </c>
      <c r="AN986" t="s">
        <v>17206</v>
      </c>
      <c r="AO986" t="s">
        <v>17207</v>
      </c>
      <c r="AP986" t="s">
        <v>74</v>
      </c>
      <c r="AQ986" t="s">
        <v>74</v>
      </c>
      <c r="AR986" t="s">
        <v>17208</v>
      </c>
      <c r="AS986" t="s">
        <v>17209</v>
      </c>
      <c r="AT986" t="s">
        <v>17210</v>
      </c>
      <c r="AU986">
        <v>2010</v>
      </c>
      <c r="AV986">
        <v>76</v>
      </c>
      <c r="AW986">
        <v>5</v>
      </c>
      <c r="AX986" t="s">
        <v>74</v>
      </c>
      <c r="AY986" t="s">
        <v>74</v>
      </c>
      <c r="AZ986" t="s">
        <v>74</v>
      </c>
      <c r="BA986" t="s">
        <v>74</v>
      </c>
      <c r="BB986">
        <v>468</v>
      </c>
      <c r="BC986">
        <v>478</v>
      </c>
      <c r="BD986" t="s">
        <v>74</v>
      </c>
      <c r="BE986" t="s">
        <v>17211</v>
      </c>
      <c r="BF986" t="str">
        <f>HYPERLINK("http://dx.doi.org/10.1007/s12594-010-0125-6","http://dx.doi.org/10.1007/s12594-010-0125-6")</f>
        <v>http://dx.doi.org/10.1007/s12594-010-0125-6</v>
      </c>
      <c r="BG986" t="s">
        <v>74</v>
      </c>
      <c r="BH986" t="s">
        <v>74</v>
      </c>
      <c r="BI986">
        <v>11</v>
      </c>
      <c r="BJ986" t="s">
        <v>396</v>
      </c>
      <c r="BK986" t="s">
        <v>100</v>
      </c>
      <c r="BL986" t="s">
        <v>397</v>
      </c>
      <c r="BM986" t="s">
        <v>17212</v>
      </c>
      <c r="BN986" t="s">
        <v>74</v>
      </c>
      <c r="BO986" t="s">
        <v>74</v>
      </c>
      <c r="BP986" t="s">
        <v>74</v>
      </c>
      <c r="BQ986" t="s">
        <v>74</v>
      </c>
      <c r="BR986" t="s">
        <v>103</v>
      </c>
      <c r="BS986" t="s">
        <v>17213</v>
      </c>
      <c r="BT986" t="str">
        <f>HYPERLINK("https%3A%2F%2Fwww.webofscience.com%2Fwos%2Fwoscc%2Ffull-record%2FWOS:000295316900004","View Full Record in Web of Science")</f>
        <v>View Full Record in Web of Science</v>
      </c>
    </row>
    <row r="987" spans="1:72" x14ac:dyDescent="0.15">
      <c r="A987" t="s">
        <v>72</v>
      </c>
      <c r="B987" t="s">
        <v>17214</v>
      </c>
      <c r="C987" t="s">
        <v>74</v>
      </c>
      <c r="D987" t="s">
        <v>74</v>
      </c>
      <c r="E987" t="s">
        <v>74</v>
      </c>
      <c r="F987" t="s">
        <v>17215</v>
      </c>
      <c r="G987" t="s">
        <v>74</v>
      </c>
      <c r="H987" t="s">
        <v>74</v>
      </c>
      <c r="I987" t="s">
        <v>17216</v>
      </c>
      <c r="J987" t="s">
        <v>17217</v>
      </c>
      <c r="K987" t="s">
        <v>74</v>
      </c>
      <c r="L987" t="s">
        <v>74</v>
      </c>
      <c r="M987" t="s">
        <v>78</v>
      </c>
      <c r="N987" t="s">
        <v>79</v>
      </c>
      <c r="O987" t="s">
        <v>74</v>
      </c>
      <c r="P987" t="s">
        <v>74</v>
      </c>
      <c r="Q987" t="s">
        <v>74</v>
      </c>
      <c r="R987" t="s">
        <v>74</v>
      </c>
      <c r="S987" t="s">
        <v>74</v>
      </c>
      <c r="T987" t="s">
        <v>74</v>
      </c>
      <c r="U987" t="s">
        <v>17218</v>
      </c>
      <c r="V987" t="s">
        <v>17219</v>
      </c>
      <c r="W987" t="s">
        <v>17220</v>
      </c>
      <c r="X987" t="s">
        <v>17221</v>
      </c>
      <c r="Y987" t="s">
        <v>17222</v>
      </c>
      <c r="Z987" t="s">
        <v>17223</v>
      </c>
      <c r="AA987" t="s">
        <v>17224</v>
      </c>
      <c r="AB987" t="s">
        <v>17225</v>
      </c>
      <c r="AC987" t="s">
        <v>17226</v>
      </c>
      <c r="AD987" t="s">
        <v>17227</v>
      </c>
      <c r="AE987" t="s">
        <v>17228</v>
      </c>
      <c r="AF987" t="s">
        <v>74</v>
      </c>
      <c r="AG987">
        <v>64</v>
      </c>
      <c r="AH987">
        <v>17</v>
      </c>
      <c r="AI987">
        <v>20</v>
      </c>
      <c r="AJ987">
        <v>1</v>
      </c>
      <c r="AK987">
        <v>24</v>
      </c>
      <c r="AL987" t="s">
        <v>17229</v>
      </c>
      <c r="AM987" t="s">
        <v>5657</v>
      </c>
      <c r="AN987" t="s">
        <v>17230</v>
      </c>
      <c r="AO987" t="s">
        <v>17231</v>
      </c>
      <c r="AP987" t="s">
        <v>17232</v>
      </c>
      <c r="AQ987" t="s">
        <v>74</v>
      </c>
      <c r="AR987" t="s">
        <v>17233</v>
      </c>
      <c r="AS987" t="s">
        <v>17234</v>
      </c>
      <c r="AT987" t="s">
        <v>17210</v>
      </c>
      <c r="AU987">
        <v>2010</v>
      </c>
      <c r="AV987">
        <v>68</v>
      </c>
      <c r="AW987">
        <v>6</v>
      </c>
      <c r="AX987" t="s">
        <v>74</v>
      </c>
      <c r="AY987" t="s">
        <v>74</v>
      </c>
      <c r="AZ987" t="s">
        <v>74</v>
      </c>
      <c r="BA987" t="s">
        <v>74</v>
      </c>
      <c r="BB987">
        <v>819</v>
      </c>
      <c r="BC987">
        <v>850</v>
      </c>
      <c r="BD987" t="s">
        <v>74</v>
      </c>
      <c r="BE987" t="s">
        <v>17235</v>
      </c>
      <c r="BF987" t="str">
        <f>HYPERLINK("http://dx.doi.org/10.1357/002224010796673858","http://dx.doi.org/10.1357/002224010796673858")</f>
        <v>http://dx.doi.org/10.1357/002224010796673858</v>
      </c>
      <c r="BG987" t="s">
        <v>74</v>
      </c>
      <c r="BH987" t="s">
        <v>74</v>
      </c>
      <c r="BI987">
        <v>32</v>
      </c>
      <c r="BJ987" t="s">
        <v>250</v>
      </c>
      <c r="BK987" t="s">
        <v>100</v>
      </c>
      <c r="BL987" t="s">
        <v>250</v>
      </c>
      <c r="BM987" t="s">
        <v>17236</v>
      </c>
      <c r="BN987" t="s">
        <v>74</v>
      </c>
      <c r="BO987" t="s">
        <v>726</v>
      </c>
      <c r="BP987" t="s">
        <v>74</v>
      </c>
      <c r="BQ987" t="s">
        <v>74</v>
      </c>
      <c r="BR987" t="s">
        <v>103</v>
      </c>
      <c r="BS987" t="s">
        <v>17237</v>
      </c>
      <c r="BT987" t="str">
        <f>HYPERLINK("https%3A%2F%2Fwww.webofscience.com%2Fwos%2Fwoscc%2Ffull-record%2FWOS:000293769100003","View Full Record in Web of Science")</f>
        <v>View Full Record in Web of Science</v>
      </c>
    </row>
    <row r="988" spans="1:72" x14ac:dyDescent="0.15">
      <c r="A988" t="s">
        <v>72</v>
      </c>
      <c r="B988" t="s">
        <v>17238</v>
      </c>
      <c r="C988" t="s">
        <v>74</v>
      </c>
      <c r="D988" t="s">
        <v>74</v>
      </c>
      <c r="E988" t="s">
        <v>74</v>
      </c>
      <c r="F988" t="s">
        <v>17239</v>
      </c>
      <c r="G988" t="s">
        <v>74</v>
      </c>
      <c r="H988" t="s">
        <v>74</v>
      </c>
      <c r="I988" t="s">
        <v>17240</v>
      </c>
      <c r="J988" t="s">
        <v>17241</v>
      </c>
      <c r="K988" t="s">
        <v>74</v>
      </c>
      <c r="L988" t="s">
        <v>74</v>
      </c>
      <c r="M988" t="s">
        <v>78</v>
      </c>
      <c r="N988" t="s">
        <v>79</v>
      </c>
      <c r="O988" t="s">
        <v>74</v>
      </c>
      <c r="P988" t="s">
        <v>74</v>
      </c>
      <c r="Q988" t="s">
        <v>74</v>
      </c>
      <c r="R988" t="s">
        <v>74</v>
      </c>
      <c r="S988" t="s">
        <v>74</v>
      </c>
      <c r="T988" t="s">
        <v>17242</v>
      </c>
      <c r="U988" t="s">
        <v>17243</v>
      </c>
      <c r="V988" t="s">
        <v>17244</v>
      </c>
      <c r="W988" t="s">
        <v>17245</v>
      </c>
      <c r="X988" t="s">
        <v>17246</v>
      </c>
      <c r="Y988" t="s">
        <v>17247</v>
      </c>
      <c r="Z988" t="s">
        <v>17248</v>
      </c>
      <c r="AA988" t="s">
        <v>74</v>
      </c>
      <c r="AB988" t="s">
        <v>74</v>
      </c>
      <c r="AC988" t="s">
        <v>17249</v>
      </c>
      <c r="AD988" t="s">
        <v>17250</v>
      </c>
      <c r="AE988" t="s">
        <v>17251</v>
      </c>
      <c r="AF988" t="s">
        <v>74</v>
      </c>
      <c r="AG988">
        <v>54</v>
      </c>
      <c r="AH988">
        <v>2</v>
      </c>
      <c r="AI988">
        <v>3</v>
      </c>
      <c r="AJ988">
        <v>1</v>
      </c>
      <c r="AK988">
        <v>5</v>
      </c>
      <c r="AL988" t="s">
        <v>214</v>
      </c>
      <c r="AM988" t="s">
        <v>215</v>
      </c>
      <c r="AN988" t="s">
        <v>216</v>
      </c>
      <c r="AO988" t="s">
        <v>17252</v>
      </c>
      <c r="AP988" t="s">
        <v>17253</v>
      </c>
      <c r="AQ988" t="s">
        <v>74</v>
      </c>
      <c r="AR988" t="s">
        <v>17241</v>
      </c>
      <c r="AS988" t="s">
        <v>5596</v>
      </c>
      <c r="AT988" t="s">
        <v>17210</v>
      </c>
      <c r="AU988">
        <v>2010</v>
      </c>
      <c r="AV988">
        <v>53</v>
      </c>
      <c r="AW988" t="s">
        <v>74</v>
      </c>
      <c r="AX988">
        <v>6</v>
      </c>
      <c r="AY988" t="s">
        <v>74</v>
      </c>
      <c r="AZ988" t="s">
        <v>74</v>
      </c>
      <c r="BA988" t="s">
        <v>74</v>
      </c>
      <c r="BB988">
        <v>1269</v>
      </c>
      <c r="BC988">
        <v>1280</v>
      </c>
      <c r="BD988" t="s">
        <v>74</v>
      </c>
      <c r="BE988" t="s">
        <v>17254</v>
      </c>
      <c r="BF988" t="str">
        <f>HYPERLINK("http://dx.doi.org/10.1111/j.1475-4983.2010.01016.x","http://dx.doi.org/10.1111/j.1475-4983.2010.01016.x")</f>
        <v>http://dx.doi.org/10.1111/j.1475-4983.2010.01016.x</v>
      </c>
      <c r="BG988" t="s">
        <v>74</v>
      </c>
      <c r="BH988" t="s">
        <v>74</v>
      </c>
      <c r="BI988">
        <v>12</v>
      </c>
      <c r="BJ988" t="s">
        <v>5596</v>
      </c>
      <c r="BK988" t="s">
        <v>100</v>
      </c>
      <c r="BL988" t="s">
        <v>5596</v>
      </c>
      <c r="BM988" t="s">
        <v>17255</v>
      </c>
      <c r="BN988" t="s">
        <v>74</v>
      </c>
      <c r="BO988" t="s">
        <v>252</v>
      </c>
      <c r="BP988" t="s">
        <v>74</v>
      </c>
      <c r="BQ988" t="s">
        <v>74</v>
      </c>
      <c r="BR988" t="s">
        <v>103</v>
      </c>
      <c r="BS988" t="s">
        <v>17256</v>
      </c>
      <c r="BT988" t="str">
        <f>HYPERLINK("https%3A%2F%2Fwww.webofscience.com%2Fwos%2Fwoscc%2Ffull-record%2FWOS:000284320600006","View Full Record in Web of Science")</f>
        <v>View Full Record in Web of Science</v>
      </c>
    </row>
    <row r="989" spans="1:72" x14ac:dyDescent="0.15">
      <c r="A989" t="s">
        <v>72</v>
      </c>
      <c r="B989" t="s">
        <v>17257</v>
      </c>
      <c r="C989" t="s">
        <v>74</v>
      </c>
      <c r="D989" t="s">
        <v>74</v>
      </c>
      <c r="E989" t="s">
        <v>74</v>
      </c>
      <c r="F989" t="s">
        <v>17258</v>
      </c>
      <c r="G989" t="s">
        <v>74</v>
      </c>
      <c r="H989" t="s">
        <v>74</v>
      </c>
      <c r="I989" t="s">
        <v>17259</v>
      </c>
      <c r="J989" t="s">
        <v>17260</v>
      </c>
      <c r="K989" t="s">
        <v>74</v>
      </c>
      <c r="L989" t="s">
        <v>74</v>
      </c>
      <c r="M989" t="s">
        <v>78</v>
      </c>
      <c r="N989" t="s">
        <v>52</v>
      </c>
      <c r="O989" t="s">
        <v>17261</v>
      </c>
      <c r="P989" t="s">
        <v>17262</v>
      </c>
      <c r="Q989" t="s">
        <v>17263</v>
      </c>
      <c r="R989" t="s">
        <v>74</v>
      </c>
      <c r="S989" t="s">
        <v>74</v>
      </c>
      <c r="T989" t="s">
        <v>17264</v>
      </c>
      <c r="U989" t="s">
        <v>74</v>
      </c>
      <c r="V989" t="s">
        <v>74</v>
      </c>
      <c r="W989" t="s">
        <v>17265</v>
      </c>
      <c r="X989" t="s">
        <v>17266</v>
      </c>
      <c r="Y989" t="s">
        <v>74</v>
      </c>
      <c r="Z989" t="s">
        <v>74</v>
      </c>
      <c r="AA989" t="s">
        <v>17267</v>
      </c>
      <c r="AB989" t="s">
        <v>17268</v>
      </c>
      <c r="AC989" t="s">
        <v>74</v>
      </c>
      <c r="AD989" t="s">
        <v>74</v>
      </c>
      <c r="AE989" t="s">
        <v>74</v>
      </c>
      <c r="AF989" t="s">
        <v>74</v>
      </c>
      <c r="AG989">
        <v>0</v>
      </c>
      <c r="AH989">
        <v>0</v>
      </c>
      <c r="AI989">
        <v>0</v>
      </c>
      <c r="AJ989">
        <v>0</v>
      </c>
      <c r="AK989">
        <v>3</v>
      </c>
      <c r="AL989" t="s">
        <v>639</v>
      </c>
      <c r="AM989" t="s">
        <v>640</v>
      </c>
      <c r="AN989" t="s">
        <v>641</v>
      </c>
      <c r="AO989" t="s">
        <v>17269</v>
      </c>
      <c r="AP989" t="s">
        <v>74</v>
      </c>
      <c r="AQ989" t="s">
        <v>74</v>
      </c>
      <c r="AR989" t="s">
        <v>17270</v>
      </c>
      <c r="AS989" t="s">
        <v>17271</v>
      </c>
      <c r="AT989" t="s">
        <v>17210</v>
      </c>
      <c r="AU989">
        <v>2010</v>
      </c>
      <c r="AV989">
        <v>150</v>
      </c>
      <c r="AW989" t="s">
        <v>74</v>
      </c>
      <c r="AX989" t="s">
        <v>74</v>
      </c>
      <c r="AY989">
        <v>1</v>
      </c>
      <c r="AZ989" t="s">
        <v>74</v>
      </c>
      <c r="BA989" t="s">
        <v>74</v>
      </c>
      <c r="BB989" t="s">
        <v>17272</v>
      </c>
      <c r="BC989" t="s">
        <v>17273</v>
      </c>
      <c r="BD989" t="s">
        <v>74</v>
      </c>
      <c r="BE989" t="s">
        <v>17274</v>
      </c>
      <c r="BF989" t="str">
        <f>HYPERLINK("http://dx.doi.org/10.1016/j.jbiotec.2010.08.265","http://dx.doi.org/10.1016/j.jbiotec.2010.08.265")</f>
        <v>http://dx.doi.org/10.1016/j.jbiotec.2010.08.265</v>
      </c>
      <c r="BG989" t="s">
        <v>74</v>
      </c>
      <c r="BH989" t="s">
        <v>74</v>
      </c>
      <c r="BI989">
        <v>2</v>
      </c>
      <c r="BJ989" t="s">
        <v>302</v>
      </c>
      <c r="BK989" t="s">
        <v>2022</v>
      </c>
      <c r="BL989" t="s">
        <v>302</v>
      </c>
      <c r="BM989" t="s">
        <v>17275</v>
      </c>
      <c r="BN989" t="s">
        <v>74</v>
      </c>
      <c r="BO989" t="s">
        <v>74</v>
      </c>
      <c r="BP989" t="s">
        <v>74</v>
      </c>
      <c r="BQ989" t="s">
        <v>74</v>
      </c>
      <c r="BR989" t="s">
        <v>103</v>
      </c>
      <c r="BS989" t="s">
        <v>17276</v>
      </c>
      <c r="BT989" t="str">
        <f>HYPERLINK("https%3A%2F%2Fwww.webofscience.com%2Fwos%2Fwoscc%2Ffull-record%2FWOS:000288873400248","View Full Record in Web of Science")</f>
        <v>View Full Record in Web of Science</v>
      </c>
    </row>
    <row r="990" spans="1:72" x14ac:dyDescent="0.15">
      <c r="A990" t="s">
        <v>72</v>
      </c>
      <c r="B990" t="s">
        <v>17277</v>
      </c>
      <c r="C990" t="s">
        <v>74</v>
      </c>
      <c r="D990" t="s">
        <v>74</v>
      </c>
      <c r="E990" t="s">
        <v>74</v>
      </c>
      <c r="F990" t="s">
        <v>17278</v>
      </c>
      <c r="G990" t="s">
        <v>74</v>
      </c>
      <c r="H990" t="s">
        <v>74</v>
      </c>
      <c r="I990" t="s">
        <v>17279</v>
      </c>
      <c r="J990" t="s">
        <v>17280</v>
      </c>
      <c r="K990" t="s">
        <v>74</v>
      </c>
      <c r="L990" t="s">
        <v>74</v>
      </c>
      <c r="M990" t="s">
        <v>17281</v>
      </c>
      <c r="N990" t="s">
        <v>79</v>
      </c>
      <c r="O990" t="s">
        <v>74</v>
      </c>
      <c r="P990" t="s">
        <v>74</v>
      </c>
      <c r="Q990" t="s">
        <v>74</v>
      </c>
      <c r="R990" t="s">
        <v>74</v>
      </c>
      <c r="S990" t="s">
        <v>74</v>
      </c>
      <c r="T990" t="s">
        <v>74</v>
      </c>
      <c r="U990" t="s">
        <v>17282</v>
      </c>
      <c r="V990" t="s">
        <v>74</v>
      </c>
      <c r="W990" t="s">
        <v>17283</v>
      </c>
      <c r="X990" t="s">
        <v>17284</v>
      </c>
      <c r="Y990" t="s">
        <v>17285</v>
      </c>
      <c r="Z990" t="s">
        <v>17286</v>
      </c>
      <c r="AA990" t="s">
        <v>17287</v>
      </c>
      <c r="AB990" t="s">
        <v>74</v>
      </c>
      <c r="AC990" t="s">
        <v>74</v>
      </c>
      <c r="AD990" t="s">
        <v>74</v>
      </c>
      <c r="AE990" t="s">
        <v>74</v>
      </c>
      <c r="AF990" t="s">
        <v>74</v>
      </c>
      <c r="AG990">
        <v>10</v>
      </c>
      <c r="AH990">
        <v>0</v>
      </c>
      <c r="AI990">
        <v>0</v>
      </c>
      <c r="AJ990">
        <v>0</v>
      </c>
      <c r="AK990">
        <v>5</v>
      </c>
      <c r="AL990" t="s">
        <v>17288</v>
      </c>
      <c r="AM990" t="s">
        <v>8698</v>
      </c>
      <c r="AN990" t="s">
        <v>17289</v>
      </c>
      <c r="AO990" t="s">
        <v>17290</v>
      </c>
      <c r="AP990" t="s">
        <v>74</v>
      </c>
      <c r="AQ990" t="s">
        <v>74</v>
      </c>
      <c r="AR990" t="s">
        <v>17291</v>
      </c>
      <c r="AS990" t="s">
        <v>17292</v>
      </c>
      <c r="AT990" t="s">
        <v>17210</v>
      </c>
      <c r="AU990">
        <v>2010</v>
      </c>
      <c r="AV990">
        <v>76</v>
      </c>
      <c r="AW990">
        <v>6</v>
      </c>
      <c r="AX990" t="s">
        <v>74</v>
      </c>
      <c r="AY990" t="s">
        <v>74</v>
      </c>
      <c r="AZ990" t="s">
        <v>74</v>
      </c>
      <c r="BA990" t="s">
        <v>74</v>
      </c>
      <c r="BB990">
        <v>1080</v>
      </c>
      <c r="BC990">
        <v>1082</v>
      </c>
      <c r="BD990" t="s">
        <v>74</v>
      </c>
      <c r="BE990" t="s">
        <v>17293</v>
      </c>
      <c r="BF990" t="str">
        <f>HYPERLINK("http://dx.doi.org/10.2331/suisan.76.1080","http://dx.doi.org/10.2331/suisan.76.1080")</f>
        <v>http://dx.doi.org/10.2331/suisan.76.1080</v>
      </c>
      <c r="BG990" t="s">
        <v>74</v>
      </c>
      <c r="BH990" t="s">
        <v>74</v>
      </c>
      <c r="BI990">
        <v>3</v>
      </c>
      <c r="BJ990" t="s">
        <v>4842</v>
      </c>
      <c r="BK990" t="s">
        <v>100</v>
      </c>
      <c r="BL990" t="s">
        <v>4842</v>
      </c>
      <c r="BM990" t="s">
        <v>17294</v>
      </c>
      <c r="BN990" t="s">
        <v>74</v>
      </c>
      <c r="BO990" t="s">
        <v>252</v>
      </c>
      <c r="BP990" t="s">
        <v>74</v>
      </c>
      <c r="BQ990" t="s">
        <v>74</v>
      </c>
      <c r="BR990" t="s">
        <v>103</v>
      </c>
      <c r="BS990" t="s">
        <v>17295</v>
      </c>
      <c r="BT990" t="str">
        <f>HYPERLINK("https%3A%2F%2Fwww.webofscience.com%2Fwos%2Fwoscc%2Ffull-record%2FWOS:000286361500008","View Full Record in Web of Science")</f>
        <v>View Full Record in Web of Science</v>
      </c>
    </row>
    <row r="991" spans="1:72" x14ac:dyDescent="0.15">
      <c r="A991" t="s">
        <v>72</v>
      </c>
      <c r="B991" t="s">
        <v>17296</v>
      </c>
      <c r="C991" t="s">
        <v>74</v>
      </c>
      <c r="D991" t="s">
        <v>74</v>
      </c>
      <c r="E991" t="s">
        <v>74</v>
      </c>
      <c r="F991" t="s">
        <v>17297</v>
      </c>
      <c r="G991" t="s">
        <v>74</v>
      </c>
      <c r="H991" t="s">
        <v>74</v>
      </c>
      <c r="I991" t="s">
        <v>17298</v>
      </c>
      <c r="J991" t="s">
        <v>17299</v>
      </c>
      <c r="K991" t="s">
        <v>74</v>
      </c>
      <c r="L991" t="s">
        <v>74</v>
      </c>
      <c r="M991" t="s">
        <v>78</v>
      </c>
      <c r="N991" t="s">
        <v>79</v>
      </c>
      <c r="O991" t="s">
        <v>74</v>
      </c>
      <c r="P991" t="s">
        <v>74</v>
      </c>
      <c r="Q991" t="s">
        <v>74</v>
      </c>
      <c r="R991" t="s">
        <v>74</v>
      </c>
      <c r="S991" t="s">
        <v>74</v>
      </c>
      <c r="T991" t="s">
        <v>17300</v>
      </c>
      <c r="U991" t="s">
        <v>17301</v>
      </c>
      <c r="V991" t="s">
        <v>17302</v>
      </c>
      <c r="W991" t="s">
        <v>17303</v>
      </c>
      <c r="X991" t="s">
        <v>17304</v>
      </c>
      <c r="Y991" t="s">
        <v>17305</v>
      </c>
      <c r="Z991" t="s">
        <v>17306</v>
      </c>
      <c r="AA991" t="s">
        <v>17307</v>
      </c>
      <c r="AB991" t="s">
        <v>17308</v>
      </c>
      <c r="AC991" t="s">
        <v>17309</v>
      </c>
      <c r="AD991" t="s">
        <v>17310</v>
      </c>
      <c r="AE991" t="s">
        <v>17311</v>
      </c>
      <c r="AF991" t="s">
        <v>74</v>
      </c>
      <c r="AG991">
        <v>36</v>
      </c>
      <c r="AH991">
        <v>9</v>
      </c>
      <c r="AI991">
        <v>9</v>
      </c>
      <c r="AJ991">
        <v>0</v>
      </c>
      <c r="AK991">
        <v>5</v>
      </c>
      <c r="AL991" t="s">
        <v>5460</v>
      </c>
      <c r="AM991" t="s">
        <v>5461</v>
      </c>
      <c r="AN991" t="s">
        <v>5462</v>
      </c>
      <c r="AO991" t="s">
        <v>17312</v>
      </c>
      <c r="AP991" t="s">
        <v>74</v>
      </c>
      <c r="AQ991" t="s">
        <v>74</v>
      </c>
      <c r="AR991" t="s">
        <v>17313</v>
      </c>
      <c r="AS991" t="s">
        <v>17314</v>
      </c>
      <c r="AT991" t="s">
        <v>17210</v>
      </c>
      <c r="AU991">
        <v>2010</v>
      </c>
      <c r="AV991">
        <v>66</v>
      </c>
      <c r="AW991" t="s">
        <v>74</v>
      </c>
      <c r="AX991">
        <v>11</v>
      </c>
      <c r="AY991" t="s">
        <v>74</v>
      </c>
      <c r="AZ991" t="s">
        <v>74</v>
      </c>
      <c r="BA991" t="s">
        <v>74</v>
      </c>
      <c r="BB991">
        <v>1536</v>
      </c>
      <c r="BC991">
        <v>1540</v>
      </c>
      <c r="BD991" t="s">
        <v>74</v>
      </c>
      <c r="BE991" t="s">
        <v>17315</v>
      </c>
      <c r="BF991" t="str">
        <f>HYPERLINK("http://dx.doi.org/10.1107/S1744309110038698","http://dx.doi.org/10.1107/S1744309110038698")</f>
        <v>http://dx.doi.org/10.1107/S1744309110038698</v>
      </c>
      <c r="BG991" t="s">
        <v>74</v>
      </c>
      <c r="BH991" t="s">
        <v>74</v>
      </c>
      <c r="BI991">
        <v>5</v>
      </c>
      <c r="BJ991" t="s">
        <v>17316</v>
      </c>
      <c r="BK991" t="s">
        <v>100</v>
      </c>
      <c r="BL991" t="s">
        <v>17317</v>
      </c>
      <c r="BM991" t="s">
        <v>17318</v>
      </c>
      <c r="BN991">
        <v>21045316</v>
      </c>
      <c r="BO991" t="s">
        <v>726</v>
      </c>
      <c r="BP991" t="s">
        <v>74</v>
      </c>
      <c r="BQ991" t="s">
        <v>74</v>
      </c>
      <c r="BR991" t="s">
        <v>103</v>
      </c>
      <c r="BS991" t="s">
        <v>17319</v>
      </c>
      <c r="BT991" t="str">
        <f>HYPERLINK("https%3A%2F%2Fwww.webofscience.com%2Fwos%2Fwoscc%2Ffull-record%2FWOS:000283714100034","View Full Record in Web of Science")</f>
        <v>View Full Record in Web of Science</v>
      </c>
    </row>
    <row r="992" spans="1:72" x14ac:dyDescent="0.15">
      <c r="A992" t="s">
        <v>72</v>
      </c>
      <c r="B992" t="s">
        <v>17320</v>
      </c>
      <c r="C992" t="s">
        <v>74</v>
      </c>
      <c r="D992" t="s">
        <v>74</v>
      </c>
      <c r="E992" t="s">
        <v>74</v>
      </c>
      <c r="F992" t="s">
        <v>17321</v>
      </c>
      <c r="G992" t="s">
        <v>74</v>
      </c>
      <c r="H992" t="s">
        <v>74</v>
      </c>
      <c r="I992" t="s">
        <v>17322</v>
      </c>
      <c r="J992" t="s">
        <v>17323</v>
      </c>
      <c r="K992" t="s">
        <v>74</v>
      </c>
      <c r="L992" t="s">
        <v>74</v>
      </c>
      <c r="M992" t="s">
        <v>78</v>
      </c>
      <c r="N992" t="s">
        <v>79</v>
      </c>
      <c r="O992" t="s">
        <v>74</v>
      </c>
      <c r="P992" t="s">
        <v>74</v>
      </c>
      <c r="Q992" t="s">
        <v>74</v>
      </c>
      <c r="R992" t="s">
        <v>74</v>
      </c>
      <c r="S992" t="s">
        <v>74</v>
      </c>
      <c r="T992" t="s">
        <v>17324</v>
      </c>
      <c r="U992" t="s">
        <v>17325</v>
      </c>
      <c r="V992" t="s">
        <v>17326</v>
      </c>
      <c r="W992" t="s">
        <v>17327</v>
      </c>
      <c r="X992" t="s">
        <v>17328</v>
      </c>
      <c r="Y992" t="s">
        <v>17329</v>
      </c>
      <c r="Z992" t="s">
        <v>17330</v>
      </c>
      <c r="AA992" t="s">
        <v>74</v>
      </c>
      <c r="AB992" t="s">
        <v>74</v>
      </c>
      <c r="AC992" t="s">
        <v>17331</v>
      </c>
      <c r="AD992" t="s">
        <v>17332</v>
      </c>
      <c r="AE992" t="s">
        <v>17333</v>
      </c>
      <c r="AF992" t="s">
        <v>74</v>
      </c>
      <c r="AG992">
        <v>23</v>
      </c>
      <c r="AH992">
        <v>4</v>
      </c>
      <c r="AI992">
        <v>4</v>
      </c>
      <c r="AJ992">
        <v>0</v>
      </c>
      <c r="AK992">
        <v>14</v>
      </c>
      <c r="AL992" t="s">
        <v>270</v>
      </c>
      <c r="AM992" t="s">
        <v>91</v>
      </c>
      <c r="AN992" t="s">
        <v>320</v>
      </c>
      <c r="AO992" t="s">
        <v>17334</v>
      </c>
      <c r="AP992" t="s">
        <v>74</v>
      </c>
      <c r="AQ992" t="s">
        <v>74</v>
      </c>
      <c r="AR992" t="s">
        <v>17335</v>
      </c>
      <c r="AS992" t="s">
        <v>17336</v>
      </c>
      <c r="AT992" t="s">
        <v>17210</v>
      </c>
      <c r="AU992">
        <v>2010</v>
      </c>
      <c r="AV992">
        <v>29</v>
      </c>
      <c r="AW992">
        <v>6</v>
      </c>
      <c r="AX992" t="s">
        <v>74</v>
      </c>
      <c r="AY992" t="s">
        <v>74</v>
      </c>
      <c r="AZ992" t="s">
        <v>74</v>
      </c>
      <c r="BA992" t="s">
        <v>74</v>
      </c>
      <c r="BB992">
        <v>26</v>
      </c>
      <c r="BC992">
        <v>34</v>
      </c>
      <c r="BD992" t="s">
        <v>74</v>
      </c>
      <c r="BE992" t="s">
        <v>17337</v>
      </c>
      <c r="BF992" t="str">
        <f>HYPERLINK("http://dx.doi.org/10.1007/s13131-010-0073-4","http://dx.doi.org/10.1007/s13131-010-0073-4")</f>
        <v>http://dx.doi.org/10.1007/s13131-010-0073-4</v>
      </c>
      <c r="BG992" t="s">
        <v>74</v>
      </c>
      <c r="BH992" t="s">
        <v>74</v>
      </c>
      <c r="BI992">
        <v>9</v>
      </c>
      <c r="BJ992" t="s">
        <v>250</v>
      </c>
      <c r="BK992" t="s">
        <v>100</v>
      </c>
      <c r="BL992" t="s">
        <v>250</v>
      </c>
      <c r="BM992" t="s">
        <v>17338</v>
      </c>
      <c r="BN992" t="s">
        <v>74</v>
      </c>
      <c r="BO992" t="s">
        <v>74</v>
      </c>
      <c r="BP992" t="s">
        <v>74</v>
      </c>
      <c r="BQ992" t="s">
        <v>74</v>
      </c>
      <c r="BR992" t="s">
        <v>103</v>
      </c>
      <c r="BS992" t="s">
        <v>17339</v>
      </c>
      <c r="BT992" t="str">
        <f>HYPERLINK("https%3A%2F%2Fwww.webofscience.com%2Fwos%2Fwoscc%2Ffull-record%2FWOS:000286790100003","View Full Record in Web of Science")</f>
        <v>View Full Record in Web of Science</v>
      </c>
    </row>
    <row r="993" spans="1:72" x14ac:dyDescent="0.15">
      <c r="A993" t="s">
        <v>72</v>
      </c>
      <c r="B993" t="s">
        <v>17340</v>
      </c>
      <c r="C993" t="s">
        <v>74</v>
      </c>
      <c r="D993" t="s">
        <v>74</v>
      </c>
      <c r="E993" t="s">
        <v>74</v>
      </c>
      <c r="F993" t="s">
        <v>17341</v>
      </c>
      <c r="G993" t="s">
        <v>74</v>
      </c>
      <c r="H993" t="s">
        <v>74</v>
      </c>
      <c r="I993" t="s">
        <v>17342</v>
      </c>
      <c r="J993" t="s">
        <v>17343</v>
      </c>
      <c r="K993" t="s">
        <v>74</v>
      </c>
      <c r="L993" t="s">
        <v>74</v>
      </c>
      <c r="M993" t="s">
        <v>78</v>
      </c>
      <c r="N993" t="s">
        <v>79</v>
      </c>
      <c r="O993" t="s">
        <v>74</v>
      </c>
      <c r="P993" t="s">
        <v>74</v>
      </c>
      <c r="Q993" t="s">
        <v>74</v>
      </c>
      <c r="R993" t="s">
        <v>74</v>
      </c>
      <c r="S993" t="s">
        <v>74</v>
      </c>
      <c r="T993" t="s">
        <v>17344</v>
      </c>
      <c r="U993" t="s">
        <v>17345</v>
      </c>
      <c r="V993" t="s">
        <v>17346</v>
      </c>
      <c r="W993" t="s">
        <v>17347</v>
      </c>
      <c r="X993" t="s">
        <v>17348</v>
      </c>
      <c r="Y993" t="s">
        <v>17349</v>
      </c>
      <c r="Z993" t="s">
        <v>17350</v>
      </c>
      <c r="AA993" t="s">
        <v>17351</v>
      </c>
      <c r="AB993" t="s">
        <v>74</v>
      </c>
      <c r="AC993" t="s">
        <v>17352</v>
      </c>
      <c r="AD993" t="s">
        <v>17353</v>
      </c>
      <c r="AE993" t="s">
        <v>17354</v>
      </c>
      <c r="AF993" t="s">
        <v>74</v>
      </c>
      <c r="AG993">
        <v>47</v>
      </c>
      <c r="AH993">
        <v>18</v>
      </c>
      <c r="AI993">
        <v>20</v>
      </c>
      <c r="AJ993">
        <v>0</v>
      </c>
      <c r="AK993">
        <v>15</v>
      </c>
      <c r="AL993" t="s">
        <v>4656</v>
      </c>
      <c r="AM993" t="s">
        <v>1578</v>
      </c>
      <c r="AN993" t="s">
        <v>5173</v>
      </c>
      <c r="AO993" t="s">
        <v>17355</v>
      </c>
      <c r="AP993" t="s">
        <v>17356</v>
      </c>
      <c r="AQ993" t="s">
        <v>74</v>
      </c>
      <c r="AR993" t="s">
        <v>17357</v>
      </c>
      <c r="AS993" t="s">
        <v>17358</v>
      </c>
      <c r="AT993" t="s">
        <v>17210</v>
      </c>
      <c r="AU993">
        <v>2010</v>
      </c>
      <c r="AV993">
        <v>27</v>
      </c>
      <c r="AW993">
        <v>6</v>
      </c>
      <c r="AX993" t="s">
        <v>74</v>
      </c>
      <c r="AY993" t="s">
        <v>74</v>
      </c>
      <c r="AZ993" t="s">
        <v>74</v>
      </c>
      <c r="BA993" t="s">
        <v>74</v>
      </c>
      <c r="BB993">
        <v>1233</v>
      </c>
      <c r="BC993">
        <v>1245</v>
      </c>
      <c r="BD993" t="s">
        <v>74</v>
      </c>
      <c r="BE993" t="s">
        <v>17359</v>
      </c>
      <c r="BF993" t="str">
        <f>HYPERLINK("http://dx.doi.org/10.1007/s00376-010-9175-3","http://dx.doi.org/10.1007/s00376-010-9175-3")</f>
        <v>http://dx.doi.org/10.1007/s00376-010-9175-3</v>
      </c>
      <c r="BG993" t="s">
        <v>74</v>
      </c>
      <c r="BH993" t="s">
        <v>74</v>
      </c>
      <c r="BI993">
        <v>13</v>
      </c>
      <c r="BJ993" t="s">
        <v>603</v>
      </c>
      <c r="BK993" t="s">
        <v>100</v>
      </c>
      <c r="BL993" t="s">
        <v>603</v>
      </c>
      <c r="BM993" t="s">
        <v>17360</v>
      </c>
      <c r="BN993" t="s">
        <v>74</v>
      </c>
      <c r="BO993" t="s">
        <v>74</v>
      </c>
      <c r="BP993" t="s">
        <v>74</v>
      </c>
      <c r="BQ993" t="s">
        <v>74</v>
      </c>
      <c r="BR993" t="s">
        <v>103</v>
      </c>
      <c r="BS993" t="s">
        <v>17361</v>
      </c>
      <c r="BT993" t="str">
        <f>HYPERLINK("https%3A%2F%2Fwww.webofscience.com%2Fwos%2Fwoscc%2Ffull-record%2FWOS:000283136900002","View Full Record in Web of Science")</f>
        <v>View Full Record in Web of Science</v>
      </c>
    </row>
    <row r="994" spans="1:72" x14ac:dyDescent="0.15">
      <c r="A994" t="s">
        <v>72</v>
      </c>
      <c r="B994" t="s">
        <v>17362</v>
      </c>
      <c r="C994" t="s">
        <v>74</v>
      </c>
      <c r="D994" t="s">
        <v>74</v>
      </c>
      <c r="E994" t="s">
        <v>74</v>
      </c>
      <c r="F994" t="s">
        <v>17363</v>
      </c>
      <c r="G994" t="s">
        <v>74</v>
      </c>
      <c r="H994" t="s">
        <v>74</v>
      </c>
      <c r="I994" t="s">
        <v>17364</v>
      </c>
      <c r="J994" t="s">
        <v>17343</v>
      </c>
      <c r="K994" t="s">
        <v>74</v>
      </c>
      <c r="L994" t="s">
        <v>74</v>
      </c>
      <c r="M994" t="s">
        <v>78</v>
      </c>
      <c r="N994" t="s">
        <v>79</v>
      </c>
      <c r="O994" t="s">
        <v>74</v>
      </c>
      <c r="P994" t="s">
        <v>74</v>
      </c>
      <c r="Q994" t="s">
        <v>74</v>
      </c>
      <c r="R994" t="s">
        <v>74</v>
      </c>
      <c r="S994" t="s">
        <v>74</v>
      </c>
      <c r="T994" t="s">
        <v>17365</v>
      </c>
      <c r="U994" t="s">
        <v>17366</v>
      </c>
      <c r="V994" t="s">
        <v>17367</v>
      </c>
      <c r="W994" t="s">
        <v>17368</v>
      </c>
      <c r="X994" t="s">
        <v>17369</v>
      </c>
      <c r="Y994" t="s">
        <v>17370</v>
      </c>
      <c r="Z994" t="s">
        <v>17371</v>
      </c>
      <c r="AA994" t="s">
        <v>17372</v>
      </c>
      <c r="AB994" t="s">
        <v>17373</v>
      </c>
      <c r="AC994" t="s">
        <v>17374</v>
      </c>
      <c r="AD994" t="s">
        <v>17375</v>
      </c>
      <c r="AE994" t="s">
        <v>17376</v>
      </c>
      <c r="AF994" t="s">
        <v>74</v>
      </c>
      <c r="AG994">
        <v>24</v>
      </c>
      <c r="AH994">
        <v>5</v>
      </c>
      <c r="AI994">
        <v>6</v>
      </c>
      <c r="AJ994">
        <v>2</v>
      </c>
      <c r="AK994">
        <v>10</v>
      </c>
      <c r="AL994" t="s">
        <v>4656</v>
      </c>
      <c r="AM994" t="s">
        <v>1578</v>
      </c>
      <c r="AN994" t="s">
        <v>5173</v>
      </c>
      <c r="AO994" t="s">
        <v>17355</v>
      </c>
      <c r="AP994" t="s">
        <v>17356</v>
      </c>
      <c r="AQ994" t="s">
        <v>74</v>
      </c>
      <c r="AR994" t="s">
        <v>17357</v>
      </c>
      <c r="AS994" t="s">
        <v>17358</v>
      </c>
      <c r="AT994" t="s">
        <v>17210</v>
      </c>
      <c r="AU994">
        <v>2010</v>
      </c>
      <c r="AV994">
        <v>27</v>
      </c>
      <c r="AW994">
        <v>6</v>
      </c>
      <c r="AX994" t="s">
        <v>74</v>
      </c>
      <c r="AY994" t="s">
        <v>74</v>
      </c>
      <c r="AZ994" t="s">
        <v>74</v>
      </c>
      <c r="BA994" t="s">
        <v>74</v>
      </c>
      <c r="BB994">
        <v>1453</v>
      </c>
      <c r="BC994">
        <v>1472</v>
      </c>
      <c r="BD994" t="s">
        <v>74</v>
      </c>
      <c r="BE994" t="s">
        <v>17377</v>
      </c>
      <c r="BF994" t="str">
        <f>HYPERLINK("http://dx.doi.org/10.1007/s00376-010-9178-0","http://dx.doi.org/10.1007/s00376-010-9178-0")</f>
        <v>http://dx.doi.org/10.1007/s00376-010-9178-0</v>
      </c>
      <c r="BG994" t="s">
        <v>74</v>
      </c>
      <c r="BH994" t="s">
        <v>74</v>
      </c>
      <c r="BI994">
        <v>20</v>
      </c>
      <c r="BJ994" t="s">
        <v>603</v>
      </c>
      <c r="BK994" t="s">
        <v>100</v>
      </c>
      <c r="BL994" t="s">
        <v>603</v>
      </c>
      <c r="BM994" t="s">
        <v>17360</v>
      </c>
      <c r="BN994" t="s">
        <v>74</v>
      </c>
      <c r="BO994" t="s">
        <v>74</v>
      </c>
      <c r="BP994" t="s">
        <v>74</v>
      </c>
      <c r="BQ994" t="s">
        <v>74</v>
      </c>
      <c r="BR994" t="s">
        <v>103</v>
      </c>
      <c r="BS994" t="s">
        <v>17378</v>
      </c>
      <c r="BT994" t="str">
        <f>HYPERLINK("https%3A%2F%2Fwww.webofscience.com%2Fwos%2Fwoscc%2Ffull-record%2FWOS:000283136900020","View Full Record in Web of Science")</f>
        <v>View Full Record in Web of Science</v>
      </c>
    </row>
    <row r="995" spans="1:72" x14ac:dyDescent="0.15">
      <c r="A995" t="s">
        <v>72</v>
      </c>
      <c r="B995" t="s">
        <v>17379</v>
      </c>
      <c r="C995" t="s">
        <v>74</v>
      </c>
      <c r="D995" t="s">
        <v>74</v>
      </c>
      <c r="E995" t="s">
        <v>74</v>
      </c>
      <c r="F995" t="s">
        <v>17380</v>
      </c>
      <c r="G995" t="s">
        <v>74</v>
      </c>
      <c r="H995" t="s">
        <v>74</v>
      </c>
      <c r="I995" t="s">
        <v>17381</v>
      </c>
      <c r="J995" t="s">
        <v>2186</v>
      </c>
      <c r="K995" t="s">
        <v>74</v>
      </c>
      <c r="L995" t="s">
        <v>74</v>
      </c>
      <c r="M995" t="s">
        <v>78</v>
      </c>
      <c r="N995" t="s">
        <v>79</v>
      </c>
      <c r="O995" t="s">
        <v>74</v>
      </c>
      <c r="P995" t="s">
        <v>74</v>
      </c>
      <c r="Q995" t="s">
        <v>74</v>
      </c>
      <c r="R995" t="s">
        <v>74</v>
      </c>
      <c r="S995" t="s">
        <v>74</v>
      </c>
      <c r="T995" t="s">
        <v>17382</v>
      </c>
      <c r="U995" t="s">
        <v>17383</v>
      </c>
      <c r="V995" t="s">
        <v>17384</v>
      </c>
      <c r="W995" t="s">
        <v>17385</v>
      </c>
      <c r="X995" t="s">
        <v>17386</v>
      </c>
      <c r="Y995" t="s">
        <v>17387</v>
      </c>
      <c r="Z995" t="s">
        <v>17388</v>
      </c>
      <c r="AA995" t="s">
        <v>17389</v>
      </c>
      <c r="AB995" t="s">
        <v>17390</v>
      </c>
      <c r="AC995" t="s">
        <v>17391</v>
      </c>
      <c r="AD995" t="s">
        <v>17392</v>
      </c>
      <c r="AE995" t="s">
        <v>17393</v>
      </c>
      <c r="AF995" t="s">
        <v>74</v>
      </c>
      <c r="AG995">
        <v>41</v>
      </c>
      <c r="AH995">
        <v>19</v>
      </c>
      <c r="AI995">
        <v>20</v>
      </c>
      <c r="AJ995">
        <v>0</v>
      </c>
      <c r="AK995">
        <v>4</v>
      </c>
      <c r="AL995" t="s">
        <v>1457</v>
      </c>
      <c r="AM995" t="s">
        <v>719</v>
      </c>
      <c r="AN995" t="s">
        <v>1458</v>
      </c>
      <c r="AO995" t="s">
        <v>2194</v>
      </c>
      <c r="AP995" t="s">
        <v>74</v>
      </c>
      <c r="AQ995" t="s">
        <v>74</v>
      </c>
      <c r="AR995" t="s">
        <v>2195</v>
      </c>
      <c r="AS995" t="s">
        <v>2196</v>
      </c>
      <c r="AT995" t="s">
        <v>17394</v>
      </c>
      <c r="AU995">
        <v>2010</v>
      </c>
      <c r="AV995">
        <v>46</v>
      </c>
      <c r="AW995">
        <v>9</v>
      </c>
      <c r="AX995" t="s">
        <v>74</v>
      </c>
      <c r="AY995" t="s">
        <v>74</v>
      </c>
      <c r="AZ995" t="s">
        <v>74</v>
      </c>
      <c r="BA995" t="s">
        <v>74</v>
      </c>
      <c r="BB995">
        <v>1225</v>
      </c>
      <c r="BC995">
        <v>1235</v>
      </c>
      <c r="BD995" t="s">
        <v>74</v>
      </c>
      <c r="BE995" t="s">
        <v>17395</v>
      </c>
      <c r="BF995" t="str">
        <f>HYPERLINK("http://dx.doi.org/10.1016/j.asr.2010.06.022","http://dx.doi.org/10.1016/j.asr.2010.06.022")</f>
        <v>http://dx.doi.org/10.1016/j.asr.2010.06.022</v>
      </c>
      <c r="BG995" t="s">
        <v>74</v>
      </c>
      <c r="BH995" t="s">
        <v>74</v>
      </c>
      <c r="BI995">
        <v>11</v>
      </c>
      <c r="BJ995" t="s">
        <v>2199</v>
      </c>
      <c r="BK995" t="s">
        <v>100</v>
      </c>
      <c r="BL995" t="s">
        <v>2200</v>
      </c>
      <c r="BM995" t="s">
        <v>17396</v>
      </c>
      <c r="BN995" t="s">
        <v>74</v>
      </c>
      <c r="BO995" t="s">
        <v>74</v>
      </c>
      <c r="BP995" t="s">
        <v>74</v>
      </c>
      <c r="BQ995" t="s">
        <v>74</v>
      </c>
      <c r="BR995" t="s">
        <v>103</v>
      </c>
      <c r="BS995" t="s">
        <v>17397</v>
      </c>
      <c r="BT995" t="str">
        <f>HYPERLINK("https%3A%2F%2Fwww.webofscience.com%2Fwos%2Fwoscc%2Ffull-record%2FWOS:000282851100015","View Full Record in Web of Science")</f>
        <v>View Full Record in Web of Science</v>
      </c>
    </row>
    <row r="996" spans="1:72" x14ac:dyDescent="0.15">
      <c r="A996" t="s">
        <v>72</v>
      </c>
      <c r="B996" t="s">
        <v>17398</v>
      </c>
      <c r="C996" t="s">
        <v>74</v>
      </c>
      <c r="D996" t="s">
        <v>74</v>
      </c>
      <c r="E996" t="s">
        <v>74</v>
      </c>
      <c r="F996" t="s">
        <v>17399</v>
      </c>
      <c r="G996" t="s">
        <v>74</v>
      </c>
      <c r="H996" t="s">
        <v>74</v>
      </c>
      <c r="I996" t="s">
        <v>17400</v>
      </c>
      <c r="J996" t="s">
        <v>17401</v>
      </c>
      <c r="K996" t="s">
        <v>74</v>
      </c>
      <c r="L996" t="s">
        <v>74</v>
      </c>
      <c r="M996" t="s">
        <v>78</v>
      </c>
      <c r="N996" t="s">
        <v>79</v>
      </c>
      <c r="O996" t="s">
        <v>74</v>
      </c>
      <c r="P996" t="s">
        <v>74</v>
      </c>
      <c r="Q996" t="s">
        <v>74</v>
      </c>
      <c r="R996" t="s">
        <v>74</v>
      </c>
      <c r="S996" t="s">
        <v>74</v>
      </c>
      <c r="T996" t="s">
        <v>17402</v>
      </c>
      <c r="U996" t="s">
        <v>17403</v>
      </c>
      <c r="V996" t="s">
        <v>17404</v>
      </c>
      <c r="W996" t="s">
        <v>17405</v>
      </c>
      <c r="X996" t="s">
        <v>17406</v>
      </c>
      <c r="Y996" t="s">
        <v>17407</v>
      </c>
      <c r="Z996" t="s">
        <v>17408</v>
      </c>
      <c r="AA996" t="s">
        <v>74</v>
      </c>
      <c r="AB996" t="s">
        <v>17409</v>
      </c>
      <c r="AC996" t="s">
        <v>17410</v>
      </c>
      <c r="AD996" t="s">
        <v>17410</v>
      </c>
      <c r="AE996" t="s">
        <v>17411</v>
      </c>
      <c r="AF996" t="s">
        <v>74</v>
      </c>
      <c r="AG996">
        <v>49</v>
      </c>
      <c r="AH996">
        <v>48</v>
      </c>
      <c r="AI996">
        <v>55</v>
      </c>
      <c r="AJ996">
        <v>0</v>
      </c>
      <c r="AK996">
        <v>13</v>
      </c>
      <c r="AL996" t="s">
        <v>270</v>
      </c>
      <c r="AM996" t="s">
        <v>271</v>
      </c>
      <c r="AN996" t="s">
        <v>272</v>
      </c>
      <c r="AO996" t="s">
        <v>17412</v>
      </c>
      <c r="AP996" t="s">
        <v>17413</v>
      </c>
      <c r="AQ996" t="s">
        <v>74</v>
      </c>
      <c r="AR996" t="s">
        <v>17414</v>
      </c>
      <c r="AS996" t="s">
        <v>17415</v>
      </c>
      <c r="AT996" t="s">
        <v>17210</v>
      </c>
      <c r="AU996">
        <v>2010</v>
      </c>
      <c r="AV996">
        <v>98</v>
      </c>
      <c r="AW996">
        <v>4</v>
      </c>
      <c r="AX996" t="s">
        <v>74</v>
      </c>
      <c r="AY996" t="s">
        <v>74</v>
      </c>
      <c r="AZ996" t="s">
        <v>74</v>
      </c>
      <c r="BA996" t="s">
        <v>74</v>
      </c>
      <c r="BB996">
        <v>531</v>
      </c>
      <c r="BC996">
        <v>540</v>
      </c>
      <c r="BD996" t="s">
        <v>74</v>
      </c>
      <c r="BE996" t="s">
        <v>17416</v>
      </c>
      <c r="BF996" t="str">
        <f>HYPERLINK("http://dx.doi.org/10.1007/s10482-010-9470-0","http://dx.doi.org/10.1007/s10482-010-9470-0")</f>
        <v>http://dx.doi.org/10.1007/s10482-010-9470-0</v>
      </c>
      <c r="BG996" t="s">
        <v>74</v>
      </c>
      <c r="BH996" t="s">
        <v>74</v>
      </c>
      <c r="BI996">
        <v>10</v>
      </c>
      <c r="BJ996" t="s">
        <v>325</v>
      </c>
      <c r="BK996" t="s">
        <v>100</v>
      </c>
      <c r="BL996" t="s">
        <v>325</v>
      </c>
      <c r="BM996" t="s">
        <v>17417</v>
      </c>
      <c r="BN996">
        <v>20556653</v>
      </c>
      <c r="BO996" t="s">
        <v>74</v>
      </c>
      <c r="BP996" t="s">
        <v>74</v>
      </c>
      <c r="BQ996" t="s">
        <v>74</v>
      </c>
      <c r="BR996" t="s">
        <v>103</v>
      </c>
      <c r="BS996" t="s">
        <v>17418</v>
      </c>
      <c r="BT996" t="str">
        <f>HYPERLINK("https%3A%2F%2Fwww.webofscience.com%2Fwos%2Fwoscc%2Ffull-record%2FWOS:000282692100011","View Full Record in Web of Science")</f>
        <v>View Full Record in Web of Science</v>
      </c>
    </row>
    <row r="997" spans="1:72" x14ac:dyDescent="0.15">
      <c r="A997" t="s">
        <v>72</v>
      </c>
      <c r="B997" t="s">
        <v>17419</v>
      </c>
      <c r="C997" t="s">
        <v>74</v>
      </c>
      <c r="D997" t="s">
        <v>74</v>
      </c>
      <c r="E997" t="s">
        <v>74</v>
      </c>
      <c r="F997" t="s">
        <v>17420</v>
      </c>
      <c r="G997" t="s">
        <v>74</v>
      </c>
      <c r="H997" t="s">
        <v>74</v>
      </c>
      <c r="I997" t="s">
        <v>17421</v>
      </c>
      <c r="J997" t="s">
        <v>17422</v>
      </c>
      <c r="K997" t="s">
        <v>74</v>
      </c>
      <c r="L997" t="s">
        <v>74</v>
      </c>
      <c r="M997" t="s">
        <v>78</v>
      </c>
      <c r="N997" t="s">
        <v>2000</v>
      </c>
      <c r="O997" t="s">
        <v>17423</v>
      </c>
      <c r="P997" t="s">
        <v>17424</v>
      </c>
      <c r="Q997" t="s">
        <v>17425</v>
      </c>
      <c r="R997" t="s">
        <v>74</v>
      </c>
      <c r="S997" t="s">
        <v>17426</v>
      </c>
      <c r="T997" t="s">
        <v>17427</v>
      </c>
      <c r="U997" t="s">
        <v>17428</v>
      </c>
      <c r="V997" t="s">
        <v>17429</v>
      </c>
      <c r="W997" t="s">
        <v>17430</v>
      </c>
      <c r="X997" t="s">
        <v>17431</v>
      </c>
      <c r="Y997" t="s">
        <v>17432</v>
      </c>
      <c r="Z997" t="s">
        <v>17433</v>
      </c>
      <c r="AA997" t="s">
        <v>17434</v>
      </c>
      <c r="AB997" t="s">
        <v>74</v>
      </c>
      <c r="AC997" t="s">
        <v>74</v>
      </c>
      <c r="AD997" t="s">
        <v>74</v>
      </c>
      <c r="AE997" t="s">
        <v>74</v>
      </c>
      <c r="AF997" t="s">
        <v>74</v>
      </c>
      <c r="AG997">
        <v>36</v>
      </c>
      <c r="AH997">
        <v>39</v>
      </c>
      <c r="AI997">
        <v>44</v>
      </c>
      <c r="AJ997">
        <v>1</v>
      </c>
      <c r="AK997">
        <v>15</v>
      </c>
      <c r="AL997" t="s">
        <v>1457</v>
      </c>
      <c r="AM997" t="s">
        <v>719</v>
      </c>
      <c r="AN997" t="s">
        <v>1458</v>
      </c>
      <c r="AO997" t="s">
        <v>17435</v>
      </c>
      <c r="AP997" t="s">
        <v>74</v>
      </c>
      <c r="AQ997" t="s">
        <v>74</v>
      </c>
      <c r="AR997" t="s">
        <v>17436</v>
      </c>
      <c r="AS997" t="s">
        <v>17437</v>
      </c>
      <c r="AT997" t="s">
        <v>17210</v>
      </c>
      <c r="AU997">
        <v>2010</v>
      </c>
      <c r="AV997">
        <v>71</v>
      </c>
      <c r="AW997">
        <v>11</v>
      </c>
      <c r="AX997" t="s">
        <v>74</v>
      </c>
      <c r="AY997" t="s">
        <v>74</v>
      </c>
      <c r="AZ997" t="s">
        <v>967</v>
      </c>
      <c r="BA997" t="s">
        <v>74</v>
      </c>
      <c r="BB997">
        <v>1099</v>
      </c>
      <c r="BC997">
        <v>1106</v>
      </c>
      <c r="BD997" t="s">
        <v>74</v>
      </c>
      <c r="BE997" t="s">
        <v>17438</v>
      </c>
      <c r="BF997" t="str">
        <f>HYPERLINK("http://dx.doi.org/10.1016/j.apacoust.2010.05.014","http://dx.doi.org/10.1016/j.apacoust.2010.05.014")</f>
        <v>http://dx.doi.org/10.1016/j.apacoust.2010.05.014</v>
      </c>
      <c r="BG997" t="s">
        <v>74</v>
      </c>
      <c r="BH997" t="s">
        <v>74</v>
      </c>
      <c r="BI997">
        <v>8</v>
      </c>
      <c r="BJ997" t="s">
        <v>17439</v>
      </c>
      <c r="BK997" t="s">
        <v>2022</v>
      </c>
      <c r="BL997" t="s">
        <v>17439</v>
      </c>
      <c r="BM997" t="s">
        <v>17440</v>
      </c>
      <c r="BN997" t="s">
        <v>74</v>
      </c>
      <c r="BO997" t="s">
        <v>74</v>
      </c>
      <c r="BP997" t="s">
        <v>74</v>
      </c>
      <c r="BQ997" t="s">
        <v>74</v>
      </c>
      <c r="BR997" t="s">
        <v>103</v>
      </c>
      <c r="BS997" t="s">
        <v>17441</v>
      </c>
      <c r="BT997" t="str">
        <f>HYPERLINK("https%3A%2F%2Fwww.webofscience.com%2Fwos%2Fwoscc%2Ffull-record%2FWOS:000282207200016","View Full Record in Web of Science")</f>
        <v>View Full Record in Web of Science</v>
      </c>
    </row>
    <row r="998" spans="1:72" x14ac:dyDescent="0.15">
      <c r="A998" t="s">
        <v>72</v>
      </c>
      <c r="B998" t="s">
        <v>17442</v>
      </c>
      <c r="C998" t="s">
        <v>74</v>
      </c>
      <c r="D998" t="s">
        <v>74</v>
      </c>
      <c r="E998" t="s">
        <v>74</v>
      </c>
      <c r="F998" t="s">
        <v>17443</v>
      </c>
      <c r="G998" t="s">
        <v>74</v>
      </c>
      <c r="H998" t="s">
        <v>74</v>
      </c>
      <c r="I998" t="s">
        <v>17444</v>
      </c>
      <c r="J998" t="s">
        <v>17445</v>
      </c>
      <c r="K998" t="s">
        <v>74</v>
      </c>
      <c r="L998" t="s">
        <v>74</v>
      </c>
      <c r="M998" t="s">
        <v>78</v>
      </c>
      <c r="N998" t="s">
        <v>79</v>
      </c>
      <c r="O998" t="s">
        <v>74</v>
      </c>
      <c r="P998" t="s">
        <v>74</v>
      </c>
      <c r="Q998" t="s">
        <v>74</v>
      </c>
      <c r="R998" t="s">
        <v>74</v>
      </c>
      <c r="S998" t="s">
        <v>74</v>
      </c>
      <c r="T998" t="s">
        <v>74</v>
      </c>
      <c r="U998" t="s">
        <v>17446</v>
      </c>
      <c r="V998" t="s">
        <v>17447</v>
      </c>
      <c r="W998" t="s">
        <v>17448</v>
      </c>
      <c r="X998" t="s">
        <v>17449</v>
      </c>
      <c r="Y998" t="s">
        <v>17450</v>
      </c>
      <c r="Z998" t="s">
        <v>17451</v>
      </c>
      <c r="AA998" t="s">
        <v>17452</v>
      </c>
      <c r="AB998" t="s">
        <v>17453</v>
      </c>
      <c r="AC998" t="s">
        <v>17454</v>
      </c>
      <c r="AD998" t="s">
        <v>17455</v>
      </c>
      <c r="AE998" t="s">
        <v>17456</v>
      </c>
      <c r="AF998" t="s">
        <v>74</v>
      </c>
      <c r="AG998">
        <v>57</v>
      </c>
      <c r="AH998">
        <v>21</v>
      </c>
      <c r="AI998">
        <v>27</v>
      </c>
      <c r="AJ998">
        <v>0</v>
      </c>
      <c r="AK998">
        <v>12</v>
      </c>
      <c r="AL998" t="s">
        <v>17457</v>
      </c>
      <c r="AM998" t="s">
        <v>241</v>
      </c>
      <c r="AN998" t="s">
        <v>17458</v>
      </c>
      <c r="AO998" t="s">
        <v>17459</v>
      </c>
      <c r="AP998" t="s">
        <v>74</v>
      </c>
      <c r="AQ998" t="s">
        <v>74</v>
      </c>
      <c r="AR998" t="s">
        <v>17460</v>
      </c>
      <c r="AS998" t="s">
        <v>17461</v>
      </c>
      <c r="AT998" t="s">
        <v>17210</v>
      </c>
      <c r="AU998">
        <v>2010</v>
      </c>
      <c r="AV998">
        <v>76</v>
      </c>
      <c r="AW998">
        <v>21</v>
      </c>
      <c r="AX998" t="s">
        <v>74</v>
      </c>
      <c r="AY998" t="s">
        <v>74</v>
      </c>
      <c r="AZ998" t="s">
        <v>74</v>
      </c>
      <c r="BA998" t="s">
        <v>74</v>
      </c>
      <c r="BB998">
        <v>7194</v>
      </c>
      <c r="BC998">
        <v>7201</v>
      </c>
      <c r="BD998" t="s">
        <v>74</v>
      </c>
      <c r="BE998" t="s">
        <v>17462</v>
      </c>
      <c r="BF998" t="str">
        <f>HYPERLINK("http://dx.doi.org/10.1128/AEM.01161-10","http://dx.doi.org/10.1128/AEM.01161-10")</f>
        <v>http://dx.doi.org/10.1128/AEM.01161-10</v>
      </c>
      <c r="BG998" t="s">
        <v>74</v>
      </c>
      <c r="BH998" t="s">
        <v>74</v>
      </c>
      <c r="BI998">
        <v>8</v>
      </c>
      <c r="BJ998" t="s">
        <v>14617</v>
      </c>
      <c r="BK998" t="s">
        <v>100</v>
      </c>
      <c r="BL998" t="s">
        <v>14617</v>
      </c>
      <c r="BM998" t="s">
        <v>17463</v>
      </c>
      <c r="BN998">
        <v>20833790</v>
      </c>
      <c r="BO998" t="s">
        <v>726</v>
      </c>
      <c r="BP998" t="s">
        <v>74</v>
      </c>
      <c r="BQ998" t="s">
        <v>74</v>
      </c>
      <c r="BR998" t="s">
        <v>103</v>
      </c>
      <c r="BS998" t="s">
        <v>17464</v>
      </c>
      <c r="BT998" t="str">
        <f>HYPERLINK("https%3A%2F%2Fwww.webofscience.com%2Fwos%2Fwoscc%2Ffull-record%2FWOS:000283439800027","View Full Record in Web of Science")</f>
        <v>View Full Record in Web of Science</v>
      </c>
    </row>
    <row r="999" spans="1:72" x14ac:dyDescent="0.15">
      <c r="A999" t="s">
        <v>72</v>
      </c>
      <c r="B999" t="s">
        <v>17465</v>
      </c>
      <c r="C999" t="s">
        <v>74</v>
      </c>
      <c r="D999" t="s">
        <v>74</v>
      </c>
      <c r="E999" t="s">
        <v>74</v>
      </c>
      <c r="F999" t="s">
        <v>17466</v>
      </c>
      <c r="G999" t="s">
        <v>74</v>
      </c>
      <c r="H999" t="s">
        <v>74</v>
      </c>
      <c r="I999" t="s">
        <v>17467</v>
      </c>
      <c r="J999" t="s">
        <v>462</v>
      </c>
      <c r="K999" t="s">
        <v>74</v>
      </c>
      <c r="L999" t="s">
        <v>74</v>
      </c>
      <c r="M999" t="s">
        <v>78</v>
      </c>
      <c r="N999" t="s">
        <v>403</v>
      </c>
      <c r="O999" t="s">
        <v>74</v>
      </c>
      <c r="P999" t="s">
        <v>74</v>
      </c>
      <c r="Q999" t="s">
        <v>74</v>
      </c>
      <c r="R999" t="s">
        <v>74</v>
      </c>
      <c r="S999" t="s">
        <v>74</v>
      </c>
      <c r="T999" t="s">
        <v>74</v>
      </c>
      <c r="U999" t="s">
        <v>17468</v>
      </c>
      <c r="V999" t="s">
        <v>74</v>
      </c>
      <c r="W999" t="s">
        <v>17469</v>
      </c>
      <c r="X999" t="s">
        <v>17470</v>
      </c>
      <c r="Y999" t="s">
        <v>17471</v>
      </c>
      <c r="Z999" t="s">
        <v>74</v>
      </c>
      <c r="AA999" t="s">
        <v>74</v>
      </c>
      <c r="AB999" t="s">
        <v>17472</v>
      </c>
      <c r="AC999" t="s">
        <v>74</v>
      </c>
      <c r="AD999" t="s">
        <v>74</v>
      </c>
      <c r="AE999" t="s">
        <v>74</v>
      </c>
      <c r="AF999" t="s">
        <v>74</v>
      </c>
      <c r="AG999">
        <v>31</v>
      </c>
      <c r="AH999">
        <v>2</v>
      </c>
      <c r="AI999">
        <v>3</v>
      </c>
      <c r="AJ999">
        <v>0</v>
      </c>
      <c r="AK999">
        <v>14</v>
      </c>
      <c r="AL999" t="s">
        <v>495</v>
      </c>
      <c r="AM999" t="s">
        <v>496</v>
      </c>
      <c r="AN999" t="s">
        <v>497</v>
      </c>
      <c r="AO999" t="s">
        <v>477</v>
      </c>
      <c r="AP999" t="s">
        <v>478</v>
      </c>
      <c r="AQ999" t="s">
        <v>74</v>
      </c>
      <c r="AR999" t="s">
        <v>479</v>
      </c>
      <c r="AS999" t="s">
        <v>480</v>
      </c>
      <c r="AT999" t="s">
        <v>17210</v>
      </c>
      <c r="AU999">
        <v>2010</v>
      </c>
      <c r="AV999">
        <v>42</v>
      </c>
      <c r="AW999">
        <v>4</v>
      </c>
      <c r="AX999" t="s">
        <v>74</v>
      </c>
      <c r="AY999" t="s">
        <v>74</v>
      </c>
      <c r="AZ999" t="s">
        <v>74</v>
      </c>
      <c r="BA999" t="s">
        <v>74</v>
      </c>
      <c r="BB999">
        <v>379</v>
      </c>
      <c r="BC999">
        <v>384</v>
      </c>
      <c r="BD999" t="s">
        <v>74</v>
      </c>
      <c r="BE999" t="s">
        <v>17473</v>
      </c>
      <c r="BF999" t="str">
        <f>HYPERLINK("http://dx.doi.org/10.1657/1938-4246-42.4.379","http://dx.doi.org/10.1657/1938-4246-42.4.379")</f>
        <v>http://dx.doi.org/10.1657/1938-4246-42.4.379</v>
      </c>
      <c r="BG999" t="s">
        <v>74</v>
      </c>
      <c r="BH999" t="s">
        <v>74</v>
      </c>
      <c r="BI999">
        <v>6</v>
      </c>
      <c r="BJ999" t="s">
        <v>482</v>
      </c>
      <c r="BK999" t="s">
        <v>100</v>
      </c>
      <c r="BL999" t="s">
        <v>483</v>
      </c>
      <c r="BM999" t="s">
        <v>17474</v>
      </c>
      <c r="BN999" t="s">
        <v>74</v>
      </c>
      <c r="BO999" t="s">
        <v>375</v>
      </c>
      <c r="BP999" t="s">
        <v>74</v>
      </c>
      <c r="BQ999" t="s">
        <v>74</v>
      </c>
      <c r="BR999" t="s">
        <v>103</v>
      </c>
      <c r="BS999" t="s">
        <v>17475</v>
      </c>
      <c r="BT999" t="str">
        <f>HYPERLINK("https%3A%2F%2Fwww.webofscience.com%2Fwos%2Fwoscc%2Ffull-record%2FWOS:000284986300001","View Full Record in Web of Science")</f>
        <v>View Full Record in Web of Science</v>
      </c>
    </row>
    <row r="1000" spans="1:72" x14ac:dyDescent="0.15">
      <c r="A1000" t="s">
        <v>72</v>
      </c>
      <c r="B1000" t="s">
        <v>17476</v>
      </c>
      <c r="C1000" t="s">
        <v>74</v>
      </c>
      <c r="D1000" t="s">
        <v>74</v>
      </c>
      <c r="E1000" t="s">
        <v>74</v>
      </c>
      <c r="F1000" t="s">
        <v>17477</v>
      </c>
      <c r="G1000" t="s">
        <v>74</v>
      </c>
      <c r="H1000" t="s">
        <v>74</v>
      </c>
      <c r="I1000" t="s">
        <v>17478</v>
      </c>
      <c r="J1000" t="s">
        <v>462</v>
      </c>
      <c r="K1000" t="s">
        <v>74</v>
      </c>
      <c r="L1000" t="s">
        <v>74</v>
      </c>
      <c r="M1000" t="s">
        <v>78</v>
      </c>
      <c r="N1000" t="s">
        <v>79</v>
      </c>
      <c r="O1000" t="s">
        <v>74</v>
      </c>
      <c r="P1000" t="s">
        <v>74</v>
      </c>
      <c r="Q1000" t="s">
        <v>74</v>
      </c>
      <c r="R1000" t="s">
        <v>74</v>
      </c>
      <c r="S1000" t="s">
        <v>74</v>
      </c>
      <c r="T1000" t="s">
        <v>74</v>
      </c>
      <c r="U1000" t="s">
        <v>17479</v>
      </c>
      <c r="V1000" t="s">
        <v>17480</v>
      </c>
      <c r="W1000" t="s">
        <v>17481</v>
      </c>
      <c r="X1000" t="s">
        <v>17482</v>
      </c>
      <c r="Y1000" t="s">
        <v>17483</v>
      </c>
      <c r="Z1000" t="s">
        <v>74</v>
      </c>
      <c r="AA1000" t="s">
        <v>74</v>
      </c>
      <c r="AB1000" t="s">
        <v>74</v>
      </c>
      <c r="AC1000" t="s">
        <v>17484</v>
      </c>
      <c r="AD1000" t="s">
        <v>17484</v>
      </c>
      <c r="AE1000" t="s">
        <v>17485</v>
      </c>
      <c r="AF1000" t="s">
        <v>74</v>
      </c>
      <c r="AG1000">
        <v>39</v>
      </c>
      <c r="AH1000">
        <v>10</v>
      </c>
      <c r="AI1000">
        <v>11</v>
      </c>
      <c r="AJ1000">
        <v>2</v>
      </c>
      <c r="AK1000">
        <v>36</v>
      </c>
      <c r="AL1000" t="s">
        <v>474</v>
      </c>
      <c r="AM1000" t="s">
        <v>475</v>
      </c>
      <c r="AN1000" t="s">
        <v>476</v>
      </c>
      <c r="AO1000" t="s">
        <v>477</v>
      </c>
      <c r="AP1000" t="s">
        <v>478</v>
      </c>
      <c r="AQ1000" t="s">
        <v>74</v>
      </c>
      <c r="AR1000" t="s">
        <v>479</v>
      </c>
      <c r="AS1000" t="s">
        <v>480</v>
      </c>
      <c r="AT1000" t="s">
        <v>17210</v>
      </c>
      <c r="AU1000">
        <v>2010</v>
      </c>
      <c r="AV1000">
        <v>42</v>
      </c>
      <c r="AW1000">
        <v>4</v>
      </c>
      <c r="AX1000" t="s">
        <v>74</v>
      </c>
      <c r="AY1000" t="s">
        <v>74</v>
      </c>
      <c r="AZ1000" t="s">
        <v>74</v>
      </c>
      <c r="BA1000" t="s">
        <v>74</v>
      </c>
      <c r="BB1000">
        <v>385</v>
      </c>
      <c r="BC1000">
        <v>395</v>
      </c>
      <c r="BD1000" t="s">
        <v>74</v>
      </c>
      <c r="BE1000" t="s">
        <v>17486</v>
      </c>
      <c r="BF1000" t="str">
        <f>HYPERLINK("http://dx.doi.org/10.1657/1938-4246-42.4.385","http://dx.doi.org/10.1657/1938-4246-42.4.385")</f>
        <v>http://dx.doi.org/10.1657/1938-4246-42.4.385</v>
      </c>
      <c r="BG1000" t="s">
        <v>74</v>
      </c>
      <c r="BH1000" t="s">
        <v>74</v>
      </c>
      <c r="BI1000">
        <v>11</v>
      </c>
      <c r="BJ1000" t="s">
        <v>482</v>
      </c>
      <c r="BK1000" t="s">
        <v>100</v>
      </c>
      <c r="BL1000" t="s">
        <v>483</v>
      </c>
      <c r="BM1000" t="s">
        <v>17474</v>
      </c>
      <c r="BN1000" t="s">
        <v>74</v>
      </c>
      <c r="BO1000" t="s">
        <v>138</v>
      </c>
      <c r="BP1000" t="s">
        <v>74</v>
      </c>
      <c r="BQ1000" t="s">
        <v>74</v>
      </c>
      <c r="BR1000" t="s">
        <v>103</v>
      </c>
      <c r="BS1000" t="s">
        <v>17487</v>
      </c>
      <c r="BT1000" t="str">
        <f>HYPERLINK("https%3A%2F%2Fwww.webofscience.com%2Fwos%2Fwoscc%2Ffull-record%2FWOS:000284986300002","View Full Record in Web of Science")</f>
        <v>View Full Record in Web of Science</v>
      </c>
    </row>
    <row r="1001" spans="1:72" x14ac:dyDescent="0.15">
      <c r="A1001" t="s">
        <v>72</v>
      </c>
      <c r="B1001" t="s">
        <v>17488</v>
      </c>
      <c r="C1001" t="s">
        <v>74</v>
      </c>
      <c r="D1001" t="s">
        <v>74</v>
      </c>
      <c r="E1001" t="s">
        <v>74</v>
      </c>
      <c r="F1001" t="s">
        <v>17489</v>
      </c>
      <c r="G1001" t="s">
        <v>74</v>
      </c>
      <c r="H1001" t="s">
        <v>74</v>
      </c>
      <c r="I1001" t="s">
        <v>17490</v>
      </c>
      <c r="J1001" t="s">
        <v>462</v>
      </c>
      <c r="K1001" t="s">
        <v>74</v>
      </c>
      <c r="L1001" t="s">
        <v>74</v>
      </c>
      <c r="M1001" t="s">
        <v>78</v>
      </c>
      <c r="N1001" t="s">
        <v>79</v>
      </c>
      <c r="O1001" t="s">
        <v>74</v>
      </c>
      <c r="P1001" t="s">
        <v>74</v>
      </c>
      <c r="Q1001" t="s">
        <v>74</v>
      </c>
      <c r="R1001" t="s">
        <v>74</v>
      </c>
      <c r="S1001" t="s">
        <v>74</v>
      </c>
      <c r="T1001" t="s">
        <v>74</v>
      </c>
      <c r="U1001" t="s">
        <v>17491</v>
      </c>
      <c r="V1001" t="s">
        <v>17492</v>
      </c>
      <c r="W1001" t="s">
        <v>17493</v>
      </c>
      <c r="X1001" t="s">
        <v>17494</v>
      </c>
      <c r="Y1001" t="s">
        <v>17495</v>
      </c>
      <c r="Z1001" t="s">
        <v>74</v>
      </c>
      <c r="AA1001" t="s">
        <v>74</v>
      </c>
      <c r="AB1001" t="s">
        <v>17496</v>
      </c>
      <c r="AC1001" t="s">
        <v>17497</v>
      </c>
      <c r="AD1001" t="s">
        <v>17498</v>
      </c>
      <c r="AE1001" t="s">
        <v>17499</v>
      </c>
      <c r="AF1001" t="s">
        <v>74</v>
      </c>
      <c r="AG1001">
        <v>60</v>
      </c>
      <c r="AH1001">
        <v>129</v>
      </c>
      <c r="AI1001">
        <v>143</v>
      </c>
      <c r="AJ1001">
        <v>1</v>
      </c>
      <c r="AK1001">
        <v>32</v>
      </c>
      <c r="AL1001" t="s">
        <v>474</v>
      </c>
      <c r="AM1001" t="s">
        <v>475</v>
      </c>
      <c r="AN1001" t="s">
        <v>476</v>
      </c>
      <c r="AO1001" t="s">
        <v>477</v>
      </c>
      <c r="AP1001" t="s">
        <v>478</v>
      </c>
      <c r="AQ1001" t="s">
        <v>74</v>
      </c>
      <c r="AR1001" t="s">
        <v>479</v>
      </c>
      <c r="AS1001" t="s">
        <v>480</v>
      </c>
      <c r="AT1001" t="s">
        <v>17210</v>
      </c>
      <c r="AU1001">
        <v>2010</v>
      </c>
      <c r="AV1001">
        <v>42</v>
      </c>
      <c r="AW1001">
        <v>4</v>
      </c>
      <c r="AX1001" t="s">
        <v>74</v>
      </c>
      <c r="AY1001" t="s">
        <v>74</v>
      </c>
      <c r="AZ1001" t="s">
        <v>74</v>
      </c>
      <c r="BA1001" t="s">
        <v>74</v>
      </c>
      <c r="BB1001">
        <v>396</v>
      </c>
      <c r="BC1001">
        <v>405</v>
      </c>
      <c r="BD1001" t="s">
        <v>74</v>
      </c>
      <c r="BE1001" t="s">
        <v>17500</v>
      </c>
      <c r="BF1001" t="str">
        <f>HYPERLINK("http://dx.doi.org/10.1657/1938-4246-42.4.396","http://dx.doi.org/10.1657/1938-4246-42.4.396")</f>
        <v>http://dx.doi.org/10.1657/1938-4246-42.4.396</v>
      </c>
      <c r="BG1001" t="s">
        <v>74</v>
      </c>
      <c r="BH1001" t="s">
        <v>74</v>
      </c>
      <c r="BI1001">
        <v>10</v>
      </c>
      <c r="BJ1001" t="s">
        <v>482</v>
      </c>
      <c r="BK1001" t="s">
        <v>100</v>
      </c>
      <c r="BL1001" t="s">
        <v>483</v>
      </c>
      <c r="BM1001" t="s">
        <v>17474</v>
      </c>
      <c r="BN1001" t="s">
        <v>74</v>
      </c>
      <c r="BO1001" t="s">
        <v>3320</v>
      </c>
      <c r="BP1001" t="s">
        <v>74</v>
      </c>
      <c r="BQ1001" t="s">
        <v>74</v>
      </c>
      <c r="BR1001" t="s">
        <v>103</v>
      </c>
      <c r="BS1001" t="s">
        <v>17501</v>
      </c>
      <c r="BT1001" t="str">
        <f>HYPERLINK("https%3A%2F%2Fwww.webofscience.com%2Fwos%2Fwoscc%2Ffull-record%2FWOS:000284986300003","View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2024-07-28T15:24:21Z</dcterms:created>
  <dcterms:modified xsi:type="dcterms:W3CDTF">2024-07-28T15:24:21Z</dcterms:modified>
</cp:coreProperties>
</file>